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udj\РОГОТОВСКАЯ\2026 год\Служебные записки\К годовому отчету к бухгалтерии\"/>
    </mc:Choice>
  </mc:AlternateContent>
  <xr:revisionPtr revIDLastSave="0" documentId="13_ncr:1_{808FBB89-861A-4A45-A3B0-4966C89B5050}" xr6:coauthVersionLast="43" xr6:coauthVersionMax="43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за 2022 год" sheetId="1" state="hidden" r:id="rId1"/>
    <sheet name="за 2023 год" sheetId="2" state="hidden" r:id="rId2"/>
    <sheet name="за 2024 год" sheetId="3" state="hidden" r:id="rId3"/>
    <sheet name="за 2025 год" sheetId="4" r:id="rId4"/>
  </sheets>
  <definedNames>
    <definedName name="_xlnm.Print_Titles" localSheetId="1">'за 2023 год'!$6:$6</definedName>
    <definedName name="_xlnm.Print_Titles" localSheetId="2">'за 2024 год'!$6:$6</definedName>
    <definedName name="_xlnm.Print_Titles" localSheetId="3">'за 2025 год'!$6:$6</definedName>
    <definedName name="_xlnm.Print_Area" localSheetId="1">'за 2023 год'!$A$1:$O$94</definedName>
    <definedName name="_xlnm.Print_Area" localSheetId="2">'за 2024 год'!$A$1:$U$94</definedName>
    <definedName name="_xlnm.Print_Area" localSheetId="3">'за 2025 год'!$A$1:$W$118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0" i="4" l="1"/>
  <c r="Q35" i="4"/>
  <c r="Q36" i="4"/>
  <c r="M35" i="4"/>
  <c r="N35" i="4" s="1"/>
  <c r="M36" i="4"/>
  <c r="U37" i="4" l="1"/>
  <c r="U34" i="4"/>
  <c r="W10" i="4" l="1"/>
  <c r="W11" i="4"/>
  <c r="W13" i="4"/>
  <c r="W15" i="4"/>
  <c r="W16" i="4"/>
  <c r="W18" i="4"/>
  <c r="W19" i="4"/>
  <c r="W20" i="4"/>
  <c r="W22" i="4"/>
  <c r="W23" i="4"/>
  <c r="W24" i="4"/>
  <c r="W25" i="4"/>
  <c r="W26" i="4"/>
  <c r="W27" i="4"/>
  <c r="W28" i="4"/>
  <c r="W29" i="4"/>
  <c r="W30" i="4"/>
  <c r="W31" i="4"/>
  <c r="W34" i="4"/>
  <c r="W37" i="4"/>
  <c r="W42" i="4"/>
  <c r="W44" i="4"/>
  <c r="W45" i="4"/>
  <c r="W46" i="4"/>
  <c r="W47" i="4"/>
  <c r="W48" i="4"/>
  <c r="W49" i="4"/>
  <c r="W50" i="4"/>
  <c r="W51" i="4"/>
  <c r="W53" i="4"/>
  <c r="W54" i="4"/>
  <c r="W56" i="4"/>
  <c r="W57" i="4"/>
  <c r="W58" i="4"/>
  <c r="W59" i="4"/>
  <c r="W61" i="4"/>
  <c r="W62" i="4"/>
  <c r="W63" i="4"/>
  <c r="W64" i="4"/>
  <c r="W65" i="4"/>
  <c r="W66" i="4"/>
  <c r="W67" i="4"/>
  <c r="W68" i="4"/>
  <c r="W69" i="4"/>
  <c r="W70" i="4"/>
  <c r="W72" i="4"/>
  <c r="W73" i="4"/>
  <c r="W74" i="4"/>
  <c r="W75" i="4"/>
  <c r="W77" i="4"/>
  <c r="W78" i="4"/>
  <c r="W80" i="4"/>
  <c r="W81" i="4"/>
  <c r="W82" i="4"/>
  <c r="W83" i="4"/>
  <c r="W84" i="4"/>
  <c r="W85" i="4"/>
  <c r="W86" i="4"/>
  <c r="W87" i="4"/>
  <c r="W89" i="4"/>
  <c r="W90" i="4"/>
  <c r="W92" i="4"/>
  <c r="W93" i="4"/>
  <c r="W94" i="4"/>
  <c r="W95" i="4"/>
  <c r="W96" i="4"/>
  <c r="W97" i="4"/>
  <c r="W99" i="4"/>
  <c r="W100" i="4"/>
  <c r="W101" i="4"/>
  <c r="W102" i="4"/>
  <c r="W103" i="4"/>
  <c r="W105" i="4"/>
  <c r="W106" i="4"/>
  <c r="W107" i="4"/>
  <c r="W108" i="4"/>
  <c r="W110" i="4"/>
  <c r="W111" i="4"/>
  <c r="W112" i="4"/>
  <c r="W114" i="4"/>
  <c r="W116" i="4"/>
  <c r="W117" i="4"/>
  <c r="W118" i="4"/>
  <c r="W7" i="4"/>
  <c r="V37" i="4"/>
  <c r="V44" i="4"/>
  <c r="V7" i="4"/>
  <c r="V118" i="4"/>
  <c r="V117" i="4"/>
  <c r="V116" i="4"/>
  <c r="U115" i="4"/>
  <c r="V114" i="4"/>
  <c r="V113" i="4" s="1"/>
  <c r="U113" i="4"/>
  <c r="V112" i="4"/>
  <c r="V111" i="4"/>
  <c r="V110" i="4"/>
  <c r="U109" i="4"/>
  <c r="V108" i="4"/>
  <c r="V107" i="4"/>
  <c r="V106" i="4"/>
  <c r="V105" i="4"/>
  <c r="U104" i="4"/>
  <c r="V103" i="4"/>
  <c r="V102" i="4"/>
  <c r="V101" i="4"/>
  <c r="V100" i="4"/>
  <c r="V99" i="4"/>
  <c r="U98" i="4"/>
  <c r="V97" i="4"/>
  <c r="V96" i="4"/>
  <c r="V95" i="4"/>
  <c r="V94" i="4"/>
  <c r="V93" i="4"/>
  <c r="V92" i="4"/>
  <c r="U91" i="4"/>
  <c r="V90" i="4"/>
  <c r="V89" i="4"/>
  <c r="V88" i="4" s="1"/>
  <c r="U88" i="4"/>
  <c r="V87" i="4"/>
  <c r="V86" i="4"/>
  <c r="V85" i="4"/>
  <c r="V84" i="4"/>
  <c r="V83" i="4"/>
  <c r="V82" i="4"/>
  <c r="V81" i="4"/>
  <c r="V80" i="4"/>
  <c r="U79" i="4"/>
  <c r="V78" i="4"/>
  <c r="V77" i="4"/>
  <c r="U76" i="4"/>
  <c r="V75" i="4"/>
  <c r="V74" i="4"/>
  <c r="V73" i="4"/>
  <c r="V72" i="4"/>
  <c r="U71" i="4"/>
  <c r="V70" i="4"/>
  <c r="V69" i="4"/>
  <c r="V68" i="4"/>
  <c r="V67" i="4"/>
  <c r="V66" i="4"/>
  <c r="V65" i="4"/>
  <c r="V64" i="4"/>
  <c r="V63" i="4"/>
  <c r="V62" i="4"/>
  <c r="V61" i="4"/>
  <c r="U60" i="4"/>
  <c r="V59" i="4"/>
  <c r="V58" i="4"/>
  <c r="V57" i="4"/>
  <c r="V56" i="4"/>
  <c r="U55" i="4"/>
  <c r="V54" i="4"/>
  <c r="V53" i="4"/>
  <c r="U52" i="4"/>
  <c r="V51" i="4"/>
  <c r="V50" i="4"/>
  <c r="V49" i="4"/>
  <c r="V48" i="4"/>
  <c r="V47" i="4"/>
  <c r="V46" i="4"/>
  <c r="V45" i="4"/>
  <c r="U43" i="4"/>
  <c r="V31" i="4"/>
  <c r="V30" i="4"/>
  <c r="V29" i="4"/>
  <c r="V28" i="4"/>
  <c r="V27" i="4"/>
  <c r="V26" i="4"/>
  <c r="V25" i="4"/>
  <c r="V24" i="4"/>
  <c r="V23" i="4"/>
  <c r="V22" i="4"/>
  <c r="U21" i="4"/>
  <c r="V20" i="4"/>
  <c r="V19" i="4"/>
  <c r="V18" i="4"/>
  <c r="U17" i="4"/>
  <c r="V16" i="4"/>
  <c r="V15" i="4"/>
  <c r="U14" i="4"/>
  <c r="V13" i="4"/>
  <c r="U12" i="4"/>
  <c r="V11" i="4"/>
  <c r="V10" i="4"/>
  <c r="U9" i="4"/>
  <c r="V109" i="4" l="1"/>
  <c r="V71" i="4"/>
  <c r="V104" i="4"/>
  <c r="V115" i="4"/>
  <c r="V76" i="4"/>
  <c r="V52" i="4"/>
  <c r="V43" i="4"/>
  <c r="V98" i="4"/>
  <c r="V91" i="4"/>
  <c r="V79" i="4"/>
  <c r="V60" i="4"/>
  <c r="V55" i="4"/>
  <c r="U41" i="4"/>
  <c r="U121" i="4" s="1"/>
  <c r="V34" i="4"/>
  <c r="S37" i="4"/>
  <c r="V41" i="4" l="1"/>
  <c r="S21" i="4"/>
  <c r="V21" i="4" s="1"/>
  <c r="S17" i="4"/>
  <c r="V17" i="4" s="1"/>
  <c r="S14" i="4"/>
  <c r="V14" i="4" s="1"/>
  <c r="S12" i="4"/>
  <c r="V12" i="4" s="1"/>
  <c r="S9" i="4"/>
  <c r="V9" i="4" s="1"/>
  <c r="F33" i="4" l="1"/>
  <c r="F32" i="4" s="1"/>
  <c r="T7" i="4" l="1"/>
  <c r="Q21" i="4"/>
  <c r="T21" i="4" s="1"/>
  <c r="Q17" i="4"/>
  <c r="Q14" i="4"/>
  <c r="T14" i="4" s="1"/>
  <c r="Q12" i="4"/>
  <c r="Q9" i="4"/>
  <c r="T9" i="4" s="1"/>
  <c r="O9" i="4"/>
  <c r="P9" i="4" s="1"/>
  <c r="T10" i="4"/>
  <c r="T11" i="4"/>
  <c r="T13" i="4"/>
  <c r="T15" i="4"/>
  <c r="T16" i="4"/>
  <c r="T18" i="4"/>
  <c r="T19" i="4"/>
  <c r="T20" i="4"/>
  <c r="T22" i="4"/>
  <c r="T23" i="4"/>
  <c r="T24" i="4"/>
  <c r="T25" i="4"/>
  <c r="T26" i="4"/>
  <c r="T27" i="4"/>
  <c r="T28" i="4"/>
  <c r="T29" i="4"/>
  <c r="T30" i="4"/>
  <c r="T31" i="4"/>
  <c r="R10" i="4"/>
  <c r="R11" i="4"/>
  <c r="R13" i="4"/>
  <c r="R15" i="4"/>
  <c r="R16" i="4"/>
  <c r="R18" i="4"/>
  <c r="R19" i="4"/>
  <c r="R20" i="4"/>
  <c r="R22" i="4"/>
  <c r="R23" i="4"/>
  <c r="R24" i="4"/>
  <c r="R25" i="4"/>
  <c r="R26" i="4"/>
  <c r="R27" i="4"/>
  <c r="R28" i="4"/>
  <c r="R29" i="4"/>
  <c r="R30" i="4"/>
  <c r="R31" i="4"/>
  <c r="R7" i="4"/>
  <c r="P10" i="4"/>
  <c r="P11" i="4"/>
  <c r="P13" i="4"/>
  <c r="P15" i="4"/>
  <c r="P16" i="4"/>
  <c r="P18" i="4"/>
  <c r="P19" i="4"/>
  <c r="P20" i="4"/>
  <c r="P22" i="4"/>
  <c r="P23" i="4"/>
  <c r="P24" i="4"/>
  <c r="P25" i="4"/>
  <c r="P26" i="4"/>
  <c r="P27" i="4"/>
  <c r="P28" i="4"/>
  <c r="P29" i="4"/>
  <c r="P30" i="4"/>
  <c r="P31" i="4"/>
  <c r="P7" i="4"/>
  <c r="O21" i="4"/>
  <c r="O17" i="4"/>
  <c r="O14" i="4"/>
  <c r="P14" i="4" s="1"/>
  <c r="O12" i="4"/>
  <c r="P12" i="4" s="1"/>
  <c r="N30" i="4"/>
  <c r="M21" i="4"/>
  <c r="M17" i="4"/>
  <c r="M14" i="4"/>
  <c r="M12" i="4"/>
  <c r="M9" i="4"/>
  <c r="N7" i="4"/>
  <c r="N10" i="4"/>
  <c r="N11" i="4"/>
  <c r="N13" i="4"/>
  <c r="N15" i="4"/>
  <c r="N16" i="4"/>
  <c r="N18" i="4"/>
  <c r="N19" i="4"/>
  <c r="N20" i="4"/>
  <c r="N22" i="4"/>
  <c r="N23" i="4"/>
  <c r="N24" i="4"/>
  <c r="N25" i="4"/>
  <c r="N26" i="4"/>
  <c r="N27" i="4"/>
  <c r="N28" i="4"/>
  <c r="N29" i="4"/>
  <c r="N31" i="4"/>
  <c r="L7" i="4"/>
  <c r="L10" i="4"/>
  <c r="L11" i="4"/>
  <c r="L13" i="4"/>
  <c r="L15" i="4"/>
  <c r="L16" i="4"/>
  <c r="L18" i="4"/>
  <c r="L19" i="4"/>
  <c r="L20" i="4"/>
  <c r="L22" i="4"/>
  <c r="L23" i="4"/>
  <c r="L24" i="4"/>
  <c r="L25" i="4"/>
  <c r="L26" i="4"/>
  <c r="L27" i="4"/>
  <c r="L28" i="4"/>
  <c r="L29" i="4"/>
  <c r="L30" i="4"/>
  <c r="L31" i="4"/>
  <c r="J10" i="4"/>
  <c r="J11" i="4"/>
  <c r="J13" i="4"/>
  <c r="J15" i="4"/>
  <c r="J16" i="4"/>
  <c r="J18" i="4"/>
  <c r="J19" i="4"/>
  <c r="J20" i="4"/>
  <c r="J22" i="4"/>
  <c r="J23" i="4"/>
  <c r="J24" i="4"/>
  <c r="J25" i="4"/>
  <c r="J26" i="4"/>
  <c r="J27" i="4"/>
  <c r="J28" i="4"/>
  <c r="J29" i="4"/>
  <c r="J30" i="4"/>
  <c r="J31" i="4"/>
  <c r="J7" i="4"/>
  <c r="H101" i="4"/>
  <c r="H46" i="4"/>
  <c r="H7" i="4"/>
  <c r="K21" i="4"/>
  <c r="K17" i="4"/>
  <c r="K14" i="4"/>
  <c r="K12" i="4"/>
  <c r="K9" i="4"/>
  <c r="N9" i="4" s="1"/>
  <c r="I9" i="4"/>
  <c r="I21" i="4"/>
  <c r="J21" i="4" s="1"/>
  <c r="I17" i="4"/>
  <c r="I14" i="4"/>
  <c r="I12" i="4"/>
  <c r="G21" i="4"/>
  <c r="F21" i="4"/>
  <c r="W21" i="4" s="1"/>
  <c r="G17" i="4"/>
  <c r="F17" i="4"/>
  <c r="W17" i="4" s="1"/>
  <c r="G14" i="4"/>
  <c r="F14" i="4"/>
  <c r="W14" i="4" s="1"/>
  <c r="G12" i="4"/>
  <c r="F12" i="4"/>
  <c r="W12" i="4" s="1"/>
  <c r="G9" i="4"/>
  <c r="F9" i="4"/>
  <c r="W9" i="4" s="1"/>
  <c r="J9" i="4" l="1"/>
  <c r="P17" i="4"/>
  <c r="N14" i="4"/>
  <c r="L12" i="4"/>
  <c r="R12" i="4"/>
  <c r="L14" i="4"/>
  <c r="N12" i="4"/>
  <c r="P21" i="4"/>
  <c r="J12" i="4"/>
  <c r="L17" i="4"/>
  <c r="R17" i="4"/>
  <c r="J14" i="4"/>
  <c r="L21" i="4"/>
  <c r="T12" i="4"/>
  <c r="J17" i="4"/>
  <c r="L9" i="4"/>
  <c r="N17" i="4"/>
  <c r="R14" i="4"/>
  <c r="N21" i="4"/>
  <c r="R21" i="4"/>
  <c r="T17" i="4"/>
  <c r="R9" i="4"/>
  <c r="K79" i="4"/>
  <c r="H9" i="4" l="1"/>
  <c r="H10" i="4"/>
  <c r="H11" i="4"/>
  <c r="H12" i="4"/>
  <c r="H13" i="4"/>
  <c r="H15" i="4"/>
  <c r="H16" i="4"/>
  <c r="H18" i="4"/>
  <c r="H19" i="4"/>
  <c r="H20" i="4"/>
  <c r="H22" i="4"/>
  <c r="H23" i="4"/>
  <c r="H25" i="4"/>
  <c r="H26" i="4"/>
  <c r="H27" i="4"/>
  <c r="H28" i="4"/>
  <c r="H29" i="4"/>
  <c r="H30" i="4"/>
  <c r="H31" i="4"/>
  <c r="H14" i="4"/>
  <c r="H21" i="4"/>
  <c r="F8" i="4"/>
  <c r="F119" i="4" l="1"/>
  <c r="H17" i="4"/>
  <c r="H24" i="4"/>
  <c r="I37" i="4"/>
  <c r="K37" i="4" s="1"/>
  <c r="M37" i="4" s="1"/>
  <c r="O37" i="4" s="1"/>
  <c r="Q37" i="4" s="1"/>
  <c r="G37" i="4"/>
  <c r="H37" i="4" s="1"/>
  <c r="T62" i="4" l="1"/>
  <c r="T63" i="4"/>
  <c r="T64" i="4"/>
  <c r="T65" i="4"/>
  <c r="T66" i="4"/>
  <c r="T67" i="4"/>
  <c r="T68" i="4"/>
  <c r="T69" i="4"/>
  <c r="T70" i="4"/>
  <c r="R62" i="4"/>
  <c r="R63" i="4"/>
  <c r="R64" i="4"/>
  <c r="R65" i="4"/>
  <c r="R66" i="4"/>
  <c r="R67" i="4"/>
  <c r="R68" i="4"/>
  <c r="R69" i="4"/>
  <c r="R70" i="4"/>
  <c r="P62" i="4"/>
  <c r="P63" i="4"/>
  <c r="P64" i="4"/>
  <c r="P65" i="4"/>
  <c r="P66" i="4"/>
  <c r="P67" i="4"/>
  <c r="P68" i="4"/>
  <c r="P69" i="4"/>
  <c r="P70" i="4"/>
  <c r="N62" i="4"/>
  <c r="N63" i="4"/>
  <c r="N64" i="4"/>
  <c r="N65" i="4"/>
  <c r="N66" i="4"/>
  <c r="N67" i="4"/>
  <c r="N68" i="4"/>
  <c r="N69" i="4"/>
  <c r="N70" i="4"/>
  <c r="L62" i="4"/>
  <c r="L63" i="4"/>
  <c r="L64" i="4"/>
  <c r="L65" i="4"/>
  <c r="L66" i="4"/>
  <c r="L67" i="4"/>
  <c r="L68" i="4"/>
  <c r="L69" i="4"/>
  <c r="L70" i="4"/>
  <c r="J62" i="4"/>
  <c r="J63" i="4"/>
  <c r="J64" i="4"/>
  <c r="J65" i="4"/>
  <c r="J66" i="4"/>
  <c r="J67" i="4"/>
  <c r="J68" i="4"/>
  <c r="J69" i="4"/>
  <c r="J70" i="4"/>
  <c r="J81" i="4"/>
  <c r="J82" i="4"/>
  <c r="J83" i="4"/>
  <c r="J84" i="4"/>
  <c r="J85" i="4"/>
  <c r="J86" i="4"/>
  <c r="J87" i="4"/>
  <c r="J80" i="4"/>
  <c r="H81" i="4"/>
  <c r="H82" i="4"/>
  <c r="H83" i="4"/>
  <c r="H84" i="4"/>
  <c r="H85" i="4"/>
  <c r="H86" i="4"/>
  <c r="H87" i="4"/>
  <c r="H80" i="4"/>
  <c r="L50" i="4"/>
  <c r="J51" i="4"/>
  <c r="J50" i="4"/>
  <c r="H59" i="4"/>
  <c r="H45" i="4"/>
  <c r="H47" i="4"/>
  <c r="H48" i="4"/>
  <c r="H49" i="4"/>
  <c r="H50" i="4"/>
  <c r="H51" i="4"/>
  <c r="H44" i="4"/>
  <c r="S104" i="4"/>
  <c r="Q104" i="4"/>
  <c r="O104" i="4"/>
  <c r="M104" i="4"/>
  <c r="K104" i="4"/>
  <c r="T105" i="4"/>
  <c r="R105" i="4"/>
  <c r="P105" i="4"/>
  <c r="N105" i="4"/>
  <c r="L105" i="4"/>
  <c r="J105" i="4"/>
  <c r="I104" i="4"/>
  <c r="G104" i="4"/>
  <c r="F104" i="4"/>
  <c r="W104" i="4" s="1"/>
  <c r="H105" i="4"/>
  <c r="G79" i="4"/>
  <c r="F79" i="4"/>
  <c r="W79" i="4" s="1"/>
  <c r="T85" i="4"/>
  <c r="R85" i="4"/>
  <c r="P85" i="4"/>
  <c r="N85" i="4"/>
  <c r="L85" i="4"/>
  <c r="F88" i="4"/>
  <c r="W88" i="4" s="1"/>
  <c r="F120" i="4"/>
  <c r="H43" i="4" l="1"/>
  <c r="M55" i="4"/>
  <c r="I38" i="4"/>
  <c r="K38" i="4" s="1"/>
  <c r="M38" i="4" s="1"/>
  <c r="G34" i="4"/>
  <c r="G39" i="4"/>
  <c r="I39" i="4" s="1"/>
  <c r="K39" i="4" s="1"/>
  <c r="T118" i="4"/>
  <c r="R118" i="4"/>
  <c r="P118" i="4"/>
  <c r="N118" i="4"/>
  <c r="L118" i="4"/>
  <c r="J118" i="4"/>
  <c r="H118" i="4"/>
  <c r="T117" i="4"/>
  <c r="R117" i="4"/>
  <c r="P117" i="4"/>
  <c r="N117" i="4"/>
  <c r="L117" i="4"/>
  <c r="J117" i="4"/>
  <c r="H117" i="4"/>
  <c r="T116" i="4"/>
  <c r="R116" i="4"/>
  <c r="P116" i="4"/>
  <c r="N116" i="4"/>
  <c r="L116" i="4"/>
  <c r="L115" i="4" s="1"/>
  <c r="J116" i="4"/>
  <c r="H116" i="4"/>
  <c r="S115" i="4"/>
  <c r="Q115" i="4"/>
  <c r="O115" i="4"/>
  <c r="M115" i="4"/>
  <c r="K115" i="4"/>
  <c r="I115" i="4"/>
  <c r="G115" i="4"/>
  <c r="F115" i="4"/>
  <c r="W115" i="4" s="1"/>
  <c r="E115" i="4"/>
  <c r="D115" i="4"/>
  <c r="T114" i="4"/>
  <c r="T113" i="4" s="1"/>
  <c r="R114" i="4"/>
  <c r="R113" i="4" s="1"/>
  <c r="P114" i="4"/>
  <c r="P113" i="4" s="1"/>
  <c r="N114" i="4"/>
  <c r="N113" i="4" s="1"/>
  <c r="L114" i="4"/>
  <c r="L113" i="4" s="1"/>
  <c r="J114" i="4"/>
  <c r="J113" i="4" s="1"/>
  <c r="H114" i="4"/>
  <c r="H113" i="4" s="1"/>
  <c r="S113" i="4"/>
  <c r="Q113" i="4"/>
  <c r="O113" i="4"/>
  <c r="M113" i="4"/>
  <c r="K113" i="4"/>
  <c r="I113" i="4"/>
  <c r="G113" i="4"/>
  <c r="F113" i="4"/>
  <c r="W113" i="4" s="1"/>
  <c r="E113" i="4"/>
  <c r="D113" i="4"/>
  <c r="T112" i="4"/>
  <c r="R112" i="4"/>
  <c r="P112" i="4"/>
  <c r="N112" i="4"/>
  <c r="L112" i="4"/>
  <c r="J112" i="4"/>
  <c r="H112" i="4"/>
  <c r="T111" i="4"/>
  <c r="R111" i="4"/>
  <c r="P111" i="4"/>
  <c r="N111" i="4"/>
  <c r="L111" i="4"/>
  <c r="J111" i="4"/>
  <c r="H111" i="4"/>
  <c r="T110" i="4"/>
  <c r="R110" i="4"/>
  <c r="P110" i="4"/>
  <c r="N110" i="4"/>
  <c r="L110" i="4"/>
  <c r="L109" i="4" s="1"/>
  <c r="J110" i="4"/>
  <c r="H110" i="4"/>
  <c r="H109" i="4" s="1"/>
  <c r="S109" i="4"/>
  <c r="Q109" i="4"/>
  <c r="O109" i="4"/>
  <c r="M109" i="4"/>
  <c r="K109" i="4"/>
  <c r="I109" i="4"/>
  <c r="G109" i="4"/>
  <c r="F109" i="4"/>
  <c r="W109" i="4" s="1"/>
  <c r="E109" i="4"/>
  <c r="D109" i="4"/>
  <c r="T108" i="4"/>
  <c r="R108" i="4"/>
  <c r="P108" i="4"/>
  <c r="N108" i="4"/>
  <c r="L108" i="4"/>
  <c r="J108" i="4"/>
  <c r="H108" i="4"/>
  <c r="T107" i="4"/>
  <c r="R107" i="4"/>
  <c r="P107" i="4"/>
  <c r="N107" i="4"/>
  <c r="L107" i="4"/>
  <c r="J107" i="4"/>
  <c r="H107" i="4"/>
  <c r="T106" i="4"/>
  <c r="R106" i="4"/>
  <c r="P106" i="4"/>
  <c r="N106" i="4"/>
  <c r="L106" i="4"/>
  <c r="J106" i="4"/>
  <c r="J104" i="4" s="1"/>
  <c r="H106" i="4"/>
  <c r="D104" i="4"/>
  <c r="T103" i="4"/>
  <c r="R103" i="4"/>
  <c r="P103" i="4"/>
  <c r="N103" i="4"/>
  <c r="L103" i="4"/>
  <c r="J103" i="4"/>
  <c r="H103" i="4"/>
  <c r="T102" i="4"/>
  <c r="R102" i="4"/>
  <c r="P102" i="4"/>
  <c r="N102" i="4"/>
  <c r="L102" i="4"/>
  <c r="J102" i="4"/>
  <c r="H102" i="4"/>
  <c r="T101" i="4"/>
  <c r="R101" i="4"/>
  <c r="P101" i="4"/>
  <c r="N101" i="4"/>
  <c r="L101" i="4"/>
  <c r="J101" i="4"/>
  <c r="T100" i="4"/>
  <c r="R100" i="4"/>
  <c r="P100" i="4"/>
  <c r="N100" i="4"/>
  <c r="L100" i="4"/>
  <c r="J100" i="4"/>
  <c r="H100" i="4"/>
  <c r="T99" i="4"/>
  <c r="R99" i="4"/>
  <c r="P99" i="4"/>
  <c r="N99" i="4"/>
  <c r="L99" i="4"/>
  <c r="J99" i="4"/>
  <c r="H99" i="4"/>
  <c r="S98" i="4"/>
  <c r="Q98" i="4"/>
  <c r="O98" i="4"/>
  <c r="M98" i="4"/>
  <c r="K98" i="4"/>
  <c r="I98" i="4"/>
  <c r="G98" i="4"/>
  <c r="F98" i="4"/>
  <c r="W98" i="4" s="1"/>
  <c r="E98" i="4"/>
  <c r="D98" i="4"/>
  <c r="T97" i="4"/>
  <c r="R97" i="4"/>
  <c r="P97" i="4"/>
  <c r="N97" i="4"/>
  <c r="L97" i="4"/>
  <c r="J97" i="4"/>
  <c r="H97" i="4"/>
  <c r="T96" i="4"/>
  <c r="R96" i="4"/>
  <c r="P96" i="4"/>
  <c r="N96" i="4"/>
  <c r="L96" i="4"/>
  <c r="J96" i="4"/>
  <c r="H96" i="4"/>
  <c r="T95" i="4"/>
  <c r="R95" i="4"/>
  <c r="P95" i="4"/>
  <c r="N95" i="4"/>
  <c r="L95" i="4"/>
  <c r="J95" i="4"/>
  <c r="H95" i="4"/>
  <c r="T94" i="4"/>
  <c r="R94" i="4"/>
  <c r="P94" i="4"/>
  <c r="N94" i="4"/>
  <c r="L94" i="4"/>
  <c r="J94" i="4"/>
  <c r="H94" i="4"/>
  <c r="T93" i="4"/>
  <c r="R93" i="4"/>
  <c r="P93" i="4"/>
  <c r="N93" i="4"/>
  <c r="L93" i="4"/>
  <c r="J93" i="4"/>
  <c r="H93" i="4"/>
  <c r="T92" i="4"/>
  <c r="R92" i="4"/>
  <c r="P92" i="4"/>
  <c r="N92" i="4"/>
  <c r="L92" i="4"/>
  <c r="J92" i="4"/>
  <c r="H92" i="4"/>
  <c r="H91" i="4" s="1"/>
  <c r="S91" i="4"/>
  <c r="Q91" i="4"/>
  <c r="O91" i="4"/>
  <c r="M91" i="4"/>
  <c r="K91" i="4"/>
  <c r="I91" i="4"/>
  <c r="G91" i="4"/>
  <c r="F91" i="4"/>
  <c r="W91" i="4" s="1"/>
  <c r="E91" i="4"/>
  <c r="D91" i="4"/>
  <c r="T90" i="4"/>
  <c r="R90" i="4"/>
  <c r="P90" i="4"/>
  <c r="N90" i="4"/>
  <c r="L90" i="4"/>
  <c r="J90" i="4"/>
  <c r="H90" i="4"/>
  <c r="T89" i="4"/>
  <c r="T88" i="4" s="1"/>
  <c r="R89" i="4"/>
  <c r="P89" i="4"/>
  <c r="N89" i="4"/>
  <c r="L89" i="4"/>
  <c r="J89" i="4"/>
  <c r="H89" i="4"/>
  <c r="S88" i="4"/>
  <c r="Q88" i="4"/>
  <c r="O88" i="4"/>
  <c r="M88" i="4"/>
  <c r="K88" i="4"/>
  <c r="I88" i="4"/>
  <c r="G88" i="4"/>
  <c r="E88" i="4"/>
  <c r="D88" i="4"/>
  <c r="T87" i="4"/>
  <c r="R87" i="4"/>
  <c r="P87" i="4"/>
  <c r="N87" i="4"/>
  <c r="L87" i="4"/>
  <c r="T86" i="4"/>
  <c r="R86" i="4"/>
  <c r="P86" i="4"/>
  <c r="N86" i="4"/>
  <c r="L86" i="4"/>
  <c r="T84" i="4"/>
  <c r="R84" i="4"/>
  <c r="P84" i="4"/>
  <c r="N84" i="4"/>
  <c r="L84" i="4"/>
  <c r="T83" i="4"/>
  <c r="R83" i="4"/>
  <c r="P83" i="4"/>
  <c r="N83" i="4"/>
  <c r="L83" i="4"/>
  <c r="T82" i="4"/>
  <c r="R82" i="4"/>
  <c r="P82" i="4"/>
  <c r="N82" i="4"/>
  <c r="L82" i="4"/>
  <c r="T81" i="4"/>
  <c r="R81" i="4"/>
  <c r="P81" i="4"/>
  <c r="N81" i="4"/>
  <c r="L81" i="4"/>
  <c r="T80" i="4"/>
  <c r="T79" i="4" s="1"/>
  <c r="R80" i="4"/>
  <c r="P80" i="4"/>
  <c r="N80" i="4"/>
  <c r="L80" i="4"/>
  <c r="S79" i="4"/>
  <c r="Q79" i="4"/>
  <c r="O79" i="4"/>
  <c r="M79" i="4"/>
  <c r="I79" i="4"/>
  <c r="E79" i="4"/>
  <c r="D79" i="4"/>
  <c r="T78" i="4"/>
  <c r="R78" i="4"/>
  <c r="P78" i="4"/>
  <c r="N78" i="4"/>
  <c r="L78" i="4"/>
  <c r="J78" i="4"/>
  <c r="H78" i="4"/>
  <c r="T77" i="4"/>
  <c r="R77" i="4"/>
  <c r="P77" i="4"/>
  <c r="N77" i="4"/>
  <c r="L77" i="4"/>
  <c r="J77" i="4"/>
  <c r="J76" i="4" s="1"/>
  <c r="H77" i="4"/>
  <c r="S76" i="4"/>
  <c r="Q76" i="4"/>
  <c r="O76" i="4"/>
  <c r="M76" i="4"/>
  <c r="K76" i="4"/>
  <c r="I76" i="4"/>
  <c r="G76" i="4"/>
  <c r="F76" i="4"/>
  <c r="W76" i="4" s="1"/>
  <c r="E76" i="4"/>
  <c r="D76" i="4"/>
  <c r="T75" i="4"/>
  <c r="R75" i="4"/>
  <c r="P75" i="4"/>
  <c r="N75" i="4"/>
  <c r="L75" i="4"/>
  <c r="J75" i="4"/>
  <c r="H75" i="4"/>
  <c r="T74" i="4"/>
  <c r="R74" i="4"/>
  <c r="P74" i="4"/>
  <c r="N74" i="4"/>
  <c r="L74" i="4"/>
  <c r="J74" i="4"/>
  <c r="H74" i="4"/>
  <c r="T73" i="4"/>
  <c r="R73" i="4"/>
  <c r="P73" i="4"/>
  <c r="N73" i="4"/>
  <c r="L73" i="4"/>
  <c r="J73" i="4"/>
  <c r="H73" i="4"/>
  <c r="T72" i="4"/>
  <c r="R72" i="4"/>
  <c r="P72" i="4"/>
  <c r="N72" i="4"/>
  <c r="L72" i="4"/>
  <c r="J72" i="4"/>
  <c r="H72" i="4"/>
  <c r="S71" i="4"/>
  <c r="Q71" i="4"/>
  <c r="O71" i="4"/>
  <c r="M71" i="4"/>
  <c r="K71" i="4"/>
  <c r="I71" i="4"/>
  <c r="G71" i="4"/>
  <c r="F71" i="4"/>
  <c r="W71" i="4" s="1"/>
  <c r="E71" i="4"/>
  <c r="D71" i="4"/>
  <c r="H70" i="4"/>
  <c r="H69" i="4"/>
  <c r="H68" i="4"/>
  <c r="H67" i="4"/>
  <c r="H66" i="4"/>
  <c r="H65" i="4"/>
  <c r="H64" i="4"/>
  <c r="H63" i="4"/>
  <c r="H62" i="4"/>
  <c r="T61" i="4"/>
  <c r="R61" i="4"/>
  <c r="P61" i="4"/>
  <c r="N61" i="4"/>
  <c r="L61" i="4"/>
  <c r="J61" i="4"/>
  <c r="H61" i="4"/>
  <c r="S60" i="4"/>
  <c r="Q60" i="4"/>
  <c r="O60" i="4"/>
  <c r="M60" i="4"/>
  <c r="K60" i="4"/>
  <c r="I60" i="4"/>
  <c r="G60" i="4"/>
  <c r="F60" i="4"/>
  <c r="W60" i="4" s="1"/>
  <c r="E60" i="4"/>
  <c r="D60" i="4"/>
  <c r="T59" i="4"/>
  <c r="R59" i="4"/>
  <c r="P59" i="4"/>
  <c r="N59" i="4"/>
  <c r="L59" i="4"/>
  <c r="J59" i="4"/>
  <c r="T58" i="4"/>
  <c r="R58" i="4"/>
  <c r="P58" i="4"/>
  <c r="N58" i="4"/>
  <c r="L58" i="4"/>
  <c r="J58" i="4"/>
  <c r="H58" i="4"/>
  <c r="T57" i="4"/>
  <c r="R57" i="4"/>
  <c r="P57" i="4"/>
  <c r="N57" i="4"/>
  <c r="L57" i="4"/>
  <c r="J57" i="4"/>
  <c r="H57" i="4"/>
  <c r="T56" i="4"/>
  <c r="T55" i="4" s="1"/>
  <c r="R56" i="4"/>
  <c r="P56" i="4"/>
  <c r="N56" i="4"/>
  <c r="L56" i="4"/>
  <c r="J56" i="4"/>
  <c r="H56" i="4"/>
  <c r="S55" i="4"/>
  <c r="Q55" i="4"/>
  <c r="O55" i="4"/>
  <c r="K55" i="4"/>
  <c r="I55" i="4"/>
  <c r="G55" i="4"/>
  <c r="F55" i="4"/>
  <c r="W55" i="4" s="1"/>
  <c r="E55" i="4"/>
  <c r="D55" i="4"/>
  <c r="T54" i="4"/>
  <c r="R54" i="4"/>
  <c r="P54" i="4"/>
  <c r="N54" i="4"/>
  <c r="L54" i="4"/>
  <c r="J54" i="4"/>
  <c r="H54" i="4"/>
  <c r="T53" i="4"/>
  <c r="R53" i="4"/>
  <c r="P53" i="4"/>
  <c r="N53" i="4"/>
  <c r="L53" i="4"/>
  <c r="J53" i="4"/>
  <c r="H53" i="4"/>
  <c r="S52" i="4"/>
  <c r="Q52" i="4"/>
  <c r="O52" i="4"/>
  <c r="M52" i="4"/>
  <c r="K52" i="4"/>
  <c r="I52" i="4"/>
  <c r="G52" i="4"/>
  <c r="F52" i="4"/>
  <c r="W52" i="4" s="1"/>
  <c r="D52" i="4"/>
  <c r="T51" i="4"/>
  <c r="R51" i="4"/>
  <c r="P51" i="4"/>
  <c r="N51" i="4"/>
  <c r="L51" i="4"/>
  <c r="T50" i="4"/>
  <c r="R50" i="4"/>
  <c r="P50" i="4"/>
  <c r="N50" i="4"/>
  <c r="T49" i="4"/>
  <c r="R49" i="4"/>
  <c r="P49" i="4"/>
  <c r="N49" i="4"/>
  <c r="L49" i="4"/>
  <c r="J49" i="4"/>
  <c r="T48" i="4"/>
  <c r="R48" i="4"/>
  <c r="P48" i="4"/>
  <c r="N48" i="4"/>
  <c r="L48" i="4"/>
  <c r="J48" i="4"/>
  <c r="T47" i="4"/>
  <c r="R47" i="4"/>
  <c r="P47" i="4"/>
  <c r="N47" i="4"/>
  <c r="L47" i="4"/>
  <c r="J47" i="4"/>
  <c r="T46" i="4"/>
  <c r="R46" i="4"/>
  <c r="P46" i="4"/>
  <c r="N46" i="4"/>
  <c r="L46" i="4"/>
  <c r="J46" i="4"/>
  <c r="T45" i="4"/>
  <c r="R45" i="4"/>
  <c r="P45" i="4"/>
  <c r="N45" i="4"/>
  <c r="L45" i="4"/>
  <c r="J45" i="4"/>
  <c r="T44" i="4"/>
  <c r="R44" i="4"/>
  <c r="P44" i="4"/>
  <c r="N44" i="4"/>
  <c r="L44" i="4"/>
  <c r="J44" i="4"/>
  <c r="S43" i="4"/>
  <c r="Q43" i="4"/>
  <c r="O43" i="4"/>
  <c r="M43" i="4"/>
  <c r="K43" i="4"/>
  <c r="I43" i="4"/>
  <c r="G43" i="4"/>
  <c r="F43" i="4"/>
  <c r="W43" i="4" s="1"/>
  <c r="E43" i="4"/>
  <c r="D43" i="4"/>
  <c r="G36" i="4"/>
  <c r="G35" i="4"/>
  <c r="I35" i="4" s="1"/>
  <c r="K35" i="4" s="1"/>
  <c r="O35" i="4" s="1"/>
  <c r="F40" i="4"/>
  <c r="G40" i="4" s="1"/>
  <c r="I40" i="4" s="1"/>
  <c r="K40" i="4" s="1"/>
  <c r="M40" i="4" s="1"/>
  <c r="O40" i="4" s="1"/>
  <c r="Q40" i="4" s="1"/>
  <c r="S40" i="4" s="1"/>
  <c r="U40" i="4" s="1"/>
  <c r="W40" i="4" s="1"/>
  <c r="L88" i="4" l="1"/>
  <c r="R76" i="4"/>
  <c r="H115" i="4"/>
  <c r="P52" i="4"/>
  <c r="L76" i="4"/>
  <c r="L104" i="4"/>
  <c r="N109" i="4"/>
  <c r="J71" i="4"/>
  <c r="N104" i="4"/>
  <c r="P115" i="4"/>
  <c r="H52" i="4"/>
  <c r="L71" i="4"/>
  <c r="P76" i="4"/>
  <c r="N91" i="4"/>
  <c r="R109" i="4"/>
  <c r="R104" i="4"/>
  <c r="T109" i="4"/>
  <c r="T115" i="4"/>
  <c r="T76" i="4"/>
  <c r="R88" i="4"/>
  <c r="J98" i="4"/>
  <c r="T104" i="4"/>
  <c r="T91" i="4"/>
  <c r="L98" i="4"/>
  <c r="H76" i="4"/>
  <c r="H104" i="4"/>
  <c r="T71" i="4"/>
  <c r="T52" i="4"/>
  <c r="T98" i="4"/>
  <c r="H34" i="4"/>
  <c r="G33" i="4"/>
  <c r="G32" i="4" s="1"/>
  <c r="G8" i="4" s="1"/>
  <c r="I34" i="4"/>
  <c r="F41" i="4"/>
  <c r="H36" i="4"/>
  <c r="I36" i="4"/>
  <c r="K36" i="4" s="1"/>
  <c r="O36" i="4" s="1"/>
  <c r="S36" i="4" s="1"/>
  <c r="U36" i="4" s="1"/>
  <c r="P98" i="4"/>
  <c r="P104" i="4"/>
  <c r="R98" i="4"/>
  <c r="R52" i="4"/>
  <c r="P109" i="4"/>
  <c r="R79" i="4"/>
  <c r="P91" i="4"/>
  <c r="P79" i="4"/>
  <c r="N76" i="4"/>
  <c r="N71" i="4"/>
  <c r="K41" i="4"/>
  <c r="K121" i="4" s="1"/>
  <c r="L91" i="4"/>
  <c r="N55" i="4"/>
  <c r="J115" i="4"/>
  <c r="L55" i="4"/>
  <c r="J52" i="4"/>
  <c r="N88" i="4"/>
  <c r="J91" i="4"/>
  <c r="L52" i="4"/>
  <c r="J55" i="4"/>
  <c r="R115" i="4"/>
  <c r="N79" i="4"/>
  <c r="N43" i="4"/>
  <c r="J60" i="4"/>
  <c r="R60" i="4"/>
  <c r="H98" i="4"/>
  <c r="T43" i="4"/>
  <c r="P88" i="4"/>
  <c r="E41" i="4"/>
  <c r="D41" i="4"/>
  <c r="R43" i="4"/>
  <c r="P43" i="4"/>
  <c r="N115" i="4"/>
  <c r="R91" i="4"/>
  <c r="N98" i="4"/>
  <c r="L79" i="4"/>
  <c r="T60" i="4"/>
  <c r="R71" i="4"/>
  <c r="P71" i="4"/>
  <c r="N60" i="4"/>
  <c r="P60" i="4"/>
  <c r="L60" i="4"/>
  <c r="Q41" i="4"/>
  <c r="Q121" i="4" s="1"/>
  <c r="O41" i="4"/>
  <c r="O121" i="4" s="1"/>
  <c r="R55" i="4"/>
  <c r="P55" i="4"/>
  <c r="M41" i="4"/>
  <c r="M121" i="4" s="1"/>
  <c r="N52" i="4"/>
  <c r="L43" i="4"/>
  <c r="J109" i="4"/>
  <c r="J88" i="4"/>
  <c r="J79" i="4"/>
  <c r="I41" i="4"/>
  <c r="I121" i="4" s="1"/>
  <c r="L35" i="4"/>
  <c r="H88" i="4"/>
  <c r="H79" i="4"/>
  <c r="H71" i="4"/>
  <c r="H60" i="4"/>
  <c r="H55" i="4"/>
  <c r="G41" i="4"/>
  <c r="G121" i="4" s="1"/>
  <c r="J43" i="4"/>
  <c r="H35" i="4"/>
  <c r="J38" i="4"/>
  <c r="J39" i="4"/>
  <c r="J35" i="4"/>
  <c r="H39" i="4"/>
  <c r="H38" i="4"/>
  <c r="S41" i="4"/>
  <c r="S121" i="4" s="1"/>
  <c r="V121" i="4" s="1"/>
  <c r="T11" i="3"/>
  <c r="T8" i="3"/>
  <c r="U94" i="3"/>
  <c r="U68" i="3"/>
  <c r="U8" i="3"/>
  <c r="U7" i="3"/>
  <c r="S95" i="3"/>
  <c r="Q95" i="3"/>
  <c r="S91" i="3"/>
  <c r="S8" i="3"/>
  <c r="S14" i="3"/>
  <c r="S13" i="3"/>
  <c r="S12" i="3"/>
  <c r="S11" i="3"/>
  <c r="S10" i="3"/>
  <c r="V36" i="4" l="1"/>
  <c r="W36" i="4"/>
  <c r="F121" i="4"/>
  <c r="W41" i="4"/>
  <c r="W121" i="4" s="1"/>
  <c r="K34" i="4"/>
  <c r="K33" i="4" s="1"/>
  <c r="K32" i="4" s="1"/>
  <c r="I33" i="4"/>
  <c r="I32" i="4" s="1"/>
  <c r="G119" i="4"/>
  <c r="H8" i="4"/>
  <c r="H33" i="4"/>
  <c r="H32" i="4" s="1"/>
  <c r="H40" i="4" s="1"/>
  <c r="G120" i="4"/>
  <c r="H120" i="4" s="1"/>
  <c r="L36" i="4"/>
  <c r="J36" i="4"/>
  <c r="N41" i="4"/>
  <c r="T41" i="4"/>
  <c r="L41" i="4"/>
  <c r="R41" i="4"/>
  <c r="P41" i="4"/>
  <c r="N121" i="4"/>
  <c r="R121" i="4"/>
  <c r="P121" i="4"/>
  <c r="J41" i="4"/>
  <c r="S35" i="4"/>
  <c r="U35" i="4" s="1"/>
  <c r="H121" i="4"/>
  <c r="H41" i="4"/>
  <c r="J37" i="4"/>
  <c r="J34" i="4"/>
  <c r="M34" i="4"/>
  <c r="M39" i="4"/>
  <c r="L39" i="4"/>
  <c r="N36" i="4"/>
  <c r="L121" i="4"/>
  <c r="L38" i="4"/>
  <c r="T121" i="4"/>
  <c r="T7" i="3"/>
  <c r="V35" i="4" l="1"/>
  <c r="W35" i="4"/>
  <c r="U33" i="4"/>
  <c r="V33" i="4"/>
  <c r="W33" i="4"/>
  <c r="J33" i="4"/>
  <c r="J32" i="4" s="1"/>
  <c r="J40" i="4" s="1"/>
  <c r="O34" i="4"/>
  <c r="O33" i="4" s="1"/>
  <c r="M33" i="4"/>
  <c r="M32" i="4" s="1"/>
  <c r="H119" i="4"/>
  <c r="I8" i="4"/>
  <c r="I120" i="4"/>
  <c r="K120" i="4"/>
  <c r="K8" i="4"/>
  <c r="J121" i="4"/>
  <c r="L37" i="4"/>
  <c r="P35" i="4"/>
  <c r="O39" i="4"/>
  <c r="N39" i="4"/>
  <c r="J120" i="4"/>
  <c r="L34" i="4"/>
  <c r="P36" i="4"/>
  <c r="N38" i="4"/>
  <c r="O38" i="4"/>
  <c r="U10" i="3"/>
  <c r="U11" i="3"/>
  <c r="U12" i="3"/>
  <c r="U13" i="3"/>
  <c r="U14" i="3"/>
  <c r="U15" i="3"/>
  <c r="U16" i="3"/>
  <c r="U18" i="3"/>
  <c r="U20" i="3"/>
  <c r="U21" i="3"/>
  <c r="U22" i="3"/>
  <c r="U23" i="3"/>
  <c r="U24" i="3"/>
  <c r="U25" i="3"/>
  <c r="U26" i="3"/>
  <c r="U27" i="3"/>
  <c r="U28" i="3"/>
  <c r="U30" i="3"/>
  <c r="U31" i="3"/>
  <c r="U34" i="3"/>
  <c r="U35" i="3"/>
  <c r="U36" i="3"/>
  <c r="U37" i="3"/>
  <c r="U39" i="3"/>
  <c r="U40" i="3"/>
  <c r="U41" i="3"/>
  <c r="U42" i="3"/>
  <c r="U43" i="3"/>
  <c r="U44" i="3"/>
  <c r="U45" i="3"/>
  <c r="U46" i="3"/>
  <c r="U47" i="3"/>
  <c r="U48" i="3"/>
  <c r="U50" i="3"/>
  <c r="U51" i="3"/>
  <c r="U52" i="3"/>
  <c r="U53" i="3"/>
  <c r="U55" i="3"/>
  <c r="U56" i="3"/>
  <c r="U58" i="3"/>
  <c r="U59" i="3"/>
  <c r="U60" i="3"/>
  <c r="U61" i="3"/>
  <c r="U62" i="3"/>
  <c r="U63" i="3"/>
  <c r="U64" i="3"/>
  <c r="U66" i="3"/>
  <c r="U67" i="3"/>
  <c r="U69" i="3"/>
  <c r="U70" i="3"/>
  <c r="U71" i="3"/>
  <c r="U72" i="3"/>
  <c r="U73" i="3"/>
  <c r="U74" i="3"/>
  <c r="U76" i="3"/>
  <c r="U77" i="3"/>
  <c r="U78" i="3"/>
  <c r="U79" i="3"/>
  <c r="U80" i="3"/>
  <c r="U82" i="3"/>
  <c r="U83" i="3"/>
  <c r="U84" i="3"/>
  <c r="U86" i="3"/>
  <c r="U87" i="3"/>
  <c r="U88" i="3"/>
  <c r="U90" i="3"/>
  <c r="U91" i="3"/>
  <c r="U92" i="3"/>
  <c r="U93" i="3"/>
  <c r="O95" i="3"/>
  <c r="N95" i="3"/>
  <c r="M95" i="3"/>
  <c r="L95" i="3"/>
  <c r="K95" i="3"/>
  <c r="J95" i="3"/>
  <c r="I95" i="3"/>
  <c r="G95" i="3"/>
  <c r="F8" i="3"/>
  <c r="F9" i="3"/>
  <c r="G9" i="3"/>
  <c r="F95" i="3"/>
  <c r="Q13" i="3"/>
  <c r="Q12" i="3"/>
  <c r="Q11" i="3"/>
  <c r="Q10" i="3"/>
  <c r="Q14" i="3"/>
  <c r="O15" i="3"/>
  <c r="O14" i="3"/>
  <c r="O13" i="3"/>
  <c r="O12" i="3"/>
  <c r="O11" i="3"/>
  <c r="O10" i="3"/>
  <c r="M14" i="3"/>
  <c r="M15" i="3"/>
  <c r="M13" i="3"/>
  <c r="M11" i="3"/>
  <c r="M10" i="3"/>
  <c r="L9" i="3"/>
  <c r="K14" i="3"/>
  <c r="K13" i="3"/>
  <c r="K12" i="3"/>
  <c r="K11" i="3"/>
  <c r="K10" i="3"/>
  <c r="I14" i="3"/>
  <c r="J14" i="3" s="1"/>
  <c r="J10" i="3"/>
  <c r="J7" i="3"/>
  <c r="J11" i="3"/>
  <c r="J12" i="3"/>
  <c r="J13" i="3"/>
  <c r="J15" i="3"/>
  <c r="I9" i="3"/>
  <c r="I15" i="3"/>
  <c r="I13" i="3"/>
  <c r="I12" i="3"/>
  <c r="I11" i="3"/>
  <c r="I10" i="3"/>
  <c r="G14" i="3"/>
  <c r="G10" i="3"/>
  <c r="I119" i="4" l="1"/>
  <c r="J119" i="4" s="1"/>
  <c r="J8" i="4"/>
  <c r="L33" i="4"/>
  <c r="L32" i="4" s="1"/>
  <c r="L40" i="4" s="1"/>
  <c r="O32" i="4"/>
  <c r="L8" i="4"/>
  <c r="N37" i="4"/>
  <c r="Q38" i="4"/>
  <c r="P38" i="4"/>
  <c r="N34" i="4"/>
  <c r="R36" i="4"/>
  <c r="P39" i="4"/>
  <c r="Q39" i="4"/>
  <c r="L120" i="4"/>
  <c r="R35" i="4"/>
  <c r="R95" i="3"/>
  <c r="P95" i="3"/>
  <c r="H95" i="3"/>
  <c r="J9" i="3"/>
  <c r="N33" i="4" l="1"/>
  <c r="N32" i="4" s="1"/>
  <c r="N40" i="4" s="1"/>
  <c r="M8" i="4"/>
  <c r="N8" i="4" s="1"/>
  <c r="M120" i="4"/>
  <c r="N120" i="4" s="1"/>
  <c r="K119" i="4"/>
  <c r="P37" i="4"/>
  <c r="T36" i="4"/>
  <c r="T35" i="4"/>
  <c r="O120" i="4"/>
  <c r="Q34" i="4"/>
  <c r="P34" i="4"/>
  <c r="S39" i="4"/>
  <c r="U39" i="4" s="1"/>
  <c r="R39" i="4"/>
  <c r="R38" i="4"/>
  <c r="S38" i="4"/>
  <c r="U38" i="4" s="1"/>
  <c r="T94" i="3"/>
  <c r="T93" i="3"/>
  <c r="T92" i="3"/>
  <c r="T90" i="3"/>
  <c r="T89" i="3"/>
  <c r="T88" i="3"/>
  <c r="T87" i="3"/>
  <c r="T86" i="3"/>
  <c r="T84" i="3"/>
  <c r="T83" i="3"/>
  <c r="T82" i="3"/>
  <c r="T80" i="3"/>
  <c r="T79" i="3"/>
  <c r="T78" i="3"/>
  <c r="T77" i="3"/>
  <c r="T76" i="3"/>
  <c r="T74" i="3"/>
  <c r="T73" i="3"/>
  <c r="T72" i="3"/>
  <c r="T71" i="3"/>
  <c r="T70" i="3"/>
  <c r="T69" i="3"/>
  <c r="T67" i="3"/>
  <c r="T66" i="3"/>
  <c r="T65" i="3" s="1"/>
  <c r="T64" i="3"/>
  <c r="T63" i="3"/>
  <c r="T62" i="3"/>
  <c r="T61" i="3"/>
  <c r="T60" i="3"/>
  <c r="T59" i="3"/>
  <c r="T58" i="3"/>
  <c r="T56" i="3"/>
  <c r="T55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7" i="3"/>
  <c r="T36" i="3"/>
  <c r="T35" i="3"/>
  <c r="T34" i="3"/>
  <c r="T31" i="3"/>
  <c r="T30" i="3"/>
  <c r="T28" i="3"/>
  <c r="T27" i="3"/>
  <c r="T26" i="3"/>
  <c r="T25" i="3"/>
  <c r="T24" i="3"/>
  <c r="T23" i="3"/>
  <c r="T22" i="3"/>
  <c r="T21" i="3"/>
  <c r="T20" i="3"/>
  <c r="S89" i="3"/>
  <c r="U89" i="3" s="1"/>
  <c r="S85" i="3"/>
  <c r="U85" i="3" s="1"/>
  <c r="S81" i="3"/>
  <c r="U81" i="3" s="1"/>
  <c r="S75" i="3"/>
  <c r="U75" i="3" s="1"/>
  <c r="S68" i="3"/>
  <c r="S65" i="3"/>
  <c r="U65" i="3" s="1"/>
  <c r="S57" i="3"/>
  <c r="U57" i="3" s="1"/>
  <c r="S54" i="3"/>
  <c r="U54" i="3" s="1"/>
  <c r="S49" i="3"/>
  <c r="U49" i="3" s="1"/>
  <c r="S38" i="3"/>
  <c r="U38" i="3" s="1"/>
  <c r="S32" i="3"/>
  <c r="S29" i="3"/>
  <c r="U29" i="3" s="1"/>
  <c r="S19" i="3"/>
  <c r="U19" i="3" s="1"/>
  <c r="R7" i="3"/>
  <c r="R94" i="3"/>
  <c r="R93" i="3"/>
  <c r="R92" i="3"/>
  <c r="R90" i="3"/>
  <c r="R89" i="3" s="1"/>
  <c r="R88" i="3"/>
  <c r="R87" i="3"/>
  <c r="R86" i="3"/>
  <c r="R84" i="3"/>
  <c r="R83" i="3"/>
  <c r="R82" i="3"/>
  <c r="R80" i="3"/>
  <c r="R79" i="3"/>
  <c r="R78" i="3"/>
  <c r="R77" i="3"/>
  <c r="R76" i="3"/>
  <c r="R74" i="3"/>
  <c r="R73" i="3"/>
  <c r="R72" i="3"/>
  <c r="R71" i="3"/>
  <c r="R70" i="3"/>
  <c r="R69" i="3"/>
  <c r="R67" i="3"/>
  <c r="R66" i="3"/>
  <c r="R64" i="3"/>
  <c r="R63" i="3"/>
  <c r="R62" i="3"/>
  <c r="R61" i="3"/>
  <c r="R60" i="3"/>
  <c r="R59" i="3"/>
  <c r="R58" i="3"/>
  <c r="R56" i="3"/>
  <c r="R55" i="3"/>
  <c r="R53" i="3"/>
  <c r="R52" i="3"/>
  <c r="R51" i="3"/>
  <c r="R49" i="3" s="1"/>
  <c r="R50" i="3"/>
  <c r="R48" i="3"/>
  <c r="R47" i="3"/>
  <c r="R46" i="3"/>
  <c r="R45" i="3"/>
  <c r="R44" i="3"/>
  <c r="R43" i="3"/>
  <c r="R42" i="3"/>
  <c r="R41" i="3"/>
  <c r="R40" i="3"/>
  <c r="R39" i="3"/>
  <c r="R37" i="3"/>
  <c r="R36" i="3"/>
  <c r="R35" i="3"/>
  <c r="R34" i="3"/>
  <c r="R31" i="3"/>
  <c r="R30" i="3"/>
  <c r="R29" i="3" s="1"/>
  <c r="R28" i="3"/>
  <c r="R27" i="3"/>
  <c r="R26" i="3"/>
  <c r="R25" i="3"/>
  <c r="R24" i="3"/>
  <c r="R23" i="3"/>
  <c r="R22" i="3"/>
  <c r="R21" i="3"/>
  <c r="R20" i="3"/>
  <c r="Q91" i="3"/>
  <c r="Q89" i="3"/>
  <c r="Q85" i="3"/>
  <c r="Q81" i="3"/>
  <c r="Q75" i="3"/>
  <c r="Q68" i="3"/>
  <c r="Q65" i="3"/>
  <c r="Q57" i="3"/>
  <c r="Q54" i="3"/>
  <c r="Q49" i="3"/>
  <c r="Q38" i="3"/>
  <c r="Q32" i="3"/>
  <c r="Q29" i="3"/>
  <c r="Q19" i="3"/>
  <c r="P7" i="3"/>
  <c r="P94" i="3"/>
  <c r="P93" i="3"/>
  <c r="P92" i="3"/>
  <c r="P90" i="3"/>
  <c r="P89" i="3" s="1"/>
  <c r="P88" i="3"/>
  <c r="P87" i="3"/>
  <c r="P86" i="3"/>
  <c r="P84" i="3"/>
  <c r="P83" i="3"/>
  <c r="P81" i="3" s="1"/>
  <c r="P82" i="3"/>
  <c r="P80" i="3"/>
  <c r="P79" i="3"/>
  <c r="P78" i="3"/>
  <c r="P77" i="3"/>
  <c r="P76" i="3"/>
  <c r="P75" i="3" s="1"/>
  <c r="P74" i="3"/>
  <c r="P73" i="3"/>
  <c r="P72" i="3"/>
  <c r="P71" i="3"/>
  <c r="P70" i="3"/>
  <c r="P69" i="3"/>
  <c r="P67" i="3"/>
  <c r="P66" i="3"/>
  <c r="P64" i="3"/>
  <c r="P63" i="3"/>
  <c r="P62" i="3"/>
  <c r="P61" i="3"/>
  <c r="P60" i="3"/>
  <c r="P59" i="3"/>
  <c r="P58" i="3"/>
  <c r="P56" i="3"/>
  <c r="P54" i="3" s="1"/>
  <c r="P55" i="3"/>
  <c r="P53" i="3"/>
  <c r="P52" i="3"/>
  <c r="P51" i="3"/>
  <c r="P50" i="3"/>
  <c r="P48" i="3"/>
  <c r="P47" i="3"/>
  <c r="P46" i="3"/>
  <c r="P45" i="3"/>
  <c r="P44" i="3"/>
  <c r="P43" i="3"/>
  <c r="P42" i="3"/>
  <c r="P41" i="3"/>
  <c r="P40" i="3"/>
  <c r="P39" i="3"/>
  <c r="P37" i="3"/>
  <c r="P36" i="3"/>
  <c r="P35" i="3"/>
  <c r="P34" i="3"/>
  <c r="P31" i="3"/>
  <c r="P30" i="3"/>
  <c r="P29" i="3" s="1"/>
  <c r="P28" i="3"/>
  <c r="P27" i="3"/>
  <c r="P26" i="3"/>
  <c r="P25" i="3"/>
  <c r="P24" i="3"/>
  <c r="P23" i="3"/>
  <c r="P22" i="3"/>
  <c r="P21" i="3"/>
  <c r="P20" i="3"/>
  <c r="O91" i="3"/>
  <c r="O89" i="3"/>
  <c r="O85" i="3"/>
  <c r="O81" i="3"/>
  <c r="O75" i="3"/>
  <c r="O68" i="3"/>
  <c r="O65" i="3"/>
  <c r="O57" i="3"/>
  <c r="O54" i="3"/>
  <c r="O49" i="3"/>
  <c r="O38" i="3"/>
  <c r="O32" i="3"/>
  <c r="O29" i="3"/>
  <c r="O19" i="3"/>
  <c r="M91" i="3"/>
  <c r="M81" i="3"/>
  <c r="M85" i="3"/>
  <c r="M75" i="3"/>
  <c r="M68" i="3"/>
  <c r="M65" i="3"/>
  <c r="M57" i="3"/>
  <c r="M54" i="3"/>
  <c r="M49" i="3"/>
  <c r="M38" i="3"/>
  <c r="K91" i="3"/>
  <c r="K85" i="3"/>
  <c r="K81" i="3"/>
  <c r="K75" i="3"/>
  <c r="K68" i="3"/>
  <c r="K65" i="3"/>
  <c r="K57" i="3"/>
  <c r="K54" i="3"/>
  <c r="K49" i="3"/>
  <c r="K32" i="3"/>
  <c r="K29" i="3"/>
  <c r="K19" i="3"/>
  <c r="I91" i="3"/>
  <c r="I89" i="3"/>
  <c r="I85" i="3"/>
  <c r="I81" i="3"/>
  <c r="I75" i="3"/>
  <c r="I68" i="3"/>
  <c r="I65" i="3"/>
  <c r="I57" i="3"/>
  <c r="I54" i="3"/>
  <c r="I38" i="3"/>
  <c r="I49" i="3"/>
  <c r="I32" i="3"/>
  <c r="I17" i="3" s="1"/>
  <c r="I29" i="3"/>
  <c r="I19" i="3"/>
  <c r="I8" i="3"/>
  <c r="J8" i="3" s="1"/>
  <c r="G13" i="3"/>
  <c r="G12" i="3"/>
  <c r="G11" i="3"/>
  <c r="G8" i="3"/>
  <c r="N21" i="3"/>
  <c r="N22" i="3"/>
  <c r="N23" i="3"/>
  <c r="N24" i="3"/>
  <c r="N25" i="3"/>
  <c r="N26" i="3"/>
  <c r="N27" i="3"/>
  <c r="N28" i="3"/>
  <c r="L21" i="3"/>
  <c r="L22" i="3"/>
  <c r="L23" i="3"/>
  <c r="L24" i="3"/>
  <c r="L25" i="3"/>
  <c r="L26" i="3"/>
  <c r="L27" i="3"/>
  <c r="L28" i="3"/>
  <c r="J21" i="3"/>
  <c r="J22" i="3"/>
  <c r="J23" i="3"/>
  <c r="J24" i="3"/>
  <c r="J25" i="3"/>
  <c r="J26" i="3"/>
  <c r="J27" i="3"/>
  <c r="J28" i="3"/>
  <c r="H13" i="3"/>
  <c r="H7" i="3"/>
  <c r="H93" i="3"/>
  <c r="H94" i="3"/>
  <c r="H92" i="3"/>
  <c r="H86" i="3"/>
  <c r="H83" i="3"/>
  <c r="H84" i="3"/>
  <c r="H85" i="3"/>
  <c r="H87" i="3"/>
  <c r="H88" i="3"/>
  <c r="H82" i="3"/>
  <c r="H77" i="3"/>
  <c r="H78" i="3"/>
  <c r="H79" i="3"/>
  <c r="H80" i="3"/>
  <c r="H76" i="3"/>
  <c r="H70" i="3"/>
  <c r="H71" i="3"/>
  <c r="H72" i="3"/>
  <c r="H73" i="3"/>
  <c r="H74" i="3"/>
  <c r="H69" i="3"/>
  <c r="H67" i="3"/>
  <c r="H65" i="3" s="1"/>
  <c r="H66" i="3"/>
  <c r="H59" i="3"/>
  <c r="H60" i="3"/>
  <c r="H61" i="3"/>
  <c r="H62" i="3"/>
  <c r="H63" i="3"/>
  <c r="H64" i="3"/>
  <c r="H58" i="3"/>
  <c r="H56" i="3"/>
  <c r="H55" i="3"/>
  <c r="H51" i="3"/>
  <c r="H52" i="3"/>
  <c r="H53" i="3"/>
  <c r="H50" i="3"/>
  <c r="H40" i="3"/>
  <c r="H41" i="3"/>
  <c r="H42" i="3"/>
  <c r="H43" i="3"/>
  <c r="H44" i="3"/>
  <c r="H45" i="3"/>
  <c r="H46" i="3"/>
  <c r="H47" i="3"/>
  <c r="H48" i="3"/>
  <c r="H39" i="3"/>
  <c r="H37" i="3"/>
  <c r="H29" i="3"/>
  <c r="H11" i="3"/>
  <c r="H12" i="3"/>
  <c r="H14" i="3"/>
  <c r="H10" i="3"/>
  <c r="H21" i="3"/>
  <c r="H22" i="3"/>
  <c r="H23" i="3"/>
  <c r="H24" i="3"/>
  <c r="H25" i="3"/>
  <c r="H26" i="3"/>
  <c r="H27" i="3"/>
  <c r="H28" i="3"/>
  <c r="H20" i="3"/>
  <c r="H19" i="3"/>
  <c r="H8" i="2"/>
  <c r="H7" i="2"/>
  <c r="J20" i="3"/>
  <c r="J19" i="3" s="1"/>
  <c r="O7" i="2"/>
  <c r="V38" i="4" l="1"/>
  <c r="W38" i="4"/>
  <c r="U32" i="4"/>
  <c r="V39" i="4"/>
  <c r="W39" i="4"/>
  <c r="P33" i="4"/>
  <c r="P32" i="4" s="1"/>
  <c r="S34" i="4"/>
  <c r="S33" i="4" s="1"/>
  <c r="S32" i="4" s="1"/>
  <c r="S120" i="4" s="1"/>
  <c r="Q33" i="4"/>
  <c r="Q32" i="4" s="1"/>
  <c r="M119" i="4"/>
  <c r="N119" i="4" s="1"/>
  <c r="L119" i="4"/>
  <c r="I96" i="3"/>
  <c r="T32" i="3"/>
  <c r="R37" i="4"/>
  <c r="T38" i="4"/>
  <c r="R34" i="4"/>
  <c r="P120" i="4"/>
  <c r="O8" i="4"/>
  <c r="P8" i="4" s="1"/>
  <c r="T39" i="4"/>
  <c r="T54" i="3"/>
  <c r="T38" i="3"/>
  <c r="T29" i="3"/>
  <c r="T91" i="3"/>
  <c r="T85" i="3"/>
  <c r="T81" i="3"/>
  <c r="T75" i="3"/>
  <c r="T68" i="3"/>
  <c r="T57" i="3"/>
  <c r="S17" i="3"/>
  <c r="S96" i="3" s="1"/>
  <c r="T19" i="3"/>
  <c r="R54" i="3"/>
  <c r="R38" i="3"/>
  <c r="R91" i="3"/>
  <c r="R85" i="3"/>
  <c r="R81" i="3"/>
  <c r="R75" i="3"/>
  <c r="R68" i="3"/>
  <c r="R65" i="3"/>
  <c r="R57" i="3"/>
  <c r="R32" i="3"/>
  <c r="Q17" i="3"/>
  <c r="Q96" i="3" s="1"/>
  <c r="R19" i="3"/>
  <c r="P65" i="3"/>
  <c r="P49" i="3"/>
  <c r="P38" i="3"/>
  <c r="P32" i="3"/>
  <c r="P91" i="3"/>
  <c r="P85" i="3"/>
  <c r="P68" i="3"/>
  <c r="P57" i="3"/>
  <c r="O17" i="3"/>
  <c r="P19" i="3"/>
  <c r="M19" i="3"/>
  <c r="M29" i="3"/>
  <c r="M32" i="3"/>
  <c r="M89" i="3"/>
  <c r="U8" i="4" l="1"/>
  <c r="W32" i="4"/>
  <c r="U120" i="4"/>
  <c r="V120" i="4" s="1"/>
  <c r="V32" i="4"/>
  <c r="V40" i="4" s="1"/>
  <c r="R33" i="4"/>
  <c r="R32" i="4" s="1"/>
  <c r="R40" i="4" s="1"/>
  <c r="Q120" i="4"/>
  <c r="R120" i="4" s="1"/>
  <c r="Q8" i="4"/>
  <c r="O119" i="4"/>
  <c r="T37" i="4"/>
  <c r="T34" i="4"/>
  <c r="T33" i="4" s="1"/>
  <c r="T32" i="4" s="1"/>
  <c r="T96" i="3"/>
  <c r="T17" i="3"/>
  <c r="R17" i="3"/>
  <c r="O96" i="3"/>
  <c r="P17" i="3"/>
  <c r="M17" i="3"/>
  <c r="G91" i="3"/>
  <c r="K89" i="3"/>
  <c r="G89" i="3"/>
  <c r="G85" i="3"/>
  <c r="G81" i="3"/>
  <c r="G75" i="3"/>
  <c r="G68" i="3"/>
  <c r="G57" i="3"/>
  <c r="G65" i="3"/>
  <c r="G54" i="3"/>
  <c r="G49" i="3"/>
  <c r="G38" i="3"/>
  <c r="G32" i="3"/>
  <c r="G29" i="3"/>
  <c r="G19" i="3"/>
  <c r="M12" i="3"/>
  <c r="G15" i="3"/>
  <c r="H31" i="3"/>
  <c r="G33" i="3"/>
  <c r="I33" i="3" s="1"/>
  <c r="K33" i="3" s="1"/>
  <c r="M33" i="3" s="1"/>
  <c r="O33" i="3" s="1"/>
  <c r="Q33" i="3" s="1"/>
  <c r="S33" i="3" s="1"/>
  <c r="U33" i="3" s="1"/>
  <c r="J72" i="3"/>
  <c r="H90" i="3"/>
  <c r="H89" i="3" s="1"/>
  <c r="F91" i="3"/>
  <c r="E91" i="3"/>
  <c r="D91" i="3"/>
  <c r="F89" i="3"/>
  <c r="E89" i="3"/>
  <c r="D89" i="3"/>
  <c r="F85" i="3"/>
  <c r="E85" i="3"/>
  <c r="D85" i="3"/>
  <c r="F81" i="3"/>
  <c r="D81" i="3"/>
  <c r="F75" i="3"/>
  <c r="E75" i="3"/>
  <c r="D75" i="3"/>
  <c r="F68" i="3"/>
  <c r="E68" i="3"/>
  <c r="D68" i="3"/>
  <c r="F65" i="3"/>
  <c r="E65" i="3"/>
  <c r="D65" i="3"/>
  <c r="F57" i="3"/>
  <c r="E57" i="3"/>
  <c r="D57" i="3"/>
  <c r="F54" i="3"/>
  <c r="E54" i="3"/>
  <c r="D54" i="3"/>
  <c r="F49" i="3"/>
  <c r="E49" i="3"/>
  <c r="D49" i="3"/>
  <c r="F38" i="3"/>
  <c r="E38" i="3"/>
  <c r="D38" i="3"/>
  <c r="H36" i="3"/>
  <c r="H35" i="3"/>
  <c r="H34" i="3"/>
  <c r="H32" i="3" s="1"/>
  <c r="F32" i="3"/>
  <c r="U32" i="3" s="1"/>
  <c r="E32" i="3"/>
  <c r="D32" i="3"/>
  <c r="H30" i="3"/>
  <c r="F29" i="3"/>
  <c r="D29" i="3"/>
  <c r="F19" i="3"/>
  <c r="E19" i="3"/>
  <c r="D19" i="3"/>
  <c r="F16" i="3"/>
  <c r="U119" i="4" l="1"/>
  <c r="W8" i="4"/>
  <c r="Q119" i="4"/>
  <c r="R119" i="4" s="1"/>
  <c r="R8" i="4"/>
  <c r="S8" i="4"/>
  <c r="P119" i="4"/>
  <c r="F17" i="3"/>
  <c r="F96" i="3" s="1"/>
  <c r="R96" i="3"/>
  <c r="T120" i="4"/>
  <c r="T40" i="4"/>
  <c r="P10" i="3"/>
  <c r="T10" i="3"/>
  <c r="E17" i="3"/>
  <c r="M96" i="3"/>
  <c r="K15" i="3"/>
  <c r="H15" i="3"/>
  <c r="H9" i="3" s="1"/>
  <c r="G16" i="3"/>
  <c r="I16" i="3" s="1"/>
  <c r="K16" i="3" s="1"/>
  <c r="M16" i="3" s="1"/>
  <c r="O16" i="3" s="1"/>
  <c r="Q16" i="3" s="1"/>
  <c r="S16" i="3" s="1"/>
  <c r="G17" i="3"/>
  <c r="N47" i="3"/>
  <c r="D17" i="3"/>
  <c r="L93" i="3"/>
  <c r="J94" i="3"/>
  <c r="J93" i="3"/>
  <c r="L88" i="3"/>
  <c r="L87" i="3"/>
  <c r="J86" i="3"/>
  <c r="J88" i="3"/>
  <c r="J87" i="3"/>
  <c r="J83" i="3"/>
  <c r="J84" i="3"/>
  <c r="J76" i="3"/>
  <c r="L77" i="3"/>
  <c r="J79" i="3"/>
  <c r="J77" i="3"/>
  <c r="J74" i="3"/>
  <c r="J73" i="3"/>
  <c r="J52" i="3"/>
  <c r="J42" i="3"/>
  <c r="J51" i="3"/>
  <c r="J70" i="3"/>
  <c r="J60" i="3"/>
  <c r="J50" i="3"/>
  <c r="J40" i="3"/>
  <c r="J59" i="3"/>
  <c r="J48" i="3"/>
  <c r="J39" i="3"/>
  <c r="J67" i="3"/>
  <c r="J58" i="3"/>
  <c r="J66" i="3"/>
  <c r="J56" i="3"/>
  <c r="J41" i="3"/>
  <c r="J64" i="3"/>
  <c r="J44" i="3"/>
  <c r="J61" i="3"/>
  <c r="J53" i="3"/>
  <c r="J43" i="3"/>
  <c r="L15" i="3"/>
  <c r="H38" i="3"/>
  <c r="L63" i="3"/>
  <c r="J36" i="3"/>
  <c r="L35" i="3"/>
  <c r="J35" i="3"/>
  <c r="J34" i="3"/>
  <c r="H8" i="3"/>
  <c r="L79" i="3"/>
  <c r="J62" i="3"/>
  <c r="J30" i="3"/>
  <c r="J78" i="3"/>
  <c r="J37" i="3"/>
  <c r="J45" i="3"/>
  <c r="H54" i="3"/>
  <c r="H91" i="3"/>
  <c r="H68" i="3"/>
  <c r="H81" i="3"/>
  <c r="L11" i="3"/>
  <c r="H21" i="2"/>
  <c r="J9" i="2"/>
  <c r="J15" i="2"/>
  <c r="H9" i="2"/>
  <c r="H15" i="2"/>
  <c r="S119" i="4" l="1"/>
  <c r="V119" i="4" s="1"/>
  <c r="V8" i="4"/>
  <c r="T8" i="4"/>
  <c r="T119" i="4"/>
  <c r="U17" i="3"/>
  <c r="U96" i="3" s="1"/>
  <c r="G96" i="3"/>
  <c r="J17" i="3"/>
  <c r="P96" i="3"/>
  <c r="K9" i="3"/>
  <c r="K8" i="3" s="1"/>
  <c r="R10" i="3"/>
  <c r="P12" i="3"/>
  <c r="P13" i="3"/>
  <c r="P14" i="3"/>
  <c r="T14" i="3"/>
  <c r="P11" i="3"/>
  <c r="Q15" i="3"/>
  <c r="M9" i="3"/>
  <c r="H17" i="3"/>
  <c r="H49" i="3"/>
  <c r="H57" i="3"/>
  <c r="J90" i="3"/>
  <c r="J89" i="3" s="1"/>
  <c r="H75" i="3"/>
  <c r="N94" i="3"/>
  <c r="J32" i="3"/>
  <c r="J49" i="3"/>
  <c r="J85" i="3"/>
  <c r="L46" i="3"/>
  <c r="J80" i="3"/>
  <c r="J75" i="3" s="1"/>
  <c r="J69" i="3"/>
  <c r="J92" i="3"/>
  <c r="J91" i="3" s="1"/>
  <c r="J65" i="3"/>
  <c r="L86" i="3"/>
  <c r="L85" i="3" s="1"/>
  <c r="L78" i="3"/>
  <c r="J82" i="3"/>
  <c r="J81" i="3" s="1"/>
  <c r="L94" i="3"/>
  <c r="N93" i="3"/>
  <c r="L90" i="3"/>
  <c r="L89" i="3" s="1"/>
  <c r="N86" i="3"/>
  <c r="N87" i="3"/>
  <c r="N88" i="3"/>
  <c r="L84" i="3"/>
  <c r="L83" i="3"/>
  <c r="L76" i="3"/>
  <c r="N78" i="3"/>
  <c r="N77" i="3"/>
  <c r="N79" i="3"/>
  <c r="L72" i="3"/>
  <c r="L73" i="3"/>
  <c r="L74" i="3"/>
  <c r="J55" i="3"/>
  <c r="J54" i="3" s="1"/>
  <c r="J46" i="3"/>
  <c r="J38" i="3" s="1"/>
  <c r="L56" i="3"/>
  <c r="L39" i="3"/>
  <c r="L44" i="3"/>
  <c r="L64" i="3"/>
  <c r="L48" i="3"/>
  <c r="L60" i="3"/>
  <c r="L37" i="3"/>
  <c r="L43" i="3"/>
  <c r="L66" i="3"/>
  <c r="L42" i="3"/>
  <c r="L69" i="3"/>
  <c r="L70" i="3"/>
  <c r="J63" i="3"/>
  <c r="J57" i="3" s="1"/>
  <c r="L53" i="3"/>
  <c r="L41" i="3"/>
  <c r="L58" i="3"/>
  <c r="L59" i="3"/>
  <c r="L52" i="3"/>
  <c r="L50" i="3"/>
  <c r="J71" i="3"/>
  <c r="J68" i="3" s="1"/>
  <c r="N45" i="3"/>
  <c r="L40" i="3"/>
  <c r="N62" i="3"/>
  <c r="L71" i="3"/>
  <c r="L55" i="3"/>
  <c r="L61" i="3"/>
  <c r="L45" i="3"/>
  <c r="L67" i="3"/>
  <c r="L51" i="3"/>
  <c r="L62" i="3"/>
  <c r="N35" i="3"/>
  <c r="L36" i="3"/>
  <c r="N37" i="3"/>
  <c r="L34" i="3"/>
  <c r="J31" i="3"/>
  <c r="J29" i="3" s="1"/>
  <c r="N30" i="3"/>
  <c r="L30" i="3"/>
  <c r="L20" i="3"/>
  <c r="L19" i="3" s="1"/>
  <c r="L7" i="3"/>
  <c r="H16" i="3"/>
  <c r="L13" i="3"/>
  <c r="L14" i="3"/>
  <c r="N15" i="3"/>
  <c r="L12" i="3"/>
  <c r="N11" i="3"/>
  <c r="M15" i="2"/>
  <c r="N15" i="2"/>
  <c r="K15" i="2"/>
  <c r="L15" i="2" s="1"/>
  <c r="G13" i="2"/>
  <c r="I13" i="2" s="1"/>
  <c r="K13" i="2" s="1"/>
  <c r="M13" i="2" s="1"/>
  <c r="I10" i="2"/>
  <c r="K10" i="2" s="1"/>
  <c r="L10" i="2" s="1"/>
  <c r="G10" i="2"/>
  <c r="G14" i="2"/>
  <c r="I14" i="2" s="1"/>
  <c r="K14" i="2" s="1"/>
  <c r="M14" i="2" s="1"/>
  <c r="G8" i="2"/>
  <c r="H96" i="3" l="1"/>
  <c r="J96" i="3"/>
  <c r="R12" i="3"/>
  <c r="T12" i="3"/>
  <c r="R15" i="3"/>
  <c r="S15" i="3"/>
  <c r="T15" i="3" s="1"/>
  <c r="J16" i="3"/>
  <c r="R13" i="3"/>
  <c r="T13" i="3"/>
  <c r="R11" i="3"/>
  <c r="R14" i="3"/>
  <c r="Q9" i="3"/>
  <c r="O9" i="3"/>
  <c r="P15" i="3"/>
  <c r="M8" i="3"/>
  <c r="L32" i="3"/>
  <c r="K38" i="3"/>
  <c r="K17" i="3" s="1"/>
  <c r="K96" i="3" s="1"/>
  <c r="L92" i="3"/>
  <c r="L91" i="3" s="1"/>
  <c r="N7" i="3"/>
  <c r="L82" i="3"/>
  <c r="L81" i="3" s="1"/>
  <c r="L80" i="3"/>
  <c r="L75" i="3" s="1"/>
  <c r="N90" i="3"/>
  <c r="N89" i="3" s="1"/>
  <c r="N85" i="3"/>
  <c r="N83" i="3"/>
  <c r="N84" i="3"/>
  <c r="N76" i="3"/>
  <c r="N74" i="3"/>
  <c r="N73" i="3"/>
  <c r="L68" i="3"/>
  <c r="N72" i="3"/>
  <c r="L38" i="3"/>
  <c r="N42" i="3"/>
  <c r="N51" i="3"/>
  <c r="N59" i="3"/>
  <c r="N44" i="3"/>
  <c r="N46" i="3"/>
  <c r="L57" i="3"/>
  <c r="N66" i="3"/>
  <c r="N48" i="3"/>
  <c r="N56" i="3"/>
  <c r="N39" i="3"/>
  <c r="N67" i="3"/>
  <c r="N58" i="3"/>
  <c r="N71" i="3"/>
  <c r="N50" i="3"/>
  <c r="N70" i="3"/>
  <c r="L65" i="3"/>
  <c r="N40" i="3"/>
  <c r="L49" i="3"/>
  <c r="N41" i="3"/>
  <c r="N64" i="3"/>
  <c r="N60" i="3"/>
  <c r="N61" i="3"/>
  <c r="N69" i="3"/>
  <c r="N43" i="3"/>
  <c r="N63" i="3"/>
  <c r="L54" i="3"/>
  <c r="N52" i="3"/>
  <c r="N53" i="3"/>
  <c r="N36" i="3"/>
  <c r="N34" i="3"/>
  <c r="L31" i="3"/>
  <c r="L29" i="3" s="1"/>
  <c r="N20" i="3"/>
  <c r="N9" i="3"/>
  <c r="L8" i="3"/>
  <c r="N13" i="3"/>
  <c r="N12" i="3"/>
  <c r="L10" i="3"/>
  <c r="L16" i="3" s="1"/>
  <c r="N14" i="3"/>
  <c r="O21" i="2"/>
  <c r="O22" i="2"/>
  <c r="O23" i="2"/>
  <c r="O24" i="2"/>
  <c r="O25" i="2"/>
  <c r="O26" i="2"/>
  <c r="O27" i="2"/>
  <c r="O28" i="2"/>
  <c r="O20" i="2"/>
  <c r="L96" i="3" l="1"/>
  <c r="N96" i="3"/>
  <c r="S9" i="3"/>
  <c r="R9" i="3"/>
  <c r="R16" i="3" s="1"/>
  <c r="Q8" i="3"/>
  <c r="O8" i="3"/>
  <c r="P8" i="3" s="1"/>
  <c r="P9" i="3"/>
  <c r="P16" i="3" s="1"/>
  <c r="N55" i="3"/>
  <c r="N54" i="3" s="1"/>
  <c r="N82" i="3"/>
  <c r="N81" i="3" s="1"/>
  <c r="N92" i="3"/>
  <c r="N91" i="3" s="1"/>
  <c r="N80" i="3"/>
  <c r="N75" i="3" s="1"/>
  <c r="N68" i="3"/>
  <c r="N57" i="3"/>
  <c r="N65" i="3"/>
  <c r="N49" i="3"/>
  <c r="N38" i="3"/>
  <c r="N32" i="3"/>
  <c r="L17" i="3"/>
  <c r="N31" i="3"/>
  <c r="N29" i="3" s="1"/>
  <c r="N19" i="3"/>
  <c r="N8" i="3"/>
  <c r="N10" i="3"/>
  <c r="N16" i="3" s="1"/>
  <c r="O19" i="2"/>
  <c r="O35" i="2"/>
  <c r="O36" i="2"/>
  <c r="I29" i="2"/>
  <c r="F39" i="2"/>
  <c r="T95" i="3" l="1"/>
  <c r="U9" i="3"/>
  <c r="T9" i="3"/>
  <c r="T16" i="3" s="1"/>
  <c r="R8" i="3"/>
  <c r="N17" i="3"/>
  <c r="O93" i="2"/>
  <c r="O94" i="2"/>
  <c r="O92" i="2"/>
  <c r="O90" i="2"/>
  <c r="O86" i="2"/>
  <c r="O87" i="2"/>
  <c r="O88" i="2"/>
  <c r="O82" i="2"/>
  <c r="O83" i="2"/>
  <c r="O84" i="2"/>
  <c r="O76" i="2"/>
  <c r="O77" i="2"/>
  <c r="O78" i="2"/>
  <c r="O79" i="2"/>
  <c r="O80" i="2"/>
  <c r="O69" i="2"/>
  <c r="O70" i="2"/>
  <c r="O71" i="2"/>
  <c r="O72" i="2"/>
  <c r="O73" i="2"/>
  <c r="O74" i="2"/>
  <c r="O66" i="2"/>
  <c r="O67" i="2"/>
  <c r="O58" i="2"/>
  <c r="O59" i="2"/>
  <c r="O60" i="2"/>
  <c r="O61" i="2"/>
  <c r="O62" i="2"/>
  <c r="O63" i="2"/>
  <c r="O64" i="2"/>
  <c r="O55" i="2"/>
  <c r="O56" i="2"/>
  <c r="O51" i="2"/>
  <c r="O52" i="2"/>
  <c r="O53" i="2"/>
  <c r="O50" i="2"/>
  <c r="O9" i="2"/>
  <c r="O43" i="2"/>
  <c r="O41" i="2"/>
  <c r="O42" i="2"/>
  <c r="O44" i="2"/>
  <c r="O45" i="2"/>
  <c r="O46" i="2"/>
  <c r="O47" i="2"/>
  <c r="O48" i="2"/>
  <c r="O40" i="2"/>
  <c r="O37" i="2"/>
  <c r="O38" i="2"/>
  <c r="O34" i="2"/>
  <c r="O31" i="2"/>
  <c r="O30" i="2"/>
  <c r="O15" i="2"/>
  <c r="G11" i="2"/>
  <c r="H14" i="2"/>
  <c r="F8" i="2"/>
  <c r="N94" i="2"/>
  <c r="L94" i="2"/>
  <c r="J94" i="2"/>
  <c r="H94" i="2"/>
  <c r="N93" i="2"/>
  <c r="L93" i="2"/>
  <c r="J93" i="2"/>
  <c r="H93" i="2"/>
  <c r="N92" i="2"/>
  <c r="L92" i="2"/>
  <c r="J92" i="2"/>
  <c r="H92" i="2"/>
  <c r="M91" i="2"/>
  <c r="K91" i="2"/>
  <c r="I91" i="2"/>
  <c r="G91" i="2"/>
  <c r="F91" i="2"/>
  <c r="E91" i="2"/>
  <c r="D91" i="2"/>
  <c r="N90" i="2"/>
  <c r="N89" i="2" s="1"/>
  <c r="L90" i="2"/>
  <c r="L89" i="2" s="1"/>
  <c r="J90" i="2"/>
  <c r="J89" i="2" s="1"/>
  <c r="H90" i="2"/>
  <c r="H89" i="2" s="1"/>
  <c r="M89" i="2"/>
  <c r="K89" i="2"/>
  <c r="I89" i="2"/>
  <c r="G89" i="2"/>
  <c r="F89" i="2"/>
  <c r="E89" i="2"/>
  <c r="D89" i="2"/>
  <c r="N88" i="2"/>
  <c r="L88" i="2"/>
  <c r="J88" i="2"/>
  <c r="H88" i="2"/>
  <c r="N87" i="2"/>
  <c r="L87" i="2"/>
  <c r="J87" i="2"/>
  <c r="H87" i="2"/>
  <c r="N86" i="2"/>
  <c r="L86" i="2"/>
  <c r="J86" i="2"/>
  <c r="H86" i="2"/>
  <c r="M85" i="2"/>
  <c r="K85" i="2"/>
  <c r="I85" i="2"/>
  <c r="G85" i="2"/>
  <c r="F85" i="2"/>
  <c r="E85" i="2"/>
  <c r="D85" i="2"/>
  <c r="N84" i="2"/>
  <c r="L84" i="2"/>
  <c r="J84" i="2"/>
  <c r="H84" i="2"/>
  <c r="N83" i="2"/>
  <c r="L83" i="2"/>
  <c r="J83" i="2"/>
  <c r="H83" i="2"/>
  <c r="N82" i="2"/>
  <c r="L82" i="2"/>
  <c r="J82" i="2"/>
  <c r="H82" i="2"/>
  <c r="M81" i="2"/>
  <c r="K81" i="2"/>
  <c r="I81" i="2"/>
  <c r="G81" i="2"/>
  <c r="F81" i="2"/>
  <c r="D81" i="2"/>
  <c r="N80" i="2"/>
  <c r="L80" i="2"/>
  <c r="J80" i="2"/>
  <c r="H80" i="2"/>
  <c r="N79" i="2"/>
  <c r="L79" i="2"/>
  <c r="J79" i="2"/>
  <c r="H79" i="2"/>
  <c r="N78" i="2"/>
  <c r="L78" i="2"/>
  <c r="J78" i="2"/>
  <c r="H78" i="2"/>
  <c r="N77" i="2"/>
  <c r="L77" i="2"/>
  <c r="J77" i="2"/>
  <c r="H77" i="2"/>
  <c r="N76" i="2"/>
  <c r="L76" i="2"/>
  <c r="J76" i="2"/>
  <c r="H76" i="2"/>
  <c r="M75" i="2"/>
  <c r="K75" i="2"/>
  <c r="I75" i="2"/>
  <c r="G75" i="2"/>
  <c r="F75" i="2"/>
  <c r="E75" i="2"/>
  <c r="D75" i="2"/>
  <c r="N74" i="2"/>
  <c r="L74" i="2"/>
  <c r="J74" i="2"/>
  <c r="H74" i="2"/>
  <c r="N73" i="2"/>
  <c r="L73" i="2"/>
  <c r="J73" i="2"/>
  <c r="H73" i="2"/>
  <c r="N72" i="2"/>
  <c r="L72" i="2"/>
  <c r="J72" i="2"/>
  <c r="H72" i="2"/>
  <c r="N71" i="2"/>
  <c r="L71" i="2"/>
  <c r="J71" i="2"/>
  <c r="H71" i="2"/>
  <c r="N70" i="2"/>
  <c r="L70" i="2"/>
  <c r="J70" i="2"/>
  <c r="H70" i="2"/>
  <c r="N69" i="2"/>
  <c r="L69" i="2"/>
  <c r="J69" i="2"/>
  <c r="H69" i="2"/>
  <c r="M68" i="2"/>
  <c r="K68" i="2"/>
  <c r="I68" i="2"/>
  <c r="G68" i="2"/>
  <c r="F68" i="2"/>
  <c r="E68" i="2"/>
  <c r="D68" i="2"/>
  <c r="N67" i="2"/>
  <c r="L67" i="2"/>
  <c r="J67" i="2"/>
  <c r="H67" i="2"/>
  <c r="N66" i="2"/>
  <c r="N65" i="2" s="1"/>
  <c r="L66" i="2"/>
  <c r="J66" i="2"/>
  <c r="H66" i="2"/>
  <c r="M65" i="2"/>
  <c r="K65" i="2"/>
  <c r="I65" i="2"/>
  <c r="G65" i="2"/>
  <c r="F65" i="2"/>
  <c r="O65" i="2" s="1"/>
  <c r="E65" i="2"/>
  <c r="D65" i="2"/>
  <c r="N64" i="2"/>
  <c r="L64" i="2"/>
  <c r="J64" i="2"/>
  <c r="H64" i="2"/>
  <c r="N63" i="2"/>
  <c r="L63" i="2"/>
  <c r="J63" i="2"/>
  <c r="H63" i="2"/>
  <c r="N62" i="2"/>
  <c r="L62" i="2"/>
  <c r="J62" i="2"/>
  <c r="H62" i="2"/>
  <c r="N61" i="2"/>
  <c r="L61" i="2"/>
  <c r="J61" i="2"/>
  <c r="H61" i="2"/>
  <c r="N60" i="2"/>
  <c r="L60" i="2"/>
  <c r="J60" i="2"/>
  <c r="H60" i="2"/>
  <c r="N59" i="2"/>
  <c r="L59" i="2"/>
  <c r="J59" i="2"/>
  <c r="H59" i="2"/>
  <c r="N58" i="2"/>
  <c r="L58" i="2"/>
  <c r="J58" i="2"/>
  <c r="H58" i="2"/>
  <c r="M57" i="2"/>
  <c r="K57" i="2"/>
  <c r="I57" i="2"/>
  <c r="G57" i="2"/>
  <c r="F57" i="2"/>
  <c r="E57" i="2"/>
  <c r="D57" i="2"/>
  <c r="N56" i="2"/>
  <c r="L56" i="2"/>
  <c r="J56" i="2"/>
  <c r="H56" i="2"/>
  <c r="N55" i="2"/>
  <c r="L55" i="2"/>
  <c r="J55" i="2"/>
  <c r="H55" i="2"/>
  <c r="M54" i="2"/>
  <c r="K54" i="2"/>
  <c r="I54" i="2"/>
  <c r="G54" i="2"/>
  <c r="F54" i="2"/>
  <c r="E54" i="2"/>
  <c r="D54" i="2"/>
  <c r="N53" i="2"/>
  <c r="L53" i="2"/>
  <c r="J53" i="2"/>
  <c r="H53" i="2"/>
  <c r="N52" i="2"/>
  <c r="L52" i="2"/>
  <c r="J52" i="2"/>
  <c r="H52" i="2"/>
  <c r="N51" i="2"/>
  <c r="L51" i="2"/>
  <c r="J51" i="2"/>
  <c r="H51" i="2"/>
  <c r="N50" i="2"/>
  <c r="L50" i="2"/>
  <c r="J50" i="2"/>
  <c r="H50" i="2"/>
  <c r="M49" i="2"/>
  <c r="K49" i="2"/>
  <c r="I49" i="2"/>
  <c r="G49" i="2"/>
  <c r="F49" i="2"/>
  <c r="E49" i="2"/>
  <c r="D49" i="2"/>
  <c r="N48" i="2"/>
  <c r="L48" i="2"/>
  <c r="J48" i="2"/>
  <c r="H48" i="2"/>
  <c r="N47" i="2"/>
  <c r="L47" i="2"/>
  <c r="J47" i="2"/>
  <c r="H47" i="2"/>
  <c r="N46" i="2"/>
  <c r="L46" i="2"/>
  <c r="J46" i="2"/>
  <c r="H46" i="2"/>
  <c r="N45" i="2"/>
  <c r="L45" i="2"/>
  <c r="J45" i="2"/>
  <c r="H45" i="2"/>
  <c r="N44" i="2"/>
  <c r="L44" i="2"/>
  <c r="J44" i="2"/>
  <c r="H44" i="2"/>
  <c r="N43" i="2"/>
  <c r="L43" i="2"/>
  <c r="J43" i="2"/>
  <c r="H43" i="2"/>
  <c r="N42" i="2"/>
  <c r="L42" i="2"/>
  <c r="J42" i="2"/>
  <c r="H42" i="2"/>
  <c r="N41" i="2"/>
  <c r="L41" i="2"/>
  <c r="J41" i="2"/>
  <c r="H41" i="2"/>
  <c r="N40" i="2"/>
  <c r="L40" i="2"/>
  <c r="J40" i="2"/>
  <c r="H40" i="2"/>
  <c r="M39" i="2"/>
  <c r="K39" i="2"/>
  <c r="I39" i="2"/>
  <c r="G39" i="2"/>
  <c r="E39" i="2"/>
  <c r="D39" i="2"/>
  <c r="N38" i="2"/>
  <c r="L38" i="2"/>
  <c r="J38" i="2"/>
  <c r="H38" i="2"/>
  <c r="N37" i="2"/>
  <c r="L37" i="2"/>
  <c r="J37" i="2"/>
  <c r="H37" i="2"/>
  <c r="N36" i="2"/>
  <c r="L36" i="2"/>
  <c r="J36" i="2"/>
  <c r="H36" i="2"/>
  <c r="N35" i="2"/>
  <c r="L35" i="2"/>
  <c r="J35" i="2"/>
  <c r="H35" i="2"/>
  <c r="N34" i="2"/>
  <c r="L34" i="2"/>
  <c r="J34" i="2"/>
  <c r="H34" i="2"/>
  <c r="M32" i="2"/>
  <c r="K32" i="2"/>
  <c r="I32" i="2"/>
  <c r="G32" i="2"/>
  <c r="F32" i="2"/>
  <c r="E32" i="2"/>
  <c r="D32" i="2"/>
  <c r="N31" i="2"/>
  <c r="L31" i="2"/>
  <c r="J31" i="2"/>
  <c r="H31" i="2"/>
  <c r="N30" i="2"/>
  <c r="L30" i="2"/>
  <c r="J30" i="2"/>
  <c r="H30" i="2"/>
  <c r="M29" i="2"/>
  <c r="K29" i="2"/>
  <c r="G29" i="2"/>
  <c r="F29" i="2"/>
  <c r="D29" i="2"/>
  <c r="N28" i="2"/>
  <c r="L28" i="2"/>
  <c r="J28" i="2"/>
  <c r="H28" i="2"/>
  <c r="N27" i="2"/>
  <c r="L27" i="2"/>
  <c r="J27" i="2"/>
  <c r="H27" i="2"/>
  <c r="N25" i="2"/>
  <c r="L25" i="2"/>
  <c r="J25" i="2"/>
  <c r="H25" i="2"/>
  <c r="N24" i="2"/>
  <c r="L24" i="2"/>
  <c r="J24" i="2"/>
  <c r="H24" i="2"/>
  <c r="N23" i="2"/>
  <c r="L23" i="2"/>
  <c r="J23" i="2"/>
  <c r="H23" i="2"/>
  <c r="N22" i="2"/>
  <c r="L22" i="2"/>
  <c r="J22" i="2"/>
  <c r="H22" i="2"/>
  <c r="N21" i="2"/>
  <c r="L21" i="2"/>
  <c r="J21" i="2"/>
  <c r="N20" i="2"/>
  <c r="L20" i="2"/>
  <c r="J20" i="2"/>
  <c r="H20" i="2"/>
  <c r="M19" i="2"/>
  <c r="K19" i="2"/>
  <c r="I19" i="2"/>
  <c r="G19" i="2"/>
  <c r="F19" i="2"/>
  <c r="E19" i="2"/>
  <c r="D19" i="2"/>
  <c r="G12" i="2"/>
  <c r="I12" i="2" s="1"/>
  <c r="H10" i="2"/>
  <c r="N9" i="2"/>
  <c r="L9" i="2"/>
  <c r="M8" i="2"/>
  <c r="K8" i="2"/>
  <c r="I8" i="2"/>
  <c r="N7" i="2"/>
  <c r="L7" i="2"/>
  <c r="J7" i="2"/>
  <c r="H11" i="2" l="1"/>
  <c r="I11" i="2"/>
  <c r="K11" i="2" s="1"/>
  <c r="M11" i="2" s="1"/>
  <c r="O8" i="2"/>
  <c r="O85" i="2"/>
  <c r="O81" i="2"/>
  <c r="O54" i="2"/>
  <c r="N54" i="2"/>
  <c r="J65" i="2"/>
  <c r="O75" i="2"/>
  <c r="O68" i="2"/>
  <c r="O57" i="2"/>
  <c r="H65" i="2"/>
  <c r="O91" i="2"/>
  <c r="L65" i="2"/>
  <c r="L91" i="2"/>
  <c r="J10" i="2"/>
  <c r="O89" i="2"/>
  <c r="O49" i="2"/>
  <c r="D17" i="2"/>
  <c r="H19" i="2"/>
  <c r="H91" i="2"/>
  <c r="H29" i="2"/>
  <c r="J49" i="2"/>
  <c r="J85" i="2"/>
  <c r="J14" i="2"/>
  <c r="H81" i="2"/>
  <c r="O11" i="2"/>
  <c r="N29" i="2"/>
  <c r="E17" i="2"/>
  <c r="J91" i="2"/>
  <c r="N32" i="2"/>
  <c r="H39" i="2"/>
  <c r="H49" i="2"/>
  <c r="L54" i="2"/>
  <c r="N85" i="2"/>
  <c r="N81" i="2"/>
  <c r="N8" i="2"/>
  <c r="M17" i="2"/>
  <c r="N91" i="2"/>
  <c r="L85" i="2"/>
  <c r="L81" i="2"/>
  <c r="N75" i="2"/>
  <c r="L75" i="2"/>
  <c r="L68" i="2"/>
  <c r="N68" i="2"/>
  <c r="N57" i="2"/>
  <c r="N49" i="2"/>
  <c r="K17" i="2"/>
  <c r="K96" i="2" s="1"/>
  <c r="N39" i="2"/>
  <c r="N19" i="2"/>
  <c r="L8" i="2"/>
  <c r="J8" i="2"/>
  <c r="J75" i="2"/>
  <c r="L57" i="2"/>
  <c r="L49" i="2"/>
  <c r="L39" i="2"/>
  <c r="J39" i="2"/>
  <c r="L32" i="2"/>
  <c r="L29" i="2"/>
  <c r="L19" i="2"/>
  <c r="I17" i="2"/>
  <c r="I96" i="2" s="1"/>
  <c r="H85" i="2"/>
  <c r="J81" i="2"/>
  <c r="H75" i="2"/>
  <c r="H68" i="2"/>
  <c r="J68" i="2"/>
  <c r="H57" i="2"/>
  <c r="J57" i="2"/>
  <c r="J54" i="2"/>
  <c r="H54" i="2"/>
  <c r="O39" i="2"/>
  <c r="J32" i="2"/>
  <c r="H32" i="2"/>
  <c r="O32" i="2"/>
  <c r="G17" i="2"/>
  <c r="G96" i="2" s="1"/>
  <c r="O29" i="2"/>
  <c r="J29" i="2"/>
  <c r="F17" i="2"/>
  <c r="J19" i="2"/>
  <c r="G16" i="2"/>
  <c r="J13" i="2"/>
  <c r="O13" i="2"/>
  <c r="H12" i="2"/>
  <c r="F16" i="2"/>
  <c r="H13" i="2"/>
  <c r="S94" i="1"/>
  <c r="S93" i="1"/>
  <c r="S92" i="1"/>
  <c r="S91" i="1" s="1"/>
  <c r="S90" i="1"/>
  <c r="S89" i="1" s="1"/>
  <c r="S88" i="1"/>
  <c r="S87" i="1"/>
  <c r="S86" i="1"/>
  <c r="S85" i="1"/>
  <c r="S84" i="1"/>
  <c r="S83" i="1"/>
  <c r="S82" i="1"/>
  <c r="S81" i="1" s="1"/>
  <c r="S80" i="1"/>
  <c r="S79" i="1"/>
  <c r="S78" i="1"/>
  <c r="S77" i="1"/>
  <c r="S76" i="1"/>
  <c r="S75" i="1" s="1"/>
  <c r="S74" i="1"/>
  <c r="S73" i="1"/>
  <c r="S68" i="1" s="1"/>
  <c r="S72" i="1"/>
  <c r="S71" i="1"/>
  <c r="S70" i="1"/>
  <c r="S69" i="1"/>
  <c r="S67" i="1"/>
  <c r="S65" i="1" s="1"/>
  <c r="S66" i="1"/>
  <c r="S64" i="1"/>
  <c r="S63" i="1"/>
  <c r="S62" i="1"/>
  <c r="S61" i="1"/>
  <c r="S60" i="1"/>
  <c r="S59" i="1"/>
  <c r="S58" i="1"/>
  <c r="S56" i="1"/>
  <c r="S55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8" i="1"/>
  <c r="S37" i="1"/>
  <c r="S36" i="1"/>
  <c r="S35" i="1"/>
  <c r="S34" i="1"/>
  <c r="S33" i="1"/>
  <c r="S30" i="1"/>
  <c r="S28" i="1" s="1"/>
  <c r="S29" i="1"/>
  <c r="S27" i="1"/>
  <c r="S26" i="1"/>
  <c r="S25" i="1"/>
  <c r="S24" i="1"/>
  <c r="S23" i="1"/>
  <c r="S22" i="1"/>
  <c r="S21" i="1"/>
  <c r="S20" i="1"/>
  <c r="S7" i="1"/>
  <c r="S54" i="1"/>
  <c r="Q85" i="1"/>
  <c r="R47" i="1"/>
  <c r="M57" i="1"/>
  <c r="P47" i="1"/>
  <c r="N47" i="1"/>
  <c r="L47" i="1"/>
  <c r="J47" i="1"/>
  <c r="F89" i="1"/>
  <c r="H47" i="1"/>
  <c r="Q15" i="1"/>
  <c r="S15" i="1" s="1"/>
  <c r="P15" i="1"/>
  <c r="G14" i="1"/>
  <c r="I14" i="1"/>
  <c r="J14" i="1" s="1"/>
  <c r="G13" i="1"/>
  <c r="I13" i="1" s="1"/>
  <c r="J13" i="1" s="1"/>
  <c r="G11" i="1"/>
  <c r="G16" i="1" s="1"/>
  <c r="G12" i="1"/>
  <c r="F9" i="1"/>
  <c r="H9" i="1"/>
  <c r="K89" i="1"/>
  <c r="K85" i="1"/>
  <c r="K68" i="1"/>
  <c r="I8" i="1"/>
  <c r="J8" i="1" s="1"/>
  <c r="G31" i="1"/>
  <c r="G10" i="1"/>
  <c r="I10" i="1" s="1"/>
  <c r="F31" i="1"/>
  <c r="G8" i="1"/>
  <c r="R93" i="1"/>
  <c r="R91" i="1" s="1"/>
  <c r="R94" i="1"/>
  <c r="R92" i="1"/>
  <c r="R90" i="1"/>
  <c r="R89" i="1" s="1"/>
  <c r="R87" i="1"/>
  <c r="R88" i="1"/>
  <c r="R86" i="1"/>
  <c r="R82" i="1"/>
  <c r="R83" i="1"/>
  <c r="R84" i="1"/>
  <c r="R77" i="1"/>
  <c r="R78" i="1"/>
  <c r="R79" i="1"/>
  <c r="R80" i="1"/>
  <c r="R76" i="1"/>
  <c r="R75" i="1"/>
  <c r="R70" i="1"/>
  <c r="R71" i="1"/>
  <c r="R72" i="1"/>
  <c r="R73" i="1"/>
  <c r="R74" i="1"/>
  <c r="R69" i="1"/>
  <c r="R67" i="1"/>
  <c r="R66" i="1"/>
  <c r="R65" i="1" s="1"/>
  <c r="R59" i="1"/>
  <c r="R60" i="1"/>
  <c r="R61" i="1"/>
  <c r="R62" i="1"/>
  <c r="R63" i="1"/>
  <c r="R64" i="1"/>
  <c r="R58" i="1"/>
  <c r="R56" i="1"/>
  <c r="R55" i="1"/>
  <c r="R51" i="1"/>
  <c r="R52" i="1"/>
  <c r="R53" i="1"/>
  <c r="R50" i="1"/>
  <c r="R41" i="1"/>
  <c r="R42" i="1"/>
  <c r="R43" i="1"/>
  <c r="R44" i="1"/>
  <c r="R45" i="1"/>
  <c r="R46" i="1"/>
  <c r="R48" i="1"/>
  <c r="R40" i="1"/>
  <c r="R34" i="1"/>
  <c r="R35" i="1"/>
  <c r="R36" i="1"/>
  <c r="R31" i="1" s="1"/>
  <c r="R37" i="1"/>
  <c r="R38" i="1"/>
  <c r="R33" i="1"/>
  <c r="R30" i="1"/>
  <c r="R29" i="1"/>
  <c r="R28" i="1" s="1"/>
  <c r="R21" i="1"/>
  <c r="R22" i="1"/>
  <c r="R23" i="1"/>
  <c r="R24" i="1"/>
  <c r="R25" i="1"/>
  <c r="R26" i="1"/>
  <c r="R27" i="1"/>
  <c r="R20" i="1"/>
  <c r="R19" i="1" s="1"/>
  <c r="R7" i="1"/>
  <c r="P93" i="1"/>
  <c r="P94" i="1"/>
  <c r="P92" i="1"/>
  <c r="P91" i="1" s="1"/>
  <c r="P90" i="1"/>
  <c r="P89" i="1" s="1"/>
  <c r="P87" i="1"/>
  <c r="P88" i="1"/>
  <c r="P86" i="1"/>
  <c r="P82" i="1"/>
  <c r="P81" i="1" s="1"/>
  <c r="P83" i="1"/>
  <c r="P84" i="1"/>
  <c r="P77" i="1"/>
  <c r="P78" i="1"/>
  <c r="P79" i="1"/>
  <c r="P80" i="1"/>
  <c r="P76" i="1"/>
  <c r="P70" i="1"/>
  <c r="P71" i="1"/>
  <c r="P72" i="1"/>
  <c r="P73" i="1"/>
  <c r="P74" i="1"/>
  <c r="P69" i="1"/>
  <c r="P67" i="1"/>
  <c r="P66" i="1"/>
  <c r="P65" i="1"/>
  <c r="P59" i="1"/>
  <c r="P60" i="1"/>
  <c r="P61" i="1"/>
  <c r="P62" i="1"/>
  <c r="P63" i="1"/>
  <c r="P64" i="1"/>
  <c r="P58" i="1"/>
  <c r="P56" i="1"/>
  <c r="P54" i="1" s="1"/>
  <c r="P55" i="1"/>
  <c r="P51" i="1"/>
  <c r="P52" i="1"/>
  <c r="P53" i="1"/>
  <c r="P50" i="1"/>
  <c r="P49" i="1" s="1"/>
  <c r="P41" i="1"/>
  <c r="P42" i="1"/>
  <c r="P43" i="1"/>
  <c r="P44" i="1"/>
  <c r="P45" i="1"/>
  <c r="P46" i="1"/>
  <c r="P48" i="1"/>
  <c r="P40" i="1"/>
  <c r="P34" i="1"/>
  <c r="P35" i="1"/>
  <c r="P36" i="1"/>
  <c r="P37" i="1"/>
  <c r="P38" i="1"/>
  <c r="P33" i="1"/>
  <c r="P30" i="1"/>
  <c r="P28" i="1" s="1"/>
  <c r="P29" i="1"/>
  <c r="P21" i="1"/>
  <c r="P22" i="1"/>
  <c r="P23" i="1"/>
  <c r="P24" i="1"/>
  <c r="P25" i="1"/>
  <c r="P26" i="1"/>
  <c r="P27" i="1"/>
  <c r="P20" i="1"/>
  <c r="P7" i="1"/>
  <c r="N93" i="1"/>
  <c r="N94" i="1"/>
  <c r="N92" i="1"/>
  <c r="N90" i="1"/>
  <c r="N89" i="1" s="1"/>
  <c r="N87" i="1"/>
  <c r="N88" i="1"/>
  <c r="N86" i="1"/>
  <c r="N82" i="1"/>
  <c r="N83" i="1"/>
  <c r="N81" i="1" s="1"/>
  <c r="N84" i="1"/>
  <c r="N77" i="1"/>
  <c r="N78" i="1"/>
  <c r="N79" i="1"/>
  <c r="N80" i="1"/>
  <c r="N76" i="1"/>
  <c r="N70" i="1"/>
  <c r="N71" i="1"/>
  <c r="N72" i="1"/>
  <c r="N73" i="1"/>
  <c r="N74" i="1"/>
  <c r="N69" i="1"/>
  <c r="N67" i="1"/>
  <c r="N66" i="1"/>
  <c r="N65" i="1" s="1"/>
  <c r="N59" i="1"/>
  <c r="N60" i="1"/>
  <c r="N61" i="1"/>
  <c r="N62" i="1"/>
  <c r="N63" i="1"/>
  <c r="N64" i="1"/>
  <c r="N58" i="1"/>
  <c r="N56" i="1"/>
  <c r="N55" i="1"/>
  <c r="N54" i="1" s="1"/>
  <c r="N51" i="1"/>
  <c r="N52" i="1"/>
  <c r="N53" i="1"/>
  <c r="N50" i="1"/>
  <c r="N41" i="1"/>
  <c r="N42" i="1"/>
  <c r="N43" i="1"/>
  <c r="N44" i="1"/>
  <c r="N45" i="1"/>
  <c r="N46" i="1"/>
  <c r="N48" i="1"/>
  <c r="N40" i="1"/>
  <c r="N34" i="1"/>
  <c r="N35" i="1"/>
  <c r="N36" i="1"/>
  <c r="N37" i="1"/>
  <c r="N38" i="1"/>
  <c r="N33" i="1"/>
  <c r="N30" i="1"/>
  <c r="N29" i="1"/>
  <c r="N21" i="1"/>
  <c r="N22" i="1"/>
  <c r="N23" i="1"/>
  <c r="N24" i="1"/>
  <c r="N25" i="1"/>
  <c r="N26" i="1"/>
  <c r="N27" i="1"/>
  <c r="N20" i="1"/>
  <c r="N7" i="1"/>
  <c r="L93" i="1"/>
  <c r="L94" i="1"/>
  <c r="L92" i="1"/>
  <c r="L91" i="1" s="1"/>
  <c r="L90" i="1"/>
  <c r="L89" i="1" s="1"/>
  <c r="L87" i="1"/>
  <c r="L88" i="1"/>
  <c r="L86" i="1"/>
  <c r="L82" i="1"/>
  <c r="L83" i="1"/>
  <c r="L84" i="1"/>
  <c r="L77" i="1"/>
  <c r="L78" i="1"/>
  <c r="L79" i="1"/>
  <c r="L80" i="1"/>
  <c r="L76" i="1"/>
  <c r="L70" i="1"/>
  <c r="L71" i="1"/>
  <c r="L72" i="1"/>
  <c r="L73" i="1"/>
  <c r="L74" i="1"/>
  <c r="L69" i="1"/>
  <c r="L67" i="1"/>
  <c r="L66" i="1"/>
  <c r="L65" i="1" s="1"/>
  <c r="L59" i="1"/>
  <c r="L60" i="1"/>
  <c r="L61" i="1"/>
  <c r="L57" i="1" s="1"/>
  <c r="L62" i="1"/>
  <c r="L63" i="1"/>
  <c r="L64" i="1"/>
  <c r="L58" i="1"/>
  <c r="L56" i="1"/>
  <c r="L55" i="1"/>
  <c r="L54" i="1" s="1"/>
  <c r="L51" i="1"/>
  <c r="L52" i="1"/>
  <c r="L53" i="1"/>
  <c r="L50" i="1"/>
  <c r="L41" i="1"/>
  <c r="L42" i="1"/>
  <c r="L43" i="1"/>
  <c r="L44" i="1"/>
  <c r="L45" i="1"/>
  <c r="L46" i="1"/>
  <c r="L48" i="1"/>
  <c r="L40" i="1"/>
  <c r="L34" i="1"/>
  <c r="L35" i="1"/>
  <c r="L36" i="1"/>
  <c r="L37" i="1"/>
  <c r="L31" i="1" s="1"/>
  <c r="L38" i="1"/>
  <c r="L33" i="1"/>
  <c r="L30" i="1"/>
  <c r="L28" i="1" s="1"/>
  <c r="L29" i="1"/>
  <c r="L21" i="1"/>
  <c r="L22" i="1"/>
  <c r="L23" i="1"/>
  <c r="L24" i="1"/>
  <c r="L25" i="1"/>
  <c r="L26" i="1"/>
  <c r="L27" i="1"/>
  <c r="L20" i="1"/>
  <c r="L7" i="1"/>
  <c r="J93" i="1"/>
  <c r="J94" i="1"/>
  <c r="J92" i="1"/>
  <c r="J90" i="1"/>
  <c r="J89" i="1"/>
  <c r="J87" i="1"/>
  <c r="J88" i="1"/>
  <c r="J86" i="1"/>
  <c r="J85" i="1" s="1"/>
  <c r="J82" i="1"/>
  <c r="J81" i="1" s="1"/>
  <c r="J83" i="1"/>
  <c r="J84" i="1"/>
  <c r="J77" i="1"/>
  <c r="J78" i="1"/>
  <c r="J79" i="1"/>
  <c r="J80" i="1"/>
  <c r="J76" i="1"/>
  <c r="J70" i="1"/>
  <c r="J71" i="1"/>
  <c r="J72" i="1"/>
  <c r="J73" i="1"/>
  <c r="J74" i="1"/>
  <c r="J69" i="1"/>
  <c r="J67" i="1"/>
  <c r="J66" i="1"/>
  <c r="J65" i="1"/>
  <c r="J59" i="1"/>
  <c r="J60" i="1"/>
  <c r="J61" i="1"/>
  <c r="J62" i="1"/>
  <c r="J63" i="1"/>
  <c r="J64" i="1"/>
  <c r="J58" i="1"/>
  <c r="J56" i="1"/>
  <c r="J54" i="1" s="1"/>
  <c r="J55" i="1"/>
  <c r="J51" i="1"/>
  <c r="J52" i="1"/>
  <c r="J53" i="1"/>
  <c r="J50" i="1"/>
  <c r="J49" i="1" s="1"/>
  <c r="J41" i="1"/>
  <c r="J42" i="1"/>
  <c r="J43" i="1"/>
  <c r="J44" i="1"/>
  <c r="J45" i="1"/>
  <c r="J46" i="1"/>
  <c r="J48" i="1"/>
  <c r="J40" i="1"/>
  <c r="J38" i="1"/>
  <c r="J34" i="1"/>
  <c r="J35" i="1"/>
  <c r="J36" i="1"/>
  <c r="J37" i="1"/>
  <c r="J33" i="1"/>
  <c r="J29" i="1"/>
  <c r="J28" i="1" s="1"/>
  <c r="J21" i="1"/>
  <c r="J22" i="1"/>
  <c r="J23" i="1"/>
  <c r="J24" i="1"/>
  <c r="J25" i="1"/>
  <c r="J26" i="1"/>
  <c r="J27" i="1"/>
  <c r="J20" i="1"/>
  <c r="I19" i="1"/>
  <c r="J30" i="1"/>
  <c r="J7" i="1"/>
  <c r="H93" i="1"/>
  <c r="H94" i="1"/>
  <c r="H92" i="1"/>
  <c r="H91" i="1" s="1"/>
  <c r="H90" i="1"/>
  <c r="H89" i="1"/>
  <c r="H87" i="1"/>
  <c r="H85" i="1" s="1"/>
  <c r="H88" i="1"/>
  <c r="H86" i="1"/>
  <c r="H82" i="1"/>
  <c r="H81" i="1" s="1"/>
  <c r="H83" i="1"/>
  <c r="H84" i="1"/>
  <c r="H77" i="1"/>
  <c r="H78" i="1"/>
  <c r="H79" i="1"/>
  <c r="H80" i="1"/>
  <c r="H76" i="1"/>
  <c r="H70" i="1"/>
  <c r="H71" i="1"/>
  <c r="H72" i="1"/>
  <c r="H73" i="1"/>
  <c r="H74" i="1"/>
  <c r="H69" i="1"/>
  <c r="H67" i="1"/>
  <c r="H66" i="1"/>
  <c r="H65" i="1" s="1"/>
  <c r="H59" i="1"/>
  <c r="H60" i="1"/>
  <c r="H61" i="1"/>
  <c r="H62" i="1"/>
  <c r="H63" i="1"/>
  <c r="H64" i="1"/>
  <c r="H58" i="1"/>
  <c r="H56" i="1"/>
  <c r="H54" i="1" s="1"/>
  <c r="H55" i="1"/>
  <c r="H51" i="1"/>
  <c r="H52" i="1"/>
  <c r="H53" i="1"/>
  <c r="H50" i="1"/>
  <c r="H49" i="1" s="1"/>
  <c r="H41" i="1"/>
  <c r="H42" i="1"/>
  <c r="H43" i="1"/>
  <c r="H44" i="1"/>
  <c r="H45" i="1"/>
  <c r="H46" i="1"/>
  <c r="H48" i="1"/>
  <c r="H40" i="1"/>
  <c r="H34" i="1"/>
  <c r="H35" i="1"/>
  <c r="H36" i="1"/>
  <c r="H37" i="1"/>
  <c r="H38" i="1"/>
  <c r="H33" i="1"/>
  <c r="H31" i="1"/>
  <c r="H30" i="1"/>
  <c r="H28" i="1" s="1"/>
  <c r="H29" i="1"/>
  <c r="H21" i="1"/>
  <c r="H22" i="1"/>
  <c r="H23" i="1"/>
  <c r="H24" i="1"/>
  <c r="H25" i="1"/>
  <c r="H26" i="1"/>
  <c r="H27" i="1"/>
  <c r="H20" i="1"/>
  <c r="H10" i="1"/>
  <c r="H12" i="1"/>
  <c r="H7" i="1"/>
  <c r="Q31" i="1"/>
  <c r="Q8" i="1"/>
  <c r="Q91" i="1"/>
  <c r="Q89" i="1"/>
  <c r="Q81" i="1"/>
  <c r="Q75" i="1"/>
  <c r="Q68" i="1"/>
  <c r="Q65" i="1"/>
  <c r="Q57" i="1"/>
  <c r="Q54" i="1"/>
  <c r="Q49" i="1"/>
  <c r="Q39" i="1"/>
  <c r="Q28" i="1"/>
  <c r="Q19" i="1"/>
  <c r="O57" i="1"/>
  <c r="F19" i="1"/>
  <c r="F28" i="1"/>
  <c r="F39" i="1"/>
  <c r="F49" i="1"/>
  <c r="F54" i="1"/>
  <c r="F57" i="1"/>
  <c r="F65" i="1"/>
  <c r="F68" i="1"/>
  <c r="F75" i="1"/>
  <c r="F81" i="1"/>
  <c r="F85" i="1"/>
  <c r="F91" i="1"/>
  <c r="I28" i="1"/>
  <c r="M89" i="1"/>
  <c r="G89" i="1"/>
  <c r="K31" i="1"/>
  <c r="I65" i="1"/>
  <c r="O91" i="1"/>
  <c r="M91" i="1"/>
  <c r="K91" i="1"/>
  <c r="I91" i="1"/>
  <c r="G91" i="1"/>
  <c r="E91" i="1"/>
  <c r="D91" i="1"/>
  <c r="O89" i="1"/>
  <c r="I89" i="1"/>
  <c r="E89" i="1"/>
  <c r="D89" i="1"/>
  <c r="O85" i="1"/>
  <c r="M85" i="1"/>
  <c r="I85" i="1"/>
  <c r="G85" i="1"/>
  <c r="E85" i="1"/>
  <c r="D85" i="1"/>
  <c r="O81" i="1"/>
  <c r="M81" i="1"/>
  <c r="K81" i="1"/>
  <c r="I81" i="1"/>
  <c r="G81" i="1"/>
  <c r="D81" i="1"/>
  <c r="O75" i="1"/>
  <c r="M75" i="1"/>
  <c r="K75" i="1"/>
  <c r="I75" i="1"/>
  <c r="G75" i="1"/>
  <c r="E75" i="1"/>
  <c r="D75" i="1"/>
  <c r="O68" i="1"/>
  <c r="M68" i="1"/>
  <c r="I68" i="1"/>
  <c r="G68" i="1"/>
  <c r="E68" i="1"/>
  <c r="D68" i="1"/>
  <c r="O65" i="1"/>
  <c r="M65" i="1"/>
  <c r="K65" i="1"/>
  <c r="G65" i="1"/>
  <c r="E65" i="1"/>
  <c r="D65" i="1"/>
  <c r="K57" i="1"/>
  <c r="I57" i="1"/>
  <c r="G57" i="1"/>
  <c r="E57" i="1"/>
  <c r="D57" i="1"/>
  <c r="O54" i="1"/>
  <c r="M54" i="1"/>
  <c r="K54" i="1"/>
  <c r="I54" i="1"/>
  <c r="G54" i="1"/>
  <c r="E54" i="1"/>
  <c r="D54" i="1"/>
  <c r="O49" i="1"/>
  <c r="M49" i="1"/>
  <c r="K49" i="1"/>
  <c r="I49" i="1"/>
  <c r="G49" i="1"/>
  <c r="E49" i="1"/>
  <c r="D49" i="1"/>
  <c r="O39" i="1"/>
  <c r="O17" i="1" s="1"/>
  <c r="O96" i="1" s="1"/>
  <c r="M39" i="1"/>
  <c r="K39" i="1"/>
  <c r="I39" i="1"/>
  <c r="G39" i="1"/>
  <c r="E39" i="1"/>
  <c r="D39" i="1"/>
  <c r="O31" i="1"/>
  <c r="M31" i="1"/>
  <c r="I31" i="1"/>
  <c r="E31" i="1"/>
  <c r="D31" i="1"/>
  <c r="O28" i="1"/>
  <c r="M28" i="1"/>
  <c r="K28" i="1"/>
  <c r="G28" i="1"/>
  <c r="D28" i="1"/>
  <c r="O19" i="1"/>
  <c r="M19" i="1"/>
  <c r="K19" i="1"/>
  <c r="G19" i="1"/>
  <c r="E19" i="1"/>
  <c r="E17" i="1" s="1"/>
  <c r="D19" i="1"/>
  <c r="J9" i="1"/>
  <c r="K8" i="1"/>
  <c r="L8" i="1" s="1"/>
  <c r="L9" i="1"/>
  <c r="N9" i="1"/>
  <c r="M8" i="1"/>
  <c r="O8" i="1"/>
  <c r="P8" i="1" s="1"/>
  <c r="P9" i="1"/>
  <c r="R9" i="1"/>
  <c r="I12" i="1"/>
  <c r="K12" i="1" s="1"/>
  <c r="R85" i="1"/>
  <c r="H13" i="1"/>
  <c r="H14" i="1"/>
  <c r="P85" i="1"/>
  <c r="N28" i="1"/>
  <c r="N85" i="1"/>
  <c r="L85" i="1"/>
  <c r="S9" i="1"/>
  <c r="F16" i="1"/>
  <c r="F8" i="1"/>
  <c r="H8" i="1" s="1"/>
  <c r="S8" i="1"/>
  <c r="M96" i="2" l="1"/>
  <c r="O17" i="2"/>
  <c r="O96" i="2" s="1"/>
  <c r="N8" i="1"/>
  <c r="G17" i="1"/>
  <c r="H19" i="1"/>
  <c r="J19" i="1"/>
  <c r="J31" i="1"/>
  <c r="J39" i="1"/>
  <c r="J57" i="1"/>
  <c r="J75" i="1"/>
  <c r="P39" i="1"/>
  <c r="P57" i="1"/>
  <c r="P75" i="1"/>
  <c r="S31" i="1"/>
  <c r="K17" i="1"/>
  <c r="K96" i="1" s="1"/>
  <c r="L81" i="1"/>
  <c r="N57" i="1"/>
  <c r="N75" i="1"/>
  <c r="P19" i="1"/>
  <c r="R68" i="1"/>
  <c r="M17" i="1"/>
  <c r="M96" i="1" s="1"/>
  <c r="F17" i="1"/>
  <c r="F96" i="1" s="1"/>
  <c r="L75" i="1"/>
  <c r="R39" i="1"/>
  <c r="R17" i="1" s="1"/>
  <c r="R49" i="1"/>
  <c r="R8" i="1"/>
  <c r="H68" i="1"/>
  <c r="L39" i="1"/>
  <c r="L49" i="1"/>
  <c r="N19" i="1"/>
  <c r="N17" i="1" s="1"/>
  <c r="N39" i="1"/>
  <c r="N49" i="1"/>
  <c r="N68" i="1"/>
  <c r="P31" i="1"/>
  <c r="I11" i="1"/>
  <c r="Q17" i="1"/>
  <c r="H75" i="1"/>
  <c r="L68" i="1"/>
  <c r="K14" i="1"/>
  <c r="H57" i="1"/>
  <c r="L19" i="1"/>
  <c r="N31" i="1"/>
  <c r="N91" i="1"/>
  <c r="D17" i="1"/>
  <c r="I17" i="1"/>
  <c r="I96" i="1" s="1"/>
  <c r="J96" i="1" s="1"/>
  <c r="H39" i="1"/>
  <c r="J68" i="1"/>
  <c r="J91" i="1"/>
  <c r="P68" i="1"/>
  <c r="R54" i="1"/>
  <c r="R57" i="1"/>
  <c r="R81" i="1"/>
  <c r="S19" i="1"/>
  <c r="S39" i="1"/>
  <c r="S57" i="1"/>
  <c r="L11" i="2"/>
  <c r="M10" i="2"/>
  <c r="O10" i="2" s="1"/>
  <c r="J11" i="2"/>
  <c r="I16" i="2"/>
  <c r="F96" i="2"/>
  <c r="H96" i="2" s="1"/>
  <c r="N96" i="2"/>
  <c r="N17" i="2"/>
  <c r="L17" i="2"/>
  <c r="J17" i="2"/>
  <c r="H17" i="2"/>
  <c r="O14" i="2"/>
  <c r="H16" i="2"/>
  <c r="J96" i="2"/>
  <c r="L13" i="2"/>
  <c r="L96" i="2"/>
  <c r="K12" i="2"/>
  <c r="M12" i="2" s="1"/>
  <c r="J12" i="2"/>
  <c r="N11" i="2"/>
  <c r="G96" i="1"/>
  <c r="P17" i="1"/>
  <c r="I16" i="1"/>
  <c r="K10" i="1"/>
  <c r="J10" i="1"/>
  <c r="P96" i="1"/>
  <c r="S17" i="1"/>
  <c r="S96" i="1" s="1"/>
  <c r="Q96" i="1"/>
  <c r="R96" i="1" s="1"/>
  <c r="M12" i="1"/>
  <c r="L12" i="1"/>
  <c r="K13" i="1"/>
  <c r="H11" i="1"/>
  <c r="H16" i="1" s="1"/>
  <c r="J12" i="1"/>
  <c r="R15" i="1"/>
  <c r="M14" i="1" l="1"/>
  <c r="L14" i="1"/>
  <c r="N96" i="1"/>
  <c r="H17" i="1"/>
  <c r="K11" i="1"/>
  <c r="J11" i="1"/>
  <c r="J16" i="1" s="1"/>
  <c r="J17" i="1"/>
  <c r="H96" i="1"/>
  <c r="L17" i="1"/>
  <c r="J16" i="2"/>
  <c r="K16" i="2"/>
  <c r="O12" i="2"/>
  <c r="L14" i="2"/>
  <c r="N13" i="2"/>
  <c r="N10" i="2"/>
  <c r="L12" i="2"/>
  <c r="M16" i="2"/>
  <c r="N14" i="2"/>
  <c r="L96" i="1"/>
  <c r="M10" i="1"/>
  <c r="K16" i="1"/>
  <c r="L10" i="1"/>
  <c r="M13" i="1"/>
  <c r="L13" i="1"/>
  <c r="O12" i="1"/>
  <c r="N12" i="1"/>
  <c r="L11" i="1" l="1"/>
  <c r="M11" i="1"/>
  <c r="M16" i="1" s="1"/>
  <c r="O14" i="1"/>
  <c r="N14" i="1"/>
  <c r="L16" i="2"/>
  <c r="N12" i="2"/>
  <c r="N16" i="2" s="1"/>
  <c r="L16" i="1"/>
  <c r="O13" i="1"/>
  <c r="N13" i="1"/>
  <c r="O10" i="1"/>
  <c r="N10" i="1"/>
  <c r="P12" i="1"/>
  <c r="Q12" i="1"/>
  <c r="P14" i="1" l="1"/>
  <c r="Q14" i="1"/>
  <c r="N11" i="1"/>
  <c r="N16" i="1" s="1"/>
  <c r="O11" i="1"/>
  <c r="Q10" i="1"/>
  <c r="P10" i="1"/>
  <c r="P13" i="1"/>
  <c r="Q13" i="1"/>
  <c r="R12" i="1"/>
  <c r="S12" i="1"/>
  <c r="P11" i="1" l="1"/>
  <c r="Q11" i="1"/>
  <c r="R14" i="1"/>
  <c r="S14" i="1"/>
  <c r="P16" i="1"/>
  <c r="O16" i="1"/>
  <c r="O16" i="2"/>
  <c r="R10" i="1"/>
  <c r="S10" i="1"/>
  <c r="S13" i="1"/>
  <c r="R13" i="1"/>
  <c r="R11" i="1" l="1"/>
  <c r="S11" i="1"/>
  <c r="Q16" i="1"/>
  <c r="S16" i="1"/>
  <c r="R16" i="1"/>
</calcChain>
</file>

<file path=xl/sharedStrings.xml><?xml version="1.0" encoding="utf-8"?>
<sst xmlns="http://schemas.openxmlformats.org/spreadsheetml/2006/main" count="1099" uniqueCount="218">
  <si>
    <t xml:space="preserve">Наименование </t>
  </si>
  <si>
    <t>Раздел</t>
  </si>
  <si>
    <t>Подраздел</t>
  </si>
  <si>
    <t xml:space="preserve">Закон </t>
  </si>
  <si>
    <t>изменения</t>
  </si>
  <si>
    <t>отклонения от предыдущего варианта</t>
  </si>
  <si>
    <t>Всего расходов</t>
  </si>
  <si>
    <t>ОБЩЕГОСУДАРСТВЕННЫЕ ВОПРОСЫ</t>
  </si>
  <si>
    <t>01</t>
  </si>
  <si>
    <t/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</si>
  <si>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</si>
  <si>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</si>
  <si>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</si>
  <si>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</si>
  <si>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</si>
  <si>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</si>
  <si>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</si>
  <si>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</si>
  <si>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</si>
  <si>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</si>
  <si>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</si>
  <si>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10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</si>
  <si>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</si>
  <si>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</si>
  <si>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</si>
  <si>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</si>
  <si>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</si>
  <si>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</si>
  <si>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</si>
  <si>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</si>
  <si>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внутренних дел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</si>
  <si>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</si>
  <si>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</si>
  <si>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</si>
  <si>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</si>
  <si>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</si>
  <si>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</si>
  <si>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</si>
  <si>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</si>
  <si>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</si>
  <si>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</si>
  <si>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</si>
  <si>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Лесное хозяйство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</si>
  <si>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</si>
  <si>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</si>
  <si>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</si>
  <si>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</si>
  <si>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</si>
  <si>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</si>
  <si>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</si>
  <si>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</si>
  <si>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</si>
  <si>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</si>
  <si>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</si>
  <si>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</si>
  <si>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</si>
  <si>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</si>
  <si>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</si>
  <si>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</si>
  <si>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</si>
  <si>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</si>
  <si>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</si>
  <si>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</si>
  <si>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</si>
  <si>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</si>
  <si>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</si>
  <si>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</si>
  <si>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</si>
  <si>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</si>
  <si>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</si>
  <si>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</si>
  <si>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</si>
  <si>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</si>
  <si>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</si>
  <si>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</si>
  <si>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</si>
  <si>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</si>
  <si>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</si>
  <si>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</si>
  <si>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</si>
  <si>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</si>
  <si>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</si>
  <si>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</si>
  <si>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</si>
  <si>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</si>
  <si>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</si>
  <si>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</si>
  <si>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</si>
  <si>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</si>
  <si>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</si>
  <si>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Функционирование высшего должностного лица субъекта Российской Федерации и муниципального образования</t>
  </si>
  <si>
    <t>Водное хозяйство</t>
  </si>
  <si>
    <t>Сбор, удаление отходов и очистка сточных вод</t>
  </si>
  <si>
    <t>КУЛЬТУРА,  КИНЕМАТОГРАФИЯ</t>
  </si>
  <si>
    <t>МЕЖБЮДЖЕТНЫЕ ТРАНСФЕРТЫ ОБЩЕГО ХАРАКТЕРА БЮДЖЕТАМ БЮДЖЕТНОЙ СИСТЕМЫ РОССИЙСКОЙ ФЕДЕРАЦИИ</t>
  </si>
  <si>
    <t>Дополнительное образование детей</t>
  </si>
  <si>
    <t>Всего доходов</t>
  </si>
  <si>
    <t>Налоговые и неналоговые доходы</t>
  </si>
  <si>
    <t>Безвозмездные поступления</t>
  </si>
  <si>
    <t xml:space="preserve">Дотации  бюджетам субъектов  Российской Федерации и муниципальных образований 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</si>
  <si>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</si>
  <si>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</si>
  <si>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</si>
  <si>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(муниципальных) организаций в бюджеты субъектов Российской Федерации</t>
  </si>
  <si>
    <t>Уточнения областного бюджета в 2022 году</t>
  </si>
  <si>
    <t>Закон Липецкой области от 13.12.2021 г. №28-ОЗ "Об областном бюджете на 2022 год и на плановый период 2023 и 2024 годов"</t>
  </si>
  <si>
    <t xml:space="preserve">Утвержденный бюджет (Закон Липецкой области от 13.12.2021 г. №28-ОЗ "Об областном бюджете на 2022 год на плановый период 2023 и 2024 годов" </t>
  </si>
  <si>
    <t xml:space="preserve">Закон Липецкой области от 18.02.2022 г.  №63-ОЗ 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</si>
  <si>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15.04.2022 г. №83-ОЗ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</si>
  <si>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27.06.2022 г. №120-ОЗ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</si>
  <si>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29.07.2022 г. №131-ОЗ "О внесении изменений в Закон Липецкой области "Об областном бюджете на 2022 год и на плановый период 2023 и 2024 годов"   </t>
  </si>
  <si>
    <t xml:space="preserve">Закон Липецкой области от 23.09.2022 №166-ОЗ "О внесении изменений в Закон Липецкой области "Об областном бюджете на 2022 год и на плановый период 2023 и 2024 годов"   </t>
  </si>
  <si>
    <t>Безвозмездные поступления от негосударственных  организаций в бюджеты субъектов Российской Федерации</t>
  </si>
  <si>
    <t xml:space="preserve">Закон Липецкой области от 7.12.2022 №226-ОЗ "О внесении изменений в Закон Липецкой области "Об областном бюджете на 2022 год и на плановый период 2023 и 2024 годов"   </t>
  </si>
  <si>
    <t>Связь и информатика</t>
  </si>
  <si>
    <t>(руб.)</t>
  </si>
  <si>
    <r>
      <rPr>
        <b/>
        <sz val="14"/>
        <rFont val="Times New Roman"/>
        <family val="1"/>
        <charset val="204"/>
      </rPr>
      <t xml:space="preserve">Справочно:  </t>
    </r>
    <r>
      <rPr>
        <b/>
        <sz val="10"/>
        <rFont val="Times New Roman"/>
        <family val="1"/>
        <charset val="204"/>
      </rPr>
      <t>Дополнительно направлено при уточнениях бюджета в 20022 году</t>
    </r>
  </si>
  <si>
    <t>Уточнения областного бюджета в 2023 году</t>
  </si>
  <si>
    <t>Закон Липецкой области от 07.12.2022 г. № 243-ОЗ "Об областном бюджете на 2023 год и на плановый период 2024 и 2025 годов"</t>
  </si>
  <si>
    <t xml:space="preserve">Утвержденный бюджет (Закон Липецкой области от 07.12.2022 г. № 243-ОЗ "Об областном бюджете на 2023 год и на плановый период 2024 и 2025 годов") </t>
  </si>
  <si>
    <t>Закон Липецкой области от 07.03.2023 г. № 287-ОЗ "О внесении изменений в Закон Липецкой области "Об областном бюджете на 2023 год и на плановый период 2024 и 2025 годов"</t>
  </si>
  <si>
    <t>Закон Липецкой области от 29.05.2023 г. № 333-ОЗ "О внесении изменений в Закон Липецкой области "Об областном бюджете на 2023 год и на плановый период 2024 и 2025 годов"</t>
  </si>
  <si>
    <t xml:space="preserve">Закон Липецкой области от 14.07.2023 г. № 355-ОЗ "О внесении изменений в Закон Липецкой области "Об областном бюджете на 2023 год и на плановый период 2024 и 2025 годов"   </t>
  </si>
  <si>
    <t xml:space="preserve">
Закон Липецкой области от 31.10.2023 г. № 398-ОЗ "О внесении изменений в Закон Липецкой области "Об областном бюджете на 2023 год и на плановый период 2024 и 2025 годов"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</si>
  <si>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</si>
  <si>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Международные отношения и международное сотрудничество</t>
  </si>
  <si>
    <r>
      <rPr>
        <b/>
        <sz val="14"/>
        <rFont val="Times New Roman"/>
        <family val="1"/>
        <charset val="204"/>
      </rPr>
      <t xml:space="preserve">Справочно:  </t>
    </r>
    <r>
      <rPr>
        <b/>
        <sz val="10"/>
        <rFont val="Times New Roman"/>
        <family val="1"/>
        <charset val="204"/>
      </rPr>
      <t>Дополнительно направлено при уточнениях бюджета в 2023 году</t>
    </r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</si>
  <si>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</si>
  <si>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</si>
  <si>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Молодежная политика</t>
  </si>
  <si>
    <t>Скорая медицинская помощь</t>
  </si>
  <si>
    <t>Заготовка, переработка, хранение и обеспечение безопасности донорской крови и ее компонентов</t>
  </si>
  <si>
    <t>Уточнения областного бюджета в 2024 году</t>
  </si>
  <si>
    <t>Закон Липецкой области от 19.12.2023 г. № 423-ОЗ "Об областном бюджете на 2024 год и на плановый период 2025 и 2026 годов"</t>
  </si>
  <si>
    <t>Прикладные научные исследования в области национальной экономики</t>
  </si>
  <si>
    <t xml:space="preserve">Утвержденный бюджет (Закон Липецкой области от 19.12.2023 г. № 423-ОЗ "Об областном бюджете на 2024 год и на плановый период 2025 и 2026 годов") </t>
  </si>
  <si>
    <t>Закон Липецкой области от 22.02.2024 г. № 454-ОЗ "О внесении изменений в Закон Липецкой области "Об областном бюджете на 2024 год и на плановый период 2025 и 2026 годов"</t>
  </si>
  <si>
    <t>Справочно:  Дополнительно направлено при уточнениях бюджета в 2024 году</t>
  </si>
  <si>
    <t>Закон Липецкой области от 24.04.2024 г. № 470-ОЗ "О внесении изменений в Закон Липецкой области "Об областном бюджете на 2024 год и на плановый период 2025 и 2026 годов"</t>
  </si>
  <si>
    <t>Обслуживание государственного (муниципального) внутреннего долга</t>
  </si>
  <si>
    <t>Закон Липецкой области от 30.05.2024 г. № 486-ОЗ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</si>
  <si>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26.06.2024 г. № 503-ОЗ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</si>
  <si>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26.09.2024 г. № 517-ОЗ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</si>
  <si>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08.11.2024 г. № 537-ОЗ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</si>
  <si>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19.12.2024 г. № 579-ОЗ "О внесении изменений в Закон Липецкой области "Об областном бюджете на 2024 год и на плановый период 2025 и 2026 годов"</t>
  </si>
  <si>
    <t>Закон Липецкой области от 19.12.2024 г. № 580-ОЗ "Об областном бюджете на 2025 год и на плановый период 2026 и 2027 годов"</t>
  </si>
  <si>
    <t>Справочно:  Дополнительно направлено при уточнениях бюджета в 2025 году</t>
  </si>
  <si>
    <t xml:space="preserve">Утвержденный бюджет (Закон Липецкой области от 19.12.2024 г. № 580-ОЗ "Об областном бюджете на 2025 год и на плановый период 2026 и 2027 годов") </t>
  </si>
  <si>
    <t>Закон Липецкой области от 28.02.2025 г. № 607-ОЗ "О внесении изменений в Закон Липецкой области "Об областном бюджете на 2025 год и на плановый период 2026 и 2027 годов"</t>
  </si>
  <si>
    <t>Высшее образование</t>
  </si>
  <si>
    <t>Физическая культура</t>
  </si>
  <si>
    <t>КУЛЬТУРА, КИНЕМАТОГРАФИЯ</t>
  </si>
  <si>
    <t>ОБСЛУЖИВАНИЕ ГОСУДАРСТВЕННОГО (МУНИЦИПАЛЬНОГО) ДОЛГА</t>
  </si>
  <si>
    <t>Закон Липецкой области от 11.04.2025 г. № 634-ОЗ "О внесении изменений в Закон Липецкой области "Об областном бюджете на 2025 год и на плановый период 2026 и 2027 годов"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</si>
  <si>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</si>
  <si>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</si>
  <si>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</si>
  <si>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</si>
  <si>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</si>
  <si>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</si>
  <si>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</si>
  <si>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</si>
  <si>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</si>
  <si>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</si>
  <si>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</si>
  <si>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</si>
  <si>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</si>
  <si>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</si>
  <si>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</si>
  <si>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</si>
  <si>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</si>
  <si>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</si>
  <si>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</si>
  <si>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</si>
  <si>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НАЛОГИ НА СОВОКУПНЫЙ ДОХОД</t>
  </si>
  <si>
    <t>Налог на добычу полезных ископаемых</t>
  </si>
  <si>
    <t>НАЛОГИ НА ИМУЩЕСТВО</t>
  </si>
  <si>
    <t>КБК</t>
  </si>
  <si>
    <t>00010000000000000000</t>
  </si>
  <si>
    <t>00010100000000000000</t>
  </si>
  <si>
    <t>00010101000000000110</t>
  </si>
  <si>
    <t>00010102000010000110</t>
  </si>
  <si>
    <t>00010300000000000000</t>
  </si>
  <si>
    <t>00010302000010000110</t>
  </si>
  <si>
    <t>00010500000000000000</t>
  </si>
  <si>
    <t>00010501000000000110</t>
  </si>
  <si>
    <t>00010506000010000110</t>
  </si>
  <si>
    <t>00010600000000000000</t>
  </si>
  <si>
    <t>00010602000020000110</t>
  </si>
  <si>
    <t>00010604000020000110</t>
  </si>
  <si>
    <t>00010605000020000110</t>
  </si>
  <si>
    <t>00010700000000000000</t>
  </si>
  <si>
    <t>00010701000010000110</t>
  </si>
  <si>
    <t>00010704000010000110</t>
  </si>
  <si>
    <t>00010800000000000000</t>
  </si>
  <si>
    <t>00011100000000000000</t>
  </si>
  <si>
    <t>00011200000000000000</t>
  </si>
  <si>
    <t>00011300000000000000</t>
  </si>
  <si>
    <t>00011400000000000000</t>
  </si>
  <si>
    <t>00011500000000000000</t>
  </si>
  <si>
    <t>00011600000000000000</t>
  </si>
  <si>
    <t>00011700000000000000</t>
  </si>
  <si>
    <t>00020000000000000000</t>
  </si>
  <si>
    <t>00020210000000000150</t>
  </si>
  <si>
    <t>00020220000000000150</t>
  </si>
  <si>
    <t>00020230000000000150</t>
  </si>
  <si>
    <t>00020240000000000150</t>
  </si>
  <si>
    <t>00020302000020000150</t>
  </si>
  <si>
    <t>00020402000020000150</t>
  </si>
  <si>
    <t>Закон Липецкой области от 22.05.2025 г. № 654-ОЗ "О внесении изменений в Закон Липецкой области "Об областном бюджете на 2025 год и на плановый период 2026 и 2027 годов"</t>
  </si>
  <si>
    <t>Закон Липецкой области от 11.06.2025 г. № 661-ОЗ "О внесении изменений в Закон Липецкой области "Об областном бюджете на 2025 год и на плановый период 2026 и 2027 годов"</t>
  </si>
  <si>
    <t>Закон Липецкой области от 24.07.2025 г. № 682-ОЗ "О внесении изменений в Закон Липецкой области "Об областном бюджете на 2025 год и на плановый период 2026 и 2027 годов"</t>
  </si>
  <si>
    <t>Уточнения областного бюджета в 2025 году</t>
  </si>
  <si>
    <t>БЕЗВОЗМЕЗДНЫЕ ПОСТУПЛЕНИЯ ОТ ДРУГИХ БЮДЖЕТОВ БЮДЖЕТНОЙ СИСТЕМЫ РОССИЙСКОЙ ФЕДЕРАЦИИ</t>
  </si>
  <si>
    <t>00020200000000000000</t>
  </si>
  <si>
    <t>Закон Липецкой области от 25.09.2025 г. № 684-ОЗ "О внесении изменений в Закон Липецкой области "Об областном бюджете на 2025 год и на плановый период 2026 и 2027 годов"</t>
  </si>
  <si>
    <t>Закон Липецкой области от 14.11.2025 г. № 702-ОЗ "О внесении изменений в Закон Липецкой области "Об областном бюджете на 2025 год и на плановый период 2026 и 2027 годов"</t>
  </si>
  <si>
    <t>Закон Липецкой области от  12.12.2025 г. № 721-ОЗ "О внесении изменений в Закон Липецкой области "Об областном бюджете на 2025 год и на плановый период 2026 и 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</si>
</sst>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Border="1"/>
    <xf numFmtId="166" fontId="9" fillId="0" borderId="1" xfId="1" applyNumberFormat="1" applyFont="1" applyBorder="1"/>
    <xf numFmtId="166" fontId="9" fillId="0" borderId="1" xfId="1" applyNumberFormat="1" applyFont="1" applyBorder="1" applyAlignment="1">
      <alignment vertical="center" wrapText="1"/>
    </xf>
    <xf numFmtId="166" fontId="9" fillId="0" borderId="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6" fontId="9" fillId="0" borderId="1" xfId="1" applyNumberFormat="1" applyFont="1" applyBorder="1" applyAlignment="1">
      <alignment wrapText="1"/>
    </xf>
    <xf numFmtId="166" fontId="9" fillId="0" borderId="1" xfId="1" quotePrefix="1" applyNumberFormat="1" applyFont="1" applyBorder="1" applyAlignment="1">
      <alignment wrapText="1"/>
    </xf>
    <xf numFmtId="166" fontId="8" fillId="0" borderId="1" xfId="1" applyNumberFormat="1" applyFont="1" applyBorder="1" applyAlignment="1">
      <alignment vertical="center"/>
    </xf>
    <xf numFmtId="166" fontId="3" fillId="0" borderId="1" xfId="1" applyNumberFormat="1" applyFont="1" applyFill="1" applyBorder="1" applyAlignment="1">
      <alignment vertical="center" wrapText="1"/>
    </xf>
    <xf numFmtId="167" fontId="3" fillId="0" borderId="0" xfId="0" applyNumberFormat="1" applyFont="1"/>
    <xf numFmtId="0" fontId="9" fillId="0" borderId="0" xfId="0" applyFont="1" applyAlignment="1">
      <alignment vertical="center"/>
    </xf>
    <xf numFmtId="166" fontId="3" fillId="0" borderId="1" xfId="1" applyNumberFormat="1" applyFont="1" applyBorder="1" applyAlignment="1">
      <alignment vertical="center"/>
    </xf>
    <xf numFmtId="165" fontId="3" fillId="0" borderId="0" xfId="0" applyNumberFormat="1" applyFont="1"/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/>
    </xf>
    <xf numFmtId="166" fontId="9" fillId="0" borderId="1" xfId="1" applyNumberFormat="1" applyFont="1" applyBorder="1" applyAlignment="1">
      <alignment vertical="top" wrapText="1"/>
    </xf>
    <xf numFmtId="166" fontId="9" fillId="0" borderId="1" xfId="1" applyNumberFormat="1" applyFont="1" applyBorder="1" applyAlignment="1">
      <alignment vertical="top"/>
    </xf>
    <xf numFmtId="165" fontId="9" fillId="0" borderId="1" xfId="1" applyNumberFormat="1" applyFont="1" applyBorder="1" applyAlignment="1">
      <alignment vertical="top" wrapText="1"/>
    </xf>
    <xf numFmtId="165" fontId="9" fillId="2" borderId="1" xfId="1" applyNumberFormat="1" applyFont="1" applyFill="1" applyBorder="1" applyAlignment="1">
      <alignment vertical="top"/>
    </xf>
    <xf numFmtId="165" fontId="9" fillId="0" borderId="1" xfId="1" applyNumberFormat="1" applyFont="1" applyFill="1" applyBorder="1" applyAlignment="1">
      <alignment vertical="top" wrapText="1"/>
    </xf>
    <xf numFmtId="167" fontId="3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 wrapText="1"/>
    </xf>
    <xf numFmtId="165" fontId="6" fillId="2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top" wrapText="1"/>
    </xf>
    <xf numFmtId="165" fontId="7" fillId="2" borderId="1" xfId="1" applyNumberFormat="1" applyFont="1" applyFill="1" applyBorder="1" applyAlignment="1">
      <alignment horizontal="center" vertical="top" wrapText="1"/>
    </xf>
    <xf numFmtId="165" fontId="8" fillId="0" borderId="1" xfId="1" applyNumberFormat="1" applyFont="1" applyBorder="1" applyAlignment="1">
      <alignment vertical="top"/>
    </xf>
    <xf numFmtId="165" fontId="8" fillId="2" borderId="1" xfId="1" applyNumberFormat="1" applyFont="1" applyFill="1" applyBorder="1" applyAlignment="1">
      <alignment vertical="top"/>
    </xf>
    <xf numFmtId="165" fontId="9" fillId="0" borderId="1" xfId="1" applyNumberFormat="1" applyFont="1" applyBorder="1" applyAlignment="1">
      <alignment vertical="top"/>
    </xf>
    <xf numFmtId="165" fontId="9" fillId="0" borderId="1" xfId="1" quotePrefix="1" applyNumberFormat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/>
    </xf>
    <xf numFmtId="165" fontId="9" fillId="0" borderId="1" xfId="1" applyNumberFormat="1" applyFont="1" applyFill="1" applyBorder="1" applyAlignment="1">
      <alignment vertical="top"/>
    </xf>
    <xf numFmtId="165" fontId="9" fillId="0" borderId="1" xfId="1" quotePrefix="1" applyNumberFormat="1" applyFont="1" applyFill="1" applyBorder="1" applyAlignment="1">
      <alignment vertical="top" wrapText="1"/>
    </xf>
    <xf numFmtId="165" fontId="8" fillId="3" borderId="1" xfId="1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165" fontId="6" fillId="0" borderId="1" xfId="1" applyFont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5" fontId="9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vertical="top" wrapText="1"/>
    </xf>
    <xf numFmtId="165" fontId="9" fillId="2" borderId="1" xfId="1" applyNumberFormat="1" applyFont="1" applyFill="1" applyBorder="1" applyAlignment="1">
      <alignment horizontal="right" vertical="top" wrapText="1" shrinkToFit="1"/>
    </xf>
    <xf numFmtId="0" fontId="9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10" fillId="0" borderId="0" xfId="0" applyFont="1"/>
    <xf numFmtId="167" fontId="5" fillId="0" borderId="0" xfId="0" applyNumberFormat="1" applyFont="1"/>
    <xf numFmtId="165" fontId="11" fillId="2" borderId="1" xfId="1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165" fontId="13" fillId="0" borderId="1" xfId="1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top"/>
    </xf>
    <xf numFmtId="165" fontId="9" fillId="2" borderId="1" xfId="1" applyNumberFormat="1" applyFont="1" applyFill="1" applyBorder="1" applyAlignment="1">
      <alignment horizontal="center" vertical="top" wrapText="1"/>
    </xf>
    <xf numFmtId="165" fontId="8" fillId="2" borderId="1" xfId="1" applyNumberFormat="1" applyFont="1" applyFill="1" applyBorder="1" applyAlignment="1">
      <alignment horizontal="center" vertical="top" wrapText="1"/>
    </xf>
    <xf numFmtId="164" fontId="14" fillId="0" borderId="0" xfId="0" applyNumberFormat="1" applyFont="1"/>
    <xf numFmtId="0" fontId="12" fillId="0" borderId="0" xfId="0" applyFont="1" applyAlignment="1">
      <alignment horizontal="center"/>
    </xf>
    <xf numFmtId="165" fontId="8" fillId="2" borderId="1" xfId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horizontal="right"/>
    </xf>
    <xf numFmtId="0" fontId="9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4" fontId="3" fillId="0" borderId="4" xfId="0" applyNumberFormat="1" applyFont="1" applyBorder="1" applyAlignment="1">
      <alignment horizontal="right" vertical="center" wrapText="1" indent="1"/>
    </xf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 indent="1"/>
    </xf>
    <xf numFmtId="0" fontId="16" fillId="0" borderId="4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1" applyFont="1" applyBorder="1" applyAlignment="1">
      <alignment horizontal="center" vertical="center" wrapText="1"/>
    </xf>
    <xf numFmtId="165" fontId="9" fillId="2" borderId="1" xfId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 indent="1"/>
    </xf>
    <xf numFmtId="166" fontId="9" fillId="0" borderId="1" xfId="1" applyNumberFormat="1" applyFont="1" applyFill="1" applyBorder="1" applyAlignment="1">
      <alignment vertical="center" wrapText="1"/>
    </xf>
    <xf numFmtId="165" fontId="8" fillId="2" borderId="1" xfId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1" applyFont="1" applyFill="1" applyBorder="1" applyAlignment="1">
      <alignment horizontal="center" vertical="center" wrapText="1"/>
    </xf>
    <xf numFmtId="165" fontId="17" fillId="0" borderId="1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0" xfId="0" applyFont="1" applyFill="1"/>
    <xf numFmtId="165" fontId="8" fillId="0" borderId="1" xfId="1" applyNumberFormat="1" applyFont="1" applyFill="1" applyBorder="1" applyAlignment="1">
      <alignment vertical="top"/>
    </xf>
    <xf numFmtId="4" fontId="16" fillId="0" borderId="4" xfId="0" applyNumberFormat="1" applyFont="1" applyFill="1" applyBorder="1" applyAlignment="1">
      <alignment horizontal="right" vertical="center" wrapText="1" indent="1"/>
    </xf>
    <xf numFmtId="167" fontId="3" fillId="0" borderId="0" xfId="0" applyNumberFormat="1" applyFont="1" applyFill="1" applyAlignment="1">
      <alignment vertical="top"/>
    </xf>
    <xf numFmtId="164" fontId="14" fillId="0" borderId="0" xfId="0" applyNumberFormat="1" applyFont="1" applyFill="1" applyAlignment="1">
      <alignment vertical="top"/>
    </xf>
    <xf numFmtId="167" fontId="3" fillId="0" borderId="0" xfId="0" applyNumberFormat="1" applyFont="1" applyFill="1" applyAlignment="1">
      <alignment vertical="center"/>
    </xf>
    <xf numFmtId="167" fontId="3" fillId="0" borderId="0" xfId="0" applyNumberFormat="1" applyFont="1" applyFill="1"/>
    <xf numFmtId="0" fontId="1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9" fillId="0" borderId="1" xfId="1" applyFont="1" applyFill="1" applyBorder="1" applyAlignment="1">
      <alignment horizontal="center" vertical="center" wrapText="1"/>
    </xf>
    <xf numFmtId="165" fontId="17" fillId="0" borderId="1" xfId="1" applyFont="1" applyBorder="1" applyAlignment="1">
      <alignment horizontal="center" vertical="center" wrapText="1"/>
    </xf>
    <xf numFmtId="0" fontId="14" fillId="0" borderId="0" xfId="0" applyFont="1"/>
    <xf numFmtId="165" fontId="14" fillId="0" borderId="0" xfId="0" applyNumberFormat="1" applyFont="1" applyAlignment="1">
      <alignment vertical="top"/>
    </xf>
    <xf numFmtId="164" fontId="18" fillId="0" borderId="0" xfId="0" applyNumberFormat="1" applyFont="1" applyAlignment="1">
      <alignment horizontal="justify" vertical="center"/>
    </xf>
    <xf numFmtId="167" fontId="14" fillId="0" borderId="0" xfId="0" applyNumberFormat="1" applyFont="1" applyFill="1" applyAlignment="1">
      <alignment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  <xf numFmtId="4" fontId="16" fillId="0" borderId="4" xfId="0" applyNumberFormat="1" applyFont="1" applyFill="1" applyBorder="1" applyAlignment="1">
      <alignment horizontal="right" vertical="center" wrapText="1"/>
    </xf>
    <xf numFmtId="165" fontId="9" fillId="2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horizontal="right" vertical="center"/>
    </xf>
    <xf numFmtId="165" fontId="9" fillId="0" borderId="0" xfId="1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165" fontId="9" fillId="0" borderId="0" xfId="1" applyNumberFormat="1" applyFont="1" applyFill="1" applyBorder="1" applyAlignment="1">
      <alignment vertical="top"/>
    </xf>
    <xf numFmtId="165" fontId="9" fillId="0" borderId="0" xfId="1" applyNumberFormat="1" applyFont="1" applyFill="1" applyBorder="1" applyAlignment="1">
      <alignment vertical="center"/>
    </xf>
    <xf numFmtId="165" fontId="9" fillId="0" borderId="0" xfId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vertical="top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166" fontId="13" fillId="0" borderId="0" xfId="1" applyNumberFormat="1" applyFont="1" applyBorder="1"/>
    <xf numFmtId="165" fontId="13" fillId="2" borderId="0" xfId="1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right" vertical="center" wrapText="1" indent="1"/>
    </xf>
    <xf numFmtId="0" fontId="8" fillId="0" borderId="1" xfId="0" applyFont="1" applyBorder="1" applyAlignment="1">
      <alignment vertical="top" wrapText="1"/>
    </xf>
    <xf numFmtId="4" fontId="8" fillId="0" borderId="0" xfId="0" applyNumberFormat="1" applyFont="1" applyAlignment="1">
      <alignment horizontal="right" vertical="center" inden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011"/>
  <sheetViews>
    <sheetView zoomScale="75" zoomScaleNormal="75" workbookViewId="0">
      <pane xSplit="1" ySplit="6" topLeftCell="P7" activePane="bottomRight" state="frozen"/>
      <selection activeCell="A32" sqref="A32:XFD34"/>
      <selection pane="topRight" activeCell="A32" sqref="A32:XFD34"/>
      <selection pane="bottomLeft" activeCell="A32" sqref="A32:XFD34"/>
      <selection pane="bottomRight" activeCell="A32" sqref="A32:XFD34"/>
    </sheetView>
  </sheetViews>
  <sheetFormatPr defaultRowHeight="12.75" x14ac:dyDescent="0.2"/>
  <cols>
    <col min="1" max="1" width="55.42578125" style="1" customWidth="1"/>
    <col min="2" max="2" width="6.7109375" style="1" customWidth="1"/>
    <col min="3" max="3" width="4.28515625" style="1" customWidth="1"/>
    <col min="4" max="5" width="17.5703125" style="1" hidden="1" customWidth="1"/>
    <col min="6" max="6" width="22.85546875" style="1" customWidth="1"/>
    <col min="7" max="7" width="23.42578125" style="1" customWidth="1"/>
    <col min="8" max="8" width="22.140625" style="1" customWidth="1"/>
    <col min="9" max="9" width="24.28515625" style="1" customWidth="1"/>
    <col min="10" max="10" width="22.5703125" style="1" customWidth="1"/>
    <col min="11" max="11" width="25.5703125" style="1" customWidth="1"/>
    <col min="12" max="12" width="20.28515625" style="1" customWidth="1"/>
    <col min="13" max="13" width="25.28515625" style="1" customWidth="1"/>
    <col min="14" max="14" width="22" style="1" customWidth="1"/>
    <col min="15" max="15" width="24.7109375" style="1" customWidth="1"/>
    <col min="16" max="16" width="19.85546875" style="1" customWidth="1"/>
    <col min="17" max="17" width="24.85546875" style="1" customWidth="1"/>
    <col min="18" max="18" width="21" style="1" customWidth="1"/>
    <col min="19" max="19" width="23" style="1" customWidth="1"/>
    <col min="20" max="20" width="18.7109375" style="1" bestFit="1" customWidth="1"/>
    <col min="21" max="16384" width="9.140625" style="1"/>
  </cols>
  <sheetData>
    <row r="2" spans="1:20" ht="20.25" x14ac:dyDescent="0.3">
      <c r="A2" s="149" t="s">
        <v>104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20" ht="30.75" customHeight="1" x14ac:dyDescent="0.3">
      <c r="A3" s="148" t="s">
        <v>105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20" ht="15.75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20" ht="18.75" x14ac:dyDescent="0.3">
      <c r="H5" s="18"/>
      <c r="J5" s="18"/>
      <c r="L5" s="18"/>
      <c r="M5" s="72"/>
      <c r="N5" s="18"/>
      <c r="Q5" s="72" t="s">
        <v>115</v>
      </c>
    </row>
    <row r="6" spans="1:20" ht="133.5" customHeight="1" x14ac:dyDescent="0.2">
      <c r="A6" s="2" t="s">
        <v>0</v>
      </c>
      <c r="B6" s="146"/>
      <c r="C6" s="147"/>
      <c r="D6" s="2" t="s">
        <v>3</v>
      </c>
      <c r="E6" s="2" t="s">
        <v>4</v>
      </c>
      <c r="F6" s="56" t="s">
        <v>106</v>
      </c>
      <c r="G6" s="56" t="s">
        <v>107</v>
      </c>
      <c r="H6" s="3" t="s">
        <v>5</v>
      </c>
      <c r="I6" s="56" t="s">
        <v>108</v>
      </c>
      <c r="J6" s="3" t="s">
        <v>5</v>
      </c>
      <c r="K6" s="56" t="s">
        <v>109</v>
      </c>
      <c r="L6" s="3" t="s">
        <v>5</v>
      </c>
      <c r="M6" s="56" t="s">
        <v>110</v>
      </c>
      <c r="N6" s="3" t="s">
        <v>5</v>
      </c>
      <c r="O6" s="56" t="s">
        <v>111</v>
      </c>
      <c r="P6" s="3" t="s">
        <v>5</v>
      </c>
      <c r="Q6" s="56" t="s">
        <v>113</v>
      </c>
      <c r="R6" s="3" t="s">
        <v>5</v>
      </c>
      <c r="S6" s="3" t="s">
        <v>116</v>
      </c>
    </row>
    <row r="7" spans="1:20" ht="22.15" customHeight="1" x14ac:dyDescent="0.2">
      <c r="A7" s="27" t="s">
        <v>96</v>
      </c>
      <c r="B7" s="146"/>
      <c r="C7" s="147"/>
      <c r="D7" s="2"/>
      <c r="E7" s="2"/>
      <c r="F7" s="51">
        <v>75911489656.149994</v>
      </c>
      <c r="G7" s="51">
        <v>76664227299.149994</v>
      </c>
      <c r="H7" s="52">
        <f t="shared" ref="H7:H14" si="0">G7-F7</f>
        <v>752737643</v>
      </c>
      <c r="I7" s="51">
        <v>78403057029.759995</v>
      </c>
      <c r="J7" s="52">
        <f t="shared" ref="J7:J14" si="1">I7-G7</f>
        <v>1738829730.6100006</v>
      </c>
      <c r="K7" s="51">
        <v>78403057029.759995</v>
      </c>
      <c r="L7" s="52">
        <f>K7-I7</f>
        <v>0</v>
      </c>
      <c r="M7" s="51">
        <v>82293878704.779999</v>
      </c>
      <c r="N7" s="52">
        <f>M7-K7</f>
        <v>3890821675.0200043</v>
      </c>
      <c r="O7" s="51">
        <v>83022315795.820007</v>
      </c>
      <c r="P7" s="52">
        <f>O7-M7</f>
        <v>728437091.04000854</v>
      </c>
      <c r="Q7" s="51">
        <v>83069560374.869995</v>
      </c>
      <c r="R7" s="52">
        <f t="shared" ref="R7:R15" si="2">Q7-O7</f>
        <v>47244579.049987793</v>
      </c>
      <c r="S7" s="52">
        <f>Q7-F7</f>
        <v>7158070718.7200012</v>
      </c>
    </row>
    <row r="8" spans="1:20" ht="18.600000000000001" customHeight="1" x14ac:dyDescent="0.2">
      <c r="A8" s="50" t="s">
        <v>97</v>
      </c>
      <c r="B8" s="146"/>
      <c r="C8" s="147"/>
      <c r="D8" s="2"/>
      <c r="E8" s="2"/>
      <c r="F8" s="51">
        <f>F7-F9</f>
        <v>59197752788.939995</v>
      </c>
      <c r="G8" s="51">
        <f>G7-G9</f>
        <v>59197752788.939995</v>
      </c>
      <c r="H8" s="52">
        <f t="shared" si="0"/>
        <v>0</v>
      </c>
      <c r="I8" s="51">
        <f>I7-I9</f>
        <v>59197752788.939995</v>
      </c>
      <c r="J8" s="52">
        <f t="shared" si="1"/>
        <v>0</v>
      </c>
      <c r="K8" s="51">
        <f>K7-K9</f>
        <v>59197752788.939995</v>
      </c>
      <c r="L8" s="52">
        <f t="shared" ref="L8:L14" si="3">K8-I8</f>
        <v>0</v>
      </c>
      <c r="M8" s="51">
        <f>M7-M9</f>
        <v>61131884421.940002</v>
      </c>
      <c r="N8" s="52">
        <f t="shared" ref="N8:N14" si="4">M8-K8</f>
        <v>1934131633.0000076</v>
      </c>
      <c r="O8" s="51">
        <f>O7-O9</f>
        <v>61545093921.940002</v>
      </c>
      <c r="P8" s="52">
        <f t="shared" ref="P8:P15" si="5">O8-M8</f>
        <v>413209500</v>
      </c>
      <c r="Q8" s="51">
        <f>Q7-Q9</f>
        <v>61803195120.939995</v>
      </c>
      <c r="R8" s="52">
        <f t="shared" si="2"/>
        <v>258101198.99999237</v>
      </c>
      <c r="S8" s="52">
        <f t="shared" ref="S8:S15" si="6">Q8-F8</f>
        <v>2605442332</v>
      </c>
    </row>
    <row r="9" spans="1:20" ht="25.15" customHeight="1" x14ac:dyDescent="0.2">
      <c r="A9" s="50" t="s">
        <v>98</v>
      </c>
      <c r="B9" s="146"/>
      <c r="C9" s="147"/>
      <c r="D9" s="2"/>
      <c r="E9" s="2"/>
      <c r="F9" s="51">
        <f>15449679000+1264057867.21</f>
        <v>16713736867.209999</v>
      </c>
      <c r="G9" s="51">
        <v>17466474510.209999</v>
      </c>
      <c r="H9" s="52">
        <f t="shared" si="0"/>
        <v>752737643</v>
      </c>
      <c r="I9" s="51">
        <v>19205304240.82</v>
      </c>
      <c r="J9" s="52">
        <f t="shared" si="1"/>
        <v>1738829730.6100006</v>
      </c>
      <c r="K9" s="51">
        <v>19205304240.82</v>
      </c>
      <c r="L9" s="52">
        <f>K9-I9</f>
        <v>0</v>
      </c>
      <c r="M9" s="51">
        <v>21161994282.84</v>
      </c>
      <c r="N9" s="52">
        <f>M9-K9</f>
        <v>1956690042.0200005</v>
      </c>
      <c r="O9" s="51">
        <v>21477221873.880001</v>
      </c>
      <c r="P9" s="52">
        <f t="shared" si="5"/>
        <v>315227591.04000092</v>
      </c>
      <c r="Q9" s="51">
        <v>21266365253.93</v>
      </c>
      <c r="R9" s="52">
        <f t="shared" si="2"/>
        <v>-210856619.95000076</v>
      </c>
      <c r="S9" s="52">
        <f t="shared" si="6"/>
        <v>4552628386.7200012</v>
      </c>
    </row>
    <row r="10" spans="1:20" ht="34.15" customHeight="1" x14ac:dyDescent="0.2">
      <c r="A10" s="48" t="s">
        <v>99</v>
      </c>
      <c r="B10" s="146"/>
      <c r="C10" s="147"/>
      <c r="D10" s="2"/>
      <c r="E10" s="2"/>
      <c r="F10" s="53"/>
      <c r="G10" s="53">
        <f>F10</f>
        <v>0</v>
      </c>
      <c r="H10" s="65">
        <f t="shared" si="0"/>
        <v>0</v>
      </c>
      <c r="I10" s="53">
        <f>G10</f>
        <v>0</v>
      </c>
      <c r="J10" s="65">
        <f t="shared" si="1"/>
        <v>0</v>
      </c>
      <c r="K10" s="53">
        <f>I10</f>
        <v>0</v>
      </c>
      <c r="L10" s="52">
        <f>K10-I10</f>
        <v>0</v>
      </c>
      <c r="M10" s="53">
        <f>K10+698868600</f>
        <v>698868600</v>
      </c>
      <c r="N10" s="65">
        <f t="shared" si="4"/>
        <v>698868600</v>
      </c>
      <c r="O10" s="53">
        <f>M10</f>
        <v>698868600</v>
      </c>
      <c r="P10" s="65">
        <f t="shared" si="5"/>
        <v>0</v>
      </c>
      <c r="Q10" s="53">
        <f>O10</f>
        <v>698868600</v>
      </c>
      <c r="R10" s="65">
        <f t="shared" si="2"/>
        <v>0</v>
      </c>
      <c r="S10" s="65">
        <f t="shared" si="6"/>
        <v>698868600</v>
      </c>
      <c r="T10" s="60"/>
    </row>
    <row r="11" spans="1:20" ht="37.15" customHeight="1" x14ac:dyDescent="0.2">
      <c r="A11" s="49" t="s">
        <v>100</v>
      </c>
      <c r="B11" s="146"/>
      <c r="C11" s="147"/>
      <c r="D11" s="2"/>
      <c r="E11" s="2"/>
      <c r="F11" s="53">
        <v>9907580500</v>
      </c>
      <c r="G11" s="53">
        <f>F11+193524600</f>
        <v>10101105100</v>
      </c>
      <c r="H11" s="65">
        <f t="shared" si="0"/>
        <v>193524600</v>
      </c>
      <c r="I11" s="53">
        <f>G11+258624600</f>
        <v>10359729700</v>
      </c>
      <c r="J11" s="65">
        <f t="shared" si="1"/>
        <v>258624600</v>
      </c>
      <c r="K11" s="53">
        <f>I11</f>
        <v>10359729700</v>
      </c>
      <c r="L11" s="52">
        <f>K11-I11</f>
        <v>0</v>
      </c>
      <c r="M11" s="53">
        <f>K11+492459600</f>
        <v>10852189300</v>
      </c>
      <c r="N11" s="65">
        <f t="shared" si="4"/>
        <v>492459600</v>
      </c>
      <c r="O11" s="53">
        <f>M11+216416500</f>
        <v>11068605800</v>
      </c>
      <c r="P11" s="65">
        <f t="shared" si="5"/>
        <v>216416500</v>
      </c>
      <c r="Q11" s="53">
        <f>O11-204798900</f>
        <v>10863806900</v>
      </c>
      <c r="R11" s="65">
        <f t="shared" si="2"/>
        <v>-204798900</v>
      </c>
      <c r="S11" s="65">
        <f t="shared" si="6"/>
        <v>956226400</v>
      </c>
      <c r="T11" s="60"/>
    </row>
    <row r="12" spans="1:20" ht="37.9" customHeight="1" x14ac:dyDescent="0.2">
      <c r="A12" s="49" t="s">
        <v>101</v>
      </c>
      <c r="B12" s="146"/>
      <c r="C12" s="147"/>
      <c r="D12" s="2"/>
      <c r="E12" s="2"/>
      <c r="F12" s="53">
        <v>3035938400</v>
      </c>
      <c r="G12" s="53">
        <f>F12</f>
        <v>3035938400</v>
      </c>
      <c r="H12" s="65">
        <f t="shared" si="0"/>
        <v>0</v>
      </c>
      <c r="I12" s="53">
        <f>G12</f>
        <v>3035938400</v>
      </c>
      <c r="J12" s="65">
        <f t="shared" si="1"/>
        <v>0</v>
      </c>
      <c r="K12" s="53">
        <f>I12</f>
        <v>3035938400</v>
      </c>
      <c r="L12" s="52">
        <f t="shared" si="3"/>
        <v>0</v>
      </c>
      <c r="M12" s="53">
        <f>K12-134942400</f>
        <v>2900996000</v>
      </c>
      <c r="N12" s="65">
        <f t="shared" si="4"/>
        <v>-134942400</v>
      </c>
      <c r="O12" s="53">
        <f>M12+21982900</f>
        <v>2922978900</v>
      </c>
      <c r="P12" s="65">
        <f t="shared" si="5"/>
        <v>21982900</v>
      </c>
      <c r="Q12" s="53">
        <f>O12-27805200</f>
        <v>2895173700</v>
      </c>
      <c r="R12" s="65">
        <f t="shared" si="2"/>
        <v>-27805200</v>
      </c>
      <c r="S12" s="65">
        <f t="shared" si="6"/>
        <v>-140764700</v>
      </c>
    </row>
    <row r="13" spans="1:20" ht="16.5" x14ac:dyDescent="0.2">
      <c r="A13" s="49" t="s">
        <v>102</v>
      </c>
      <c r="B13" s="146"/>
      <c r="C13" s="147"/>
      <c r="D13" s="2"/>
      <c r="E13" s="2"/>
      <c r="F13" s="53">
        <v>2506160100</v>
      </c>
      <c r="G13" s="53">
        <f>F13+492893500</f>
        <v>2999053600</v>
      </c>
      <c r="H13" s="65">
        <f t="shared" si="0"/>
        <v>492893500</v>
      </c>
      <c r="I13" s="53">
        <f>G13+326868987.49</f>
        <v>3325922587.4899998</v>
      </c>
      <c r="J13" s="65">
        <f t="shared" si="1"/>
        <v>326868987.48999977</v>
      </c>
      <c r="K13" s="53">
        <f>I13</f>
        <v>3325922587.4899998</v>
      </c>
      <c r="L13" s="52">
        <f t="shared" si="3"/>
        <v>0</v>
      </c>
      <c r="M13" s="53">
        <f>K13+900304242.02</f>
        <v>4226226829.5099998</v>
      </c>
      <c r="N13" s="65">
        <f t="shared" si="4"/>
        <v>900304242.01999998</v>
      </c>
      <c r="O13" s="53">
        <f>M13+69988468.84</f>
        <v>4296215298.3499994</v>
      </c>
      <c r="P13" s="65">
        <f t="shared" si="5"/>
        <v>69988468.839999676</v>
      </c>
      <c r="Q13" s="53">
        <f>O13+255668948.74</f>
        <v>4551884247.0899992</v>
      </c>
      <c r="R13" s="65">
        <f t="shared" si="2"/>
        <v>255668948.73999977</v>
      </c>
      <c r="S13" s="65">
        <f t="shared" si="6"/>
        <v>2045724147.0899992</v>
      </c>
    </row>
    <row r="14" spans="1:20" ht="52.5" customHeight="1" x14ac:dyDescent="0.2">
      <c r="A14" s="49" t="s">
        <v>103</v>
      </c>
      <c r="B14" s="54"/>
      <c r="C14" s="55"/>
      <c r="D14" s="2"/>
      <c r="E14" s="2"/>
      <c r="F14" s="53">
        <v>1264057867.21</v>
      </c>
      <c r="G14" s="53">
        <f>F14+66319543</f>
        <v>1330377410.21</v>
      </c>
      <c r="H14" s="65">
        <f t="shared" si="0"/>
        <v>66319543</v>
      </c>
      <c r="I14" s="53">
        <f>G14+1153336143.12</f>
        <v>2483713553.3299999</v>
      </c>
      <c r="J14" s="65">
        <f t="shared" si="1"/>
        <v>1153336143.1199999</v>
      </c>
      <c r="K14" s="53">
        <f>I14</f>
        <v>2483713553.3299999</v>
      </c>
      <c r="L14" s="52">
        <f t="shared" si="3"/>
        <v>0</v>
      </c>
      <c r="M14" s="53">
        <f>K14</f>
        <v>2483713553.3299999</v>
      </c>
      <c r="N14" s="52">
        <f t="shared" si="4"/>
        <v>0</v>
      </c>
      <c r="O14" s="53">
        <f>M14+2528991.2</f>
        <v>2486242544.5299997</v>
      </c>
      <c r="P14" s="65">
        <f t="shared" si="5"/>
        <v>2528991.1999998093</v>
      </c>
      <c r="Q14" s="53">
        <f>O14-74086757.44-159834711.25</f>
        <v>2252321075.8399997</v>
      </c>
      <c r="R14" s="65">
        <f t="shared" si="2"/>
        <v>-233921468.69000006</v>
      </c>
      <c r="S14" s="65">
        <f t="shared" si="6"/>
        <v>988263208.62999964</v>
      </c>
    </row>
    <row r="15" spans="1:20" ht="47.25" customHeight="1" x14ac:dyDescent="0.2">
      <c r="A15" s="49" t="s">
        <v>112</v>
      </c>
      <c r="B15" s="54"/>
      <c r="C15" s="55"/>
      <c r="D15" s="2"/>
      <c r="E15" s="2"/>
      <c r="F15" s="53"/>
      <c r="G15" s="53"/>
      <c r="H15" s="65"/>
      <c r="I15" s="53"/>
      <c r="J15" s="65"/>
      <c r="K15" s="53"/>
      <c r="L15" s="52"/>
      <c r="M15" s="53"/>
      <c r="N15" s="52"/>
      <c r="O15" s="53">
        <v>4310731</v>
      </c>
      <c r="P15" s="65">
        <f t="shared" si="5"/>
        <v>4310731</v>
      </c>
      <c r="Q15" s="53">
        <f>O15</f>
        <v>4310731</v>
      </c>
      <c r="R15" s="52">
        <f t="shared" si="2"/>
        <v>0</v>
      </c>
      <c r="S15" s="65">
        <f t="shared" si="6"/>
        <v>4310731</v>
      </c>
    </row>
    <row r="16" spans="1:20" ht="38.25" hidden="1" customHeight="1" x14ac:dyDescent="0.2">
      <c r="A16" s="49"/>
      <c r="B16" s="54"/>
      <c r="C16" s="55"/>
      <c r="D16" s="2"/>
      <c r="E16" s="2"/>
      <c r="F16" s="67">
        <f>F9-F10-F11-F12-F13-F14</f>
        <v>0</v>
      </c>
      <c r="G16" s="67">
        <f>G9-G10-G11-G12-G13-G14</f>
        <v>0</v>
      </c>
      <c r="H16" s="66">
        <f t="shared" ref="H16:S16" si="7">H9-H10-H11-H12-H13-H14-H15</f>
        <v>0</v>
      </c>
      <c r="I16" s="66">
        <f t="shared" si="7"/>
        <v>0</v>
      </c>
      <c r="J16" s="66">
        <f t="shared" si="7"/>
        <v>9.5367431640625E-7</v>
      </c>
      <c r="K16" s="66">
        <f t="shared" si="7"/>
        <v>0</v>
      </c>
      <c r="L16" s="66">
        <f t="shared" si="7"/>
        <v>0</v>
      </c>
      <c r="M16" s="66">
        <f t="shared" si="7"/>
        <v>4.76837158203125E-7</v>
      </c>
      <c r="N16" s="66">
        <f t="shared" si="7"/>
        <v>4.76837158203125E-7</v>
      </c>
      <c r="O16" s="66">
        <f t="shared" si="7"/>
        <v>1.9073486328125E-6</v>
      </c>
      <c r="P16" s="66">
        <f t="shared" si="7"/>
        <v>1.430511474609375E-6</v>
      </c>
      <c r="Q16" s="66">
        <f t="shared" si="7"/>
        <v>1.430511474609375E-6</v>
      </c>
      <c r="R16" s="66">
        <f t="shared" si="7"/>
        <v>-4.76837158203125E-7</v>
      </c>
      <c r="S16" s="66">
        <f t="shared" si="7"/>
        <v>2.384185791015625E-6</v>
      </c>
      <c r="T16" s="18"/>
    </row>
    <row r="17" spans="1:19" ht="16.5" x14ac:dyDescent="0.2">
      <c r="A17" s="27" t="s">
        <v>6</v>
      </c>
      <c r="B17" s="144"/>
      <c r="C17" s="145"/>
      <c r="D17" s="5">
        <f>D19+D28+D31+D39+D49+D54+D57+D65+D68+D75+D81+D85+D89+D91</f>
        <v>0</v>
      </c>
      <c r="E17" s="5">
        <f>E19+E28+E31+E39+E49+E54+E57+E65+E68+E75+E81+E85+E89+E91</f>
        <v>0</v>
      </c>
      <c r="F17" s="33">
        <f>F19+F28+F31+F39+F49+F54+F57+F65+F68+F75+F81+F85+F89+F91</f>
        <v>85455083156.149994</v>
      </c>
      <c r="G17" s="33">
        <f>G19+G28+G31+G39+G49+G54+G57+G65+G68+G75+G81+G85+G89+G91</f>
        <v>92846959343.509995</v>
      </c>
      <c r="H17" s="52">
        <f>G17-F17</f>
        <v>7391876187.3600006</v>
      </c>
      <c r="I17" s="33">
        <f>I19+I28+I31+I39+I49+I54+I57+I65+I68+I75+I81+I85+I89+I91</f>
        <v>102177773577.75</v>
      </c>
      <c r="J17" s="52">
        <f>I17-G17</f>
        <v>9330814234.2400055</v>
      </c>
      <c r="K17" s="33">
        <f t="shared" ref="K17:R17" si="8">K19+K28+K31+K39+K49+K54+K57+K65+K68+K75+K81+K85+K89+K91</f>
        <v>102177773577.75</v>
      </c>
      <c r="L17" s="34">
        <f t="shared" si="8"/>
        <v>-9.5367431640625E-7</v>
      </c>
      <c r="M17" s="33">
        <f t="shared" si="8"/>
        <v>106068595252.76999</v>
      </c>
      <c r="N17" s="34">
        <f t="shared" si="8"/>
        <v>3890821675.0199995</v>
      </c>
      <c r="O17" s="33">
        <f t="shared" si="8"/>
        <v>106797032343.81</v>
      </c>
      <c r="P17" s="34">
        <f t="shared" si="8"/>
        <v>728437091.03999853</v>
      </c>
      <c r="Q17" s="33">
        <f t="shared" si="8"/>
        <v>106844276922.86</v>
      </c>
      <c r="R17" s="34">
        <f t="shared" si="8"/>
        <v>47244579.050000966</v>
      </c>
      <c r="S17" s="34">
        <f>Q17-F17</f>
        <v>21389193766.710007</v>
      </c>
    </row>
    <row r="18" spans="1:19" ht="38.25" x14ac:dyDescent="0.2">
      <c r="A18" s="27"/>
      <c r="B18" s="2" t="s">
        <v>1</v>
      </c>
      <c r="C18" s="2" t="s">
        <v>2</v>
      </c>
      <c r="D18" s="5"/>
      <c r="E18" s="5"/>
      <c r="F18" s="35"/>
      <c r="G18" s="35"/>
      <c r="H18" s="36"/>
      <c r="I18" s="35"/>
      <c r="J18" s="36"/>
      <c r="K18" s="35"/>
      <c r="L18" s="34"/>
      <c r="M18" s="33"/>
      <c r="N18" s="34"/>
      <c r="O18" s="33"/>
      <c r="P18" s="34"/>
      <c r="Q18" s="33"/>
      <c r="R18" s="34"/>
      <c r="S18" s="34"/>
    </row>
    <row r="19" spans="1:19" s="61" customFormat="1" ht="14.25" x14ac:dyDescent="0.2">
      <c r="A19" s="28" t="s">
        <v>7</v>
      </c>
      <c r="B19" s="29" t="s">
        <v>8</v>
      </c>
      <c r="C19" s="29" t="s">
        <v>9</v>
      </c>
      <c r="D19" s="6">
        <f t="shared" ref="D19:S19" si="9">SUM(D20:D27)</f>
        <v>0</v>
      </c>
      <c r="E19" s="6">
        <f t="shared" si="9"/>
        <v>0</v>
      </c>
      <c r="F19" s="37">
        <f t="shared" si="9"/>
        <v>4008060328.6700001</v>
      </c>
      <c r="G19" s="37">
        <f t="shared" si="9"/>
        <v>4076606406.8400002</v>
      </c>
      <c r="H19" s="38">
        <f t="shared" si="9"/>
        <v>68546078.170000076</v>
      </c>
      <c r="I19" s="37">
        <f t="shared" si="9"/>
        <v>9461572319.1500015</v>
      </c>
      <c r="J19" s="38">
        <f t="shared" si="9"/>
        <v>5384965912.3100004</v>
      </c>
      <c r="K19" s="37">
        <f t="shared" si="9"/>
        <v>9447004743.2000008</v>
      </c>
      <c r="L19" s="38">
        <f t="shared" si="9"/>
        <v>-14567575.950000763</v>
      </c>
      <c r="M19" s="37">
        <f t="shared" si="9"/>
        <v>9913462706.75</v>
      </c>
      <c r="N19" s="38">
        <f t="shared" si="9"/>
        <v>466457963.55000067</v>
      </c>
      <c r="O19" s="37">
        <f t="shared" si="9"/>
        <v>9693461893.1399994</v>
      </c>
      <c r="P19" s="38">
        <f t="shared" si="9"/>
        <v>-220000813.61000076</v>
      </c>
      <c r="Q19" s="37">
        <f t="shared" si="9"/>
        <v>10620019219.059999</v>
      </c>
      <c r="R19" s="38">
        <f t="shared" si="9"/>
        <v>926557325.92000031</v>
      </c>
      <c r="S19" s="70">
        <f t="shared" si="9"/>
        <v>6611958890.3899994</v>
      </c>
    </row>
    <row r="20" spans="1:19" ht="30" x14ac:dyDescent="0.25">
      <c r="A20" s="19" t="s">
        <v>90</v>
      </c>
      <c r="B20" s="20" t="s">
        <v>8</v>
      </c>
      <c r="C20" s="20" t="s">
        <v>10</v>
      </c>
      <c r="D20" s="7"/>
      <c r="E20" s="7"/>
      <c r="F20" s="39">
        <v>4701124</v>
      </c>
      <c r="G20" s="39">
        <v>4879404</v>
      </c>
      <c r="H20" s="24">
        <f>G20-F20</f>
        <v>178280</v>
      </c>
      <c r="I20" s="39">
        <v>4879404</v>
      </c>
      <c r="J20" s="24">
        <f>I20-G20</f>
        <v>0</v>
      </c>
      <c r="K20" s="39">
        <v>4879404</v>
      </c>
      <c r="L20" s="24">
        <f>K20-I20</f>
        <v>0</v>
      </c>
      <c r="M20" s="39">
        <v>4879404</v>
      </c>
      <c r="N20" s="24">
        <f>M20-K20</f>
        <v>0</v>
      </c>
      <c r="O20" s="39">
        <v>4879404</v>
      </c>
      <c r="P20" s="24">
        <f>O20-M20</f>
        <v>0</v>
      </c>
      <c r="Q20" s="39">
        <v>5756501</v>
      </c>
      <c r="R20" s="24">
        <f>Q20-O20</f>
        <v>877097</v>
      </c>
      <c r="S20" s="69">
        <f t="shared" ref="S20:S27" si="10">Q20-F20</f>
        <v>1055377</v>
      </c>
    </row>
    <row r="21" spans="1:19" s="10" customFormat="1" ht="45" x14ac:dyDescent="0.2">
      <c r="A21" s="19" t="s">
        <v>11</v>
      </c>
      <c r="B21" s="20" t="s">
        <v>8</v>
      </c>
      <c r="C21" s="20" t="s">
        <v>12</v>
      </c>
      <c r="D21" s="8"/>
      <c r="E21" s="9"/>
      <c r="F21" s="23">
        <v>84666100</v>
      </c>
      <c r="G21" s="23">
        <v>88832117</v>
      </c>
      <c r="H21" s="24">
        <f t="shared" ref="H21:H27" si="11">G21-F21</f>
        <v>4166017</v>
      </c>
      <c r="I21" s="23">
        <v>97605066.390000001</v>
      </c>
      <c r="J21" s="24">
        <f t="shared" ref="J21:J27" si="12">I21-G21</f>
        <v>8772949.3900000006</v>
      </c>
      <c r="K21" s="25">
        <v>97605066.390000001</v>
      </c>
      <c r="L21" s="24">
        <f t="shared" ref="L21:L27" si="13">K21-I21</f>
        <v>0</v>
      </c>
      <c r="M21" s="25">
        <v>111789640.41</v>
      </c>
      <c r="N21" s="24">
        <f t="shared" ref="N21:N27" si="14">M21-K21</f>
        <v>14184574.019999996</v>
      </c>
      <c r="O21" s="23">
        <v>114690271.25</v>
      </c>
      <c r="P21" s="24">
        <f t="shared" ref="P21:P27" si="15">O21-M21</f>
        <v>2900630.8400000036</v>
      </c>
      <c r="Q21" s="23">
        <v>113626853.98999999</v>
      </c>
      <c r="R21" s="24">
        <f t="shared" ref="R21:R27" si="16">Q21-O21</f>
        <v>-1063417.2600000054</v>
      </c>
      <c r="S21" s="69">
        <f t="shared" si="10"/>
        <v>28960753.989999995</v>
      </c>
    </row>
    <row r="22" spans="1:19" s="10" customFormat="1" ht="51.75" customHeight="1" x14ac:dyDescent="0.2">
      <c r="A22" s="19" t="s">
        <v>13</v>
      </c>
      <c r="B22" s="20" t="s">
        <v>8</v>
      </c>
      <c r="C22" s="20" t="s">
        <v>14</v>
      </c>
      <c r="D22" s="8"/>
      <c r="E22" s="9"/>
      <c r="F22" s="23">
        <v>259574224</v>
      </c>
      <c r="G22" s="23">
        <v>275221149</v>
      </c>
      <c r="H22" s="24">
        <f t="shared" si="11"/>
        <v>15646925</v>
      </c>
      <c r="I22" s="23">
        <v>275225096.91000003</v>
      </c>
      <c r="J22" s="24">
        <f t="shared" si="12"/>
        <v>3947.910000026226</v>
      </c>
      <c r="K22" s="25">
        <v>275225096.91000003</v>
      </c>
      <c r="L22" s="24">
        <f t="shared" si="13"/>
        <v>0</v>
      </c>
      <c r="M22" s="25">
        <v>275225096.91000003</v>
      </c>
      <c r="N22" s="24">
        <f t="shared" si="14"/>
        <v>0</v>
      </c>
      <c r="O22" s="23">
        <v>282725096.91000003</v>
      </c>
      <c r="P22" s="24">
        <f t="shared" si="15"/>
        <v>7500000</v>
      </c>
      <c r="Q22" s="23">
        <v>292466112.91000003</v>
      </c>
      <c r="R22" s="24">
        <f t="shared" si="16"/>
        <v>9741016</v>
      </c>
      <c r="S22" s="69">
        <f t="shared" si="10"/>
        <v>32891888.910000026</v>
      </c>
    </row>
    <row r="23" spans="1:19" ht="15" x14ac:dyDescent="0.25">
      <c r="A23" s="19" t="s">
        <v>15</v>
      </c>
      <c r="B23" s="30" t="s">
        <v>8</v>
      </c>
      <c r="C23" s="30" t="s">
        <v>16</v>
      </c>
      <c r="D23" s="11"/>
      <c r="E23" s="7"/>
      <c r="F23" s="23">
        <v>1183700</v>
      </c>
      <c r="G23" s="23">
        <v>1183700</v>
      </c>
      <c r="H23" s="24">
        <f t="shared" si="11"/>
        <v>0</v>
      </c>
      <c r="I23" s="23">
        <v>1183700</v>
      </c>
      <c r="J23" s="24">
        <f t="shared" si="12"/>
        <v>0</v>
      </c>
      <c r="K23" s="25">
        <v>1183700</v>
      </c>
      <c r="L23" s="24">
        <f t="shared" si="13"/>
        <v>0</v>
      </c>
      <c r="M23" s="25">
        <v>1183700</v>
      </c>
      <c r="N23" s="24">
        <f t="shared" si="14"/>
        <v>0</v>
      </c>
      <c r="O23" s="25">
        <v>1183700</v>
      </c>
      <c r="P23" s="24">
        <f t="shared" si="15"/>
        <v>0</v>
      </c>
      <c r="Q23" s="25">
        <v>1183700</v>
      </c>
      <c r="R23" s="24">
        <f t="shared" si="16"/>
        <v>0</v>
      </c>
      <c r="S23" s="69">
        <f t="shared" si="10"/>
        <v>0</v>
      </c>
    </row>
    <row r="24" spans="1:19" s="10" customFormat="1" ht="45" x14ac:dyDescent="0.2">
      <c r="A24" s="19" t="s">
        <v>17</v>
      </c>
      <c r="B24" s="20" t="s">
        <v>8</v>
      </c>
      <c r="C24" s="20" t="s">
        <v>18</v>
      </c>
      <c r="D24" s="8"/>
      <c r="E24" s="9"/>
      <c r="F24" s="23">
        <v>129104850</v>
      </c>
      <c r="G24" s="23">
        <v>142684592</v>
      </c>
      <c r="H24" s="24">
        <f t="shared" si="11"/>
        <v>13579742</v>
      </c>
      <c r="I24" s="23">
        <v>144240302</v>
      </c>
      <c r="J24" s="24">
        <f t="shared" si="12"/>
        <v>1555710</v>
      </c>
      <c r="K24" s="23">
        <v>144240302</v>
      </c>
      <c r="L24" s="24">
        <f t="shared" si="13"/>
        <v>0</v>
      </c>
      <c r="M24" s="23">
        <v>146158512</v>
      </c>
      <c r="N24" s="24">
        <f t="shared" si="14"/>
        <v>1918210</v>
      </c>
      <c r="O24" s="23">
        <v>146837362</v>
      </c>
      <c r="P24" s="24">
        <f t="shared" si="15"/>
        <v>678850</v>
      </c>
      <c r="Q24" s="23">
        <v>149501354</v>
      </c>
      <c r="R24" s="24">
        <f t="shared" si="16"/>
        <v>2663992</v>
      </c>
      <c r="S24" s="69">
        <f t="shared" si="10"/>
        <v>20396504</v>
      </c>
    </row>
    <row r="25" spans="1:19" ht="15" x14ac:dyDescent="0.25">
      <c r="A25" s="19" t="s">
        <v>19</v>
      </c>
      <c r="B25" s="20" t="s">
        <v>8</v>
      </c>
      <c r="C25" s="20" t="s">
        <v>20</v>
      </c>
      <c r="D25" s="11"/>
      <c r="E25" s="7"/>
      <c r="F25" s="23">
        <v>45387000</v>
      </c>
      <c r="G25" s="23">
        <v>48444025</v>
      </c>
      <c r="H25" s="24">
        <f t="shared" si="11"/>
        <v>3057025</v>
      </c>
      <c r="I25" s="23">
        <v>50145605</v>
      </c>
      <c r="J25" s="24">
        <f t="shared" si="12"/>
        <v>1701580</v>
      </c>
      <c r="K25" s="25">
        <v>50145605</v>
      </c>
      <c r="L25" s="24">
        <f t="shared" si="13"/>
        <v>0</v>
      </c>
      <c r="M25" s="25">
        <v>50337061</v>
      </c>
      <c r="N25" s="24">
        <f t="shared" si="14"/>
        <v>191456</v>
      </c>
      <c r="O25" s="25">
        <v>50867257</v>
      </c>
      <c r="P25" s="24">
        <f t="shared" si="15"/>
        <v>530196</v>
      </c>
      <c r="Q25" s="25">
        <v>52726194</v>
      </c>
      <c r="R25" s="24">
        <f t="shared" si="16"/>
        <v>1858937</v>
      </c>
      <c r="S25" s="69">
        <f t="shared" si="10"/>
        <v>7339194</v>
      </c>
    </row>
    <row r="26" spans="1:19" ht="15" x14ac:dyDescent="0.25">
      <c r="A26" s="19" t="s">
        <v>22</v>
      </c>
      <c r="B26" s="20" t="s">
        <v>8</v>
      </c>
      <c r="C26" s="20" t="s">
        <v>23</v>
      </c>
      <c r="D26" s="11"/>
      <c r="E26" s="7"/>
      <c r="F26" s="23">
        <v>500000000</v>
      </c>
      <c r="G26" s="23">
        <v>940000000</v>
      </c>
      <c r="H26" s="24">
        <f t="shared" si="11"/>
        <v>440000000</v>
      </c>
      <c r="I26" s="23">
        <v>4040000000</v>
      </c>
      <c r="J26" s="24">
        <f t="shared" si="12"/>
        <v>3100000000</v>
      </c>
      <c r="K26" s="23">
        <v>4040000000</v>
      </c>
      <c r="L26" s="24">
        <f t="shared" si="13"/>
        <v>0</v>
      </c>
      <c r="M26" s="23">
        <v>4040000000</v>
      </c>
      <c r="N26" s="24">
        <f t="shared" si="14"/>
        <v>0</v>
      </c>
      <c r="O26" s="23">
        <v>4040000000</v>
      </c>
      <c r="P26" s="24">
        <f t="shared" si="15"/>
        <v>0</v>
      </c>
      <c r="Q26" s="23">
        <v>4040000000</v>
      </c>
      <c r="R26" s="24">
        <f t="shared" si="16"/>
        <v>0</v>
      </c>
      <c r="S26" s="69">
        <f t="shared" si="10"/>
        <v>3540000000</v>
      </c>
    </row>
    <row r="27" spans="1:19" ht="15" x14ac:dyDescent="0.25">
      <c r="A27" s="19" t="s">
        <v>24</v>
      </c>
      <c r="B27" s="20" t="s">
        <v>8</v>
      </c>
      <c r="C27" s="20" t="s">
        <v>25</v>
      </c>
      <c r="D27" s="11"/>
      <c r="E27" s="7"/>
      <c r="F27" s="23">
        <v>2983443330.6700001</v>
      </c>
      <c r="G27" s="23">
        <v>2575361419.8400002</v>
      </c>
      <c r="H27" s="24">
        <f t="shared" si="11"/>
        <v>-408081910.82999992</v>
      </c>
      <c r="I27" s="23">
        <v>4848293144.8500004</v>
      </c>
      <c r="J27" s="24">
        <f t="shared" si="12"/>
        <v>2272931725.0100002</v>
      </c>
      <c r="K27" s="25">
        <v>4833725568.8999996</v>
      </c>
      <c r="L27" s="24">
        <f t="shared" si="13"/>
        <v>-14567575.950000763</v>
      </c>
      <c r="M27" s="25">
        <v>5283889292.4300003</v>
      </c>
      <c r="N27" s="24">
        <f t="shared" si="14"/>
        <v>450163723.53000069</v>
      </c>
      <c r="O27" s="23">
        <v>5052278801.9799995</v>
      </c>
      <c r="P27" s="24">
        <f t="shared" si="15"/>
        <v>-231610490.45000076</v>
      </c>
      <c r="Q27" s="23">
        <v>5964758503.1599998</v>
      </c>
      <c r="R27" s="24">
        <f t="shared" si="16"/>
        <v>912479701.18000031</v>
      </c>
      <c r="S27" s="69">
        <f t="shared" si="10"/>
        <v>2981315172.4899998</v>
      </c>
    </row>
    <row r="28" spans="1:19" s="61" customFormat="1" ht="14.25" x14ac:dyDescent="0.2">
      <c r="A28" s="28" t="s">
        <v>26</v>
      </c>
      <c r="B28" s="29" t="s">
        <v>10</v>
      </c>
      <c r="C28" s="29" t="s">
        <v>9</v>
      </c>
      <c r="D28" s="6">
        <f>SUM(D29:D30)</f>
        <v>0</v>
      </c>
      <c r="E28" s="6"/>
      <c r="F28" s="37">
        <f t="shared" ref="F28:P28" si="17">SUM(F29:F30)</f>
        <v>173434200</v>
      </c>
      <c r="G28" s="37">
        <f t="shared" si="17"/>
        <v>173434200</v>
      </c>
      <c r="H28" s="38">
        <f t="shared" si="17"/>
        <v>0</v>
      </c>
      <c r="I28" s="37">
        <f t="shared" si="17"/>
        <v>242240200</v>
      </c>
      <c r="J28" s="38">
        <f t="shared" si="17"/>
        <v>68806000</v>
      </c>
      <c r="K28" s="37">
        <f t="shared" si="17"/>
        <v>242240200</v>
      </c>
      <c r="L28" s="38">
        <f t="shared" si="17"/>
        <v>0</v>
      </c>
      <c r="M28" s="37">
        <f t="shared" si="17"/>
        <v>240135856</v>
      </c>
      <c r="N28" s="38">
        <f t="shared" si="17"/>
        <v>-2104344</v>
      </c>
      <c r="O28" s="37">
        <f t="shared" si="17"/>
        <v>237064756</v>
      </c>
      <c r="P28" s="38">
        <f t="shared" si="17"/>
        <v>-3071100</v>
      </c>
      <c r="Q28" s="37">
        <f>SUM(Q29:Q30)</f>
        <v>59672768</v>
      </c>
      <c r="R28" s="38">
        <f>SUM(R29:R30)</f>
        <v>-177391988</v>
      </c>
      <c r="S28" s="70">
        <f>SUM(S29:S30)</f>
        <v>-113761432</v>
      </c>
    </row>
    <row r="29" spans="1:19" ht="15" x14ac:dyDescent="0.25">
      <c r="A29" s="19" t="s">
        <v>27</v>
      </c>
      <c r="B29" s="20" t="s">
        <v>10</v>
      </c>
      <c r="C29" s="20" t="s">
        <v>12</v>
      </c>
      <c r="D29" s="12"/>
      <c r="E29" s="7"/>
      <c r="F29" s="40">
        <v>32453200</v>
      </c>
      <c r="G29" s="40">
        <v>32453200</v>
      </c>
      <c r="H29" s="24">
        <f>G29-F29</f>
        <v>0</v>
      </c>
      <c r="I29" s="40">
        <v>32453200</v>
      </c>
      <c r="J29" s="24">
        <f>I29-G29</f>
        <v>0</v>
      </c>
      <c r="K29" s="40">
        <v>32453200</v>
      </c>
      <c r="L29" s="24">
        <f>K29-I29</f>
        <v>0</v>
      </c>
      <c r="M29" s="40">
        <v>32453200</v>
      </c>
      <c r="N29" s="24">
        <f>M29-K29</f>
        <v>0</v>
      </c>
      <c r="O29" s="40">
        <v>34382100</v>
      </c>
      <c r="P29" s="24">
        <f>O29-M29</f>
        <v>1928900</v>
      </c>
      <c r="Q29" s="40">
        <v>34382100</v>
      </c>
      <c r="R29" s="24">
        <f>Q29-O29</f>
        <v>0</v>
      </c>
      <c r="S29" s="69">
        <f>Q29-F29</f>
        <v>1928900</v>
      </c>
    </row>
    <row r="30" spans="1:19" ht="15" x14ac:dyDescent="0.25">
      <c r="A30" s="19" t="s">
        <v>28</v>
      </c>
      <c r="B30" s="20" t="s">
        <v>10</v>
      </c>
      <c r="C30" s="20" t="s">
        <v>14</v>
      </c>
      <c r="D30" s="4"/>
      <c r="E30" s="7"/>
      <c r="F30" s="23">
        <v>140981000</v>
      </c>
      <c r="G30" s="23">
        <v>140981000</v>
      </c>
      <c r="H30" s="24">
        <f>G30-F30</f>
        <v>0</v>
      </c>
      <c r="I30" s="23">
        <v>209787000</v>
      </c>
      <c r="J30" s="24">
        <f>I30-G30</f>
        <v>68806000</v>
      </c>
      <c r="K30" s="23">
        <v>209787000</v>
      </c>
      <c r="L30" s="24">
        <f>K30-I30</f>
        <v>0</v>
      </c>
      <c r="M30" s="23">
        <v>207682656</v>
      </c>
      <c r="N30" s="24">
        <f>M30-K30</f>
        <v>-2104344</v>
      </c>
      <c r="O30" s="23">
        <v>202682656</v>
      </c>
      <c r="P30" s="24">
        <f>O30-M30</f>
        <v>-5000000</v>
      </c>
      <c r="Q30" s="23">
        <v>25290668</v>
      </c>
      <c r="R30" s="24">
        <f>Q30-O30</f>
        <v>-177391988</v>
      </c>
      <c r="S30" s="69">
        <f>Q30-F30</f>
        <v>-115690332</v>
      </c>
    </row>
    <row r="31" spans="1:19" s="62" customFormat="1" ht="28.5" x14ac:dyDescent="0.2">
      <c r="A31" s="28" t="s">
        <v>29</v>
      </c>
      <c r="B31" s="29" t="s">
        <v>12</v>
      </c>
      <c r="C31" s="29" t="s">
        <v>9</v>
      </c>
      <c r="D31" s="13">
        <f t="shared" ref="D31:P31" si="18">SUM(D32:D38)</f>
        <v>0</v>
      </c>
      <c r="E31" s="13">
        <f t="shared" si="18"/>
        <v>0</v>
      </c>
      <c r="F31" s="37">
        <f>F33+F36+F37+F38</f>
        <v>896863900</v>
      </c>
      <c r="G31" s="37">
        <f>G33+G36+G37+G38</f>
        <v>934461150</v>
      </c>
      <c r="H31" s="38">
        <f t="shared" si="18"/>
        <v>37597250</v>
      </c>
      <c r="I31" s="37">
        <f t="shared" si="18"/>
        <v>978111650</v>
      </c>
      <c r="J31" s="38">
        <f t="shared" si="18"/>
        <v>43650500</v>
      </c>
      <c r="K31" s="44">
        <f t="shared" si="18"/>
        <v>978111650</v>
      </c>
      <c r="L31" s="38">
        <f t="shared" si="18"/>
        <v>0</v>
      </c>
      <c r="M31" s="37">
        <f t="shared" si="18"/>
        <v>1067378918</v>
      </c>
      <c r="N31" s="38">
        <f t="shared" si="18"/>
        <v>89267268</v>
      </c>
      <c r="O31" s="37">
        <f t="shared" si="18"/>
        <v>1151347379.0700002</v>
      </c>
      <c r="P31" s="38">
        <f t="shared" si="18"/>
        <v>83968461.070000052</v>
      </c>
      <c r="Q31" s="37">
        <f>SUM(Q32:Q38)</f>
        <v>1240756889.5800002</v>
      </c>
      <c r="R31" s="38">
        <f>SUM(R32:R38)</f>
        <v>89409510.509999976</v>
      </c>
      <c r="S31" s="70">
        <f>SUM(S32:S38)</f>
        <v>343892989.58000004</v>
      </c>
    </row>
    <row r="32" spans="1:19" ht="15" hidden="1" customHeight="1" x14ac:dyDescent="0.25">
      <c r="A32" s="19" t="s">
        <v>30</v>
      </c>
      <c r="B32" s="20" t="s">
        <v>12</v>
      </c>
      <c r="C32" s="20" t="s">
        <v>10</v>
      </c>
      <c r="D32" s="11"/>
      <c r="E32" s="7"/>
      <c r="F32" s="23"/>
      <c r="G32" s="23"/>
      <c r="H32" s="57"/>
      <c r="I32" s="23"/>
      <c r="J32" s="57"/>
      <c r="K32" s="25"/>
      <c r="L32" s="57"/>
      <c r="M32" s="25"/>
      <c r="N32" s="57"/>
      <c r="O32" s="23"/>
      <c r="P32" s="58"/>
      <c r="Q32" s="23"/>
      <c r="R32" s="58"/>
      <c r="S32" s="58"/>
    </row>
    <row r="33" spans="1:19" ht="15" x14ac:dyDescent="0.25">
      <c r="A33" s="19" t="s">
        <v>31</v>
      </c>
      <c r="B33" s="20" t="s">
        <v>12</v>
      </c>
      <c r="C33" s="20" t="s">
        <v>14</v>
      </c>
      <c r="D33" s="11"/>
      <c r="E33" s="7"/>
      <c r="F33" s="23">
        <v>91675400</v>
      </c>
      <c r="G33" s="23">
        <v>93472700</v>
      </c>
      <c r="H33" s="24">
        <f t="shared" ref="H33:H38" si="19">G33-F33</f>
        <v>1797300</v>
      </c>
      <c r="I33" s="23">
        <v>93472700</v>
      </c>
      <c r="J33" s="24">
        <f t="shared" ref="J33:J38" si="20">I33-G33</f>
        <v>0</v>
      </c>
      <c r="K33" s="23">
        <v>93472700</v>
      </c>
      <c r="L33" s="24">
        <f t="shared" ref="L33:L38" si="21">K33-I33</f>
        <v>0</v>
      </c>
      <c r="M33" s="25">
        <v>94967718</v>
      </c>
      <c r="N33" s="24">
        <f t="shared" ref="N33:N38" si="22">M33-K33</f>
        <v>1495018</v>
      </c>
      <c r="O33" s="23">
        <v>94967718</v>
      </c>
      <c r="P33" s="24">
        <f t="shared" ref="P33:P38" si="23">O33-M33</f>
        <v>0</v>
      </c>
      <c r="Q33" s="23">
        <v>95447189.760000005</v>
      </c>
      <c r="R33" s="24">
        <f t="shared" ref="R33:R38" si="24">Q33-O33</f>
        <v>479471.76000000536</v>
      </c>
      <c r="S33" s="69">
        <f t="shared" ref="S33:S38" si="25">Q33-F33</f>
        <v>3771789.7600000054</v>
      </c>
    </row>
    <row r="34" spans="1:19" ht="34.5" hidden="1" customHeight="1" x14ac:dyDescent="0.25">
      <c r="A34" s="19" t="s">
        <v>32</v>
      </c>
      <c r="B34" s="20" t="s">
        <v>12</v>
      </c>
      <c r="C34" s="20" t="s">
        <v>33</v>
      </c>
      <c r="D34" s="11"/>
      <c r="E34" s="7"/>
      <c r="F34" s="23"/>
      <c r="G34" s="23"/>
      <c r="H34" s="24">
        <f t="shared" si="19"/>
        <v>0</v>
      </c>
      <c r="I34" s="23"/>
      <c r="J34" s="24">
        <f t="shared" si="20"/>
        <v>0</v>
      </c>
      <c r="K34" s="25"/>
      <c r="L34" s="24">
        <f t="shared" si="21"/>
        <v>0</v>
      </c>
      <c r="M34" s="25"/>
      <c r="N34" s="24">
        <f t="shared" si="22"/>
        <v>0</v>
      </c>
      <c r="O34" s="23"/>
      <c r="P34" s="24">
        <f t="shared" si="23"/>
        <v>0</v>
      </c>
      <c r="Q34" s="23"/>
      <c r="R34" s="24">
        <f t="shared" si="24"/>
        <v>0</v>
      </c>
      <c r="S34" s="69">
        <f t="shared" si="25"/>
        <v>0</v>
      </c>
    </row>
    <row r="35" spans="1:19" ht="34.5" hidden="1" customHeight="1" x14ac:dyDescent="0.25">
      <c r="A35" s="19" t="s">
        <v>32</v>
      </c>
      <c r="B35" s="20" t="s">
        <v>12</v>
      </c>
      <c r="C35" s="20" t="s">
        <v>33</v>
      </c>
      <c r="D35" s="21"/>
      <c r="E35" s="22"/>
      <c r="F35" s="59"/>
      <c r="G35" s="59"/>
      <c r="H35" s="24">
        <f t="shared" si="19"/>
        <v>0</v>
      </c>
      <c r="I35" s="23"/>
      <c r="J35" s="24">
        <f t="shared" si="20"/>
        <v>0</v>
      </c>
      <c r="K35" s="25"/>
      <c r="L35" s="24">
        <f t="shared" si="21"/>
        <v>0</v>
      </c>
      <c r="M35" s="25"/>
      <c r="N35" s="24">
        <f t="shared" si="22"/>
        <v>0</v>
      </c>
      <c r="O35" s="23"/>
      <c r="P35" s="24">
        <f t="shared" si="23"/>
        <v>0</v>
      </c>
      <c r="Q35" s="23"/>
      <c r="R35" s="24">
        <f t="shared" si="24"/>
        <v>0</v>
      </c>
      <c r="S35" s="69">
        <f t="shared" si="25"/>
        <v>0</v>
      </c>
    </row>
    <row r="36" spans="1:19" ht="15" x14ac:dyDescent="0.25">
      <c r="A36" s="19" t="s">
        <v>34</v>
      </c>
      <c r="B36" s="20" t="s">
        <v>12</v>
      </c>
      <c r="C36" s="20" t="s">
        <v>21</v>
      </c>
      <c r="D36" s="11"/>
      <c r="E36" s="7"/>
      <c r="F36" s="23">
        <v>709335500</v>
      </c>
      <c r="G36" s="23">
        <v>740933030</v>
      </c>
      <c r="H36" s="24">
        <f t="shared" si="19"/>
        <v>31597530</v>
      </c>
      <c r="I36" s="23">
        <v>760933030</v>
      </c>
      <c r="J36" s="24">
        <f t="shared" si="20"/>
        <v>20000000</v>
      </c>
      <c r="K36" s="23">
        <v>760933030</v>
      </c>
      <c r="L36" s="24">
        <f t="shared" si="21"/>
        <v>0</v>
      </c>
      <c r="M36" s="23">
        <v>777785230</v>
      </c>
      <c r="N36" s="24">
        <f t="shared" si="22"/>
        <v>16852200</v>
      </c>
      <c r="O36" s="23">
        <v>790196191.07000005</v>
      </c>
      <c r="P36" s="24">
        <f t="shared" si="23"/>
        <v>12410961.070000052</v>
      </c>
      <c r="Q36" s="23">
        <v>814458891.10000002</v>
      </c>
      <c r="R36" s="24">
        <f t="shared" si="24"/>
        <v>24262700.029999971</v>
      </c>
      <c r="S36" s="69">
        <f t="shared" si="25"/>
        <v>105123391.10000002</v>
      </c>
    </row>
    <row r="37" spans="1:19" ht="15" x14ac:dyDescent="0.25">
      <c r="A37" s="19" t="s">
        <v>35</v>
      </c>
      <c r="B37" s="20" t="s">
        <v>12</v>
      </c>
      <c r="C37" s="20" t="s">
        <v>23</v>
      </c>
      <c r="D37" s="11"/>
      <c r="E37" s="7"/>
      <c r="F37" s="23">
        <v>31330000</v>
      </c>
      <c r="G37" s="23">
        <v>32070800</v>
      </c>
      <c r="H37" s="24">
        <f t="shared" si="19"/>
        <v>740800</v>
      </c>
      <c r="I37" s="23">
        <v>55297300</v>
      </c>
      <c r="J37" s="24">
        <f t="shared" si="20"/>
        <v>23226500</v>
      </c>
      <c r="K37" s="25">
        <v>55297300</v>
      </c>
      <c r="L37" s="24">
        <f t="shared" si="21"/>
        <v>0</v>
      </c>
      <c r="M37" s="25">
        <v>123354700</v>
      </c>
      <c r="N37" s="24">
        <f t="shared" si="22"/>
        <v>68057400</v>
      </c>
      <c r="O37" s="25">
        <v>194662200</v>
      </c>
      <c r="P37" s="24">
        <f t="shared" si="23"/>
        <v>71307500</v>
      </c>
      <c r="Q37" s="25">
        <v>261544388</v>
      </c>
      <c r="R37" s="24">
        <f t="shared" si="24"/>
        <v>66882188</v>
      </c>
      <c r="S37" s="69">
        <f t="shared" si="25"/>
        <v>230214388</v>
      </c>
    </row>
    <row r="38" spans="1:19" s="10" customFormat="1" ht="30" x14ac:dyDescent="0.2">
      <c r="A38" s="19" t="s">
        <v>36</v>
      </c>
      <c r="B38" s="20" t="s">
        <v>12</v>
      </c>
      <c r="C38" s="20" t="s">
        <v>37</v>
      </c>
      <c r="D38" s="14"/>
      <c r="E38" s="9"/>
      <c r="F38" s="25">
        <v>64523000</v>
      </c>
      <c r="G38" s="23">
        <v>67984620</v>
      </c>
      <c r="H38" s="24">
        <f t="shared" si="19"/>
        <v>3461620</v>
      </c>
      <c r="I38" s="25">
        <v>68408620</v>
      </c>
      <c r="J38" s="24">
        <f t="shared" si="20"/>
        <v>424000</v>
      </c>
      <c r="K38" s="25">
        <v>68408620</v>
      </c>
      <c r="L38" s="24">
        <f t="shared" si="21"/>
        <v>0</v>
      </c>
      <c r="M38" s="25">
        <v>71271270</v>
      </c>
      <c r="N38" s="24">
        <f t="shared" si="22"/>
        <v>2862650</v>
      </c>
      <c r="O38" s="23">
        <v>71521270</v>
      </c>
      <c r="P38" s="24">
        <f t="shared" si="23"/>
        <v>250000</v>
      </c>
      <c r="Q38" s="23">
        <v>69306420.719999999</v>
      </c>
      <c r="R38" s="24">
        <f t="shared" si="24"/>
        <v>-2214849.2800000012</v>
      </c>
      <c r="S38" s="69">
        <f t="shared" si="25"/>
        <v>4783420.7199999988</v>
      </c>
    </row>
    <row r="39" spans="1:19" s="61" customFormat="1" ht="14.25" x14ac:dyDescent="0.2">
      <c r="A39" s="31" t="s">
        <v>38</v>
      </c>
      <c r="B39" s="32" t="s">
        <v>14</v>
      </c>
      <c r="C39" s="29" t="s">
        <v>9</v>
      </c>
      <c r="D39" s="6">
        <f t="shared" ref="D39:O39" si="26">SUM(D40:D48)</f>
        <v>0</v>
      </c>
      <c r="E39" s="6">
        <f t="shared" si="26"/>
        <v>0</v>
      </c>
      <c r="F39" s="37">
        <f t="shared" si="26"/>
        <v>18996790811.639999</v>
      </c>
      <c r="G39" s="37">
        <f t="shared" si="26"/>
        <v>21945531349.079998</v>
      </c>
      <c r="H39" s="38">
        <f>SUM(H40:H48)</f>
        <v>2948740537.4399986</v>
      </c>
      <c r="I39" s="37">
        <f t="shared" si="26"/>
        <v>23818360148.43</v>
      </c>
      <c r="J39" s="38">
        <f>SUM(J40:J48)</f>
        <v>1872828799.3500004</v>
      </c>
      <c r="K39" s="37">
        <f t="shared" si="26"/>
        <v>23832927724.379997</v>
      </c>
      <c r="L39" s="41">
        <f>SUM(L40:L48)</f>
        <v>14567575.949999809</v>
      </c>
      <c r="M39" s="37">
        <f t="shared" si="26"/>
        <v>24292846200.369999</v>
      </c>
      <c r="N39" s="38">
        <f>SUM(N40:N48)</f>
        <v>459918475.99000037</v>
      </c>
      <c r="O39" s="37">
        <f t="shared" si="26"/>
        <v>24753207367.579994</v>
      </c>
      <c r="P39" s="38">
        <f>SUM(P40:P48)</f>
        <v>460361167.20999944</v>
      </c>
      <c r="Q39" s="37">
        <f>SUM(Q40:Q48)</f>
        <v>24817267466.659996</v>
      </c>
      <c r="R39" s="38">
        <f>SUM(R40:R48)</f>
        <v>64060099.080000401</v>
      </c>
      <c r="S39" s="70">
        <f>SUM(S40:S48)</f>
        <v>5820476655.0199995</v>
      </c>
    </row>
    <row r="40" spans="1:19" ht="15" x14ac:dyDescent="0.25">
      <c r="A40" s="19" t="s">
        <v>39</v>
      </c>
      <c r="B40" s="20" t="s">
        <v>14</v>
      </c>
      <c r="C40" s="20" t="s">
        <v>8</v>
      </c>
      <c r="D40" s="12"/>
      <c r="E40" s="7"/>
      <c r="F40" s="40">
        <v>393261000.47000003</v>
      </c>
      <c r="G40" s="40">
        <v>456493440.51999998</v>
      </c>
      <c r="H40" s="24">
        <f>G40-F40</f>
        <v>63232440.049999952</v>
      </c>
      <c r="I40" s="40">
        <v>699561140.19000006</v>
      </c>
      <c r="J40" s="24">
        <f>I40-G40</f>
        <v>243067699.67000008</v>
      </c>
      <c r="K40" s="40">
        <v>699561140.19000006</v>
      </c>
      <c r="L40" s="24">
        <f>K40-I40</f>
        <v>0</v>
      </c>
      <c r="M40" s="40">
        <v>724972344.47000003</v>
      </c>
      <c r="N40" s="24">
        <f>M40-K40</f>
        <v>25411204.279999971</v>
      </c>
      <c r="O40" s="23">
        <v>632940546.87</v>
      </c>
      <c r="P40" s="24">
        <f>O40-M40</f>
        <v>-92031797.600000024</v>
      </c>
      <c r="Q40" s="23">
        <v>532599757.87</v>
      </c>
      <c r="R40" s="24">
        <f>Q40-O40</f>
        <v>-100340789</v>
      </c>
      <c r="S40" s="69">
        <f t="shared" ref="S40:S47" si="27">Q40-F40</f>
        <v>139338757.39999998</v>
      </c>
    </row>
    <row r="41" spans="1:19" ht="15" x14ac:dyDescent="0.25">
      <c r="A41" s="19" t="s">
        <v>40</v>
      </c>
      <c r="B41" s="20" t="s">
        <v>14</v>
      </c>
      <c r="C41" s="20" t="s">
        <v>14</v>
      </c>
      <c r="D41" s="11"/>
      <c r="E41" s="7"/>
      <c r="F41" s="23">
        <v>4572000</v>
      </c>
      <c r="G41" s="23">
        <v>4572000</v>
      </c>
      <c r="H41" s="24">
        <f t="shared" ref="H41:H48" si="28">G41-F41</f>
        <v>0</v>
      </c>
      <c r="I41" s="23">
        <v>4572000</v>
      </c>
      <c r="J41" s="24">
        <f t="shared" ref="J41:J48" si="29">I41-G41</f>
        <v>0</v>
      </c>
      <c r="K41" s="23">
        <v>4572000</v>
      </c>
      <c r="L41" s="24">
        <f t="shared" ref="L41:L48" si="30">K41-I41</f>
        <v>0</v>
      </c>
      <c r="M41" s="23">
        <v>4572000</v>
      </c>
      <c r="N41" s="24">
        <f t="shared" ref="N41:N48" si="31">M41-K41</f>
        <v>0</v>
      </c>
      <c r="O41" s="23">
        <v>4566065</v>
      </c>
      <c r="P41" s="24">
        <f t="shared" ref="P41:P48" si="32">O41-M41</f>
        <v>-5935</v>
      </c>
      <c r="Q41" s="23">
        <v>4566065</v>
      </c>
      <c r="R41" s="24">
        <f t="shared" ref="R41:R48" si="33">Q41-O41</f>
        <v>0</v>
      </c>
      <c r="S41" s="69">
        <f t="shared" si="27"/>
        <v>-5935</v>
      </c>
    </row>
    <row r="42" spans="1:19" ht="15" x14ac:dyDescent="0.25">
      <c r="A42" s="19" t="s">
        <v>41</v>
      </c>
      <c r="B42" s="20" t="s">
        <v>14</v>
      </c>
      <c r="C42" s="20" t="s">
        <v>16</v>
      </c>
      <c r="D42" s="11"/>
      <c r="E42" s="7"/>
      <c r="F42" s="23">
        <v>3162092167.3800001</v>
      </c>
      <c r="G42" s="23">
        <v>3204714751.5</v>
      </c>
      <c r="H42" s="24">
        <f t="shared" si="28"/>
        <v>42622584.119999886</v>
      </c>
      <c r="I42" s="23">
        <v>3656362121.27</v>
      </c>
      <c r="J42" s="24">
        <f t="shared" si="29"/>
        <v>451647369.76999998</v>
      </c>
      <c r="K42" s="25">
        <v>3656362121.27</v>
      </c>
      <c r="L42" s="24">
        <f t="shared" si="30"/>
        <v>0</v>
      </c>
      <c r="M42" s="25">
        <v>3686110005.27</v>
      </c>
      <c r="N42" s="24">
        <f t="shared" si="31"/>
        <v>29747884</v>
      </c>
      <c r="O42" s="23">
        <v>3741023909.9299998</v>
      </c>
      <c r="P42" s="24">
        <f t="shared" si="32"/>
        <v>54913904.659999847</v>
      </c>
      <c r="Q42" s="23">
        <v>3952888343.7800002</v>
      </c>
      <c r="R42" s="24">
        <f t="shared" si="33"/>
        <v>211864433.85000038</v>
      </c>
      <c r="S42" s="69">
        <f t="shared" si="27"/>
        <v>790796176.4000001</v>
      </c>
    </row>
    <row r="43" spans="1:19" ht="15" x14ac:dyDescent="0.25">
      <c r="A43" s="19" t="s">
        <v>91</v>
      </c>
      <c r="B43" s="20" t="s">
        <v>14</v>
      </c>
      <c r="C43" s="20" t="s">
        <v>18</v>
      </c>
      <c r="D43" s="11"/>
      <c r="E43" s="7"/>
      <c r="F43" s="23">
        <v>198987900</v>
      </c>
      <c r="G43" s="23">
        <v>202058020</v>
      </c>
      <c r="H43" s="24">
        <f t="shared" si="28"/>
        <v>3070120</v>
      </c>
      <c r="I43" s="23">
        <v>199633916.94</v>
      </c>
      <c r="J43" s="24">
        <f t="shared" si="29"/>
        <v>-2424103.0600000024</v>
      </c>
      <c r="K43" s="25">
        <v>199633916.94</v>
      </c>
      <c r="L43" s="24">
        <f t="shared" si="30"/>
        <v>0</v>
      </c>
      <c r="M43" s="25">
        <v>238374616.94</v>
      </c>
      <c r="N43" s="24">
        <f t="shared" si="31"/>
        <v>38740700</v>
      </c>
      <c r="O43" s="25">
        <v>238374616.94</v>
      </c>
      <c r="P43" s="24">
        <f t="shared" si="32"/>
        <v>0</v>
      </c>
      <c r="Q43" s="25">
        <v>241518615.84999999</v>
      </c>
      <c r="R43" s="24">
        <f t="shared" si="33"/>
        <v>3143998.9099999964</v>
      </c>
      <c r="S43" s="69">
        <f t="shared" si="27"/>
        <v>42530715.849999994</v>
      </c>
    </row>
    <row r="44" spans="1:19" ht="15" x14ac:dyDescent="0.25">
      <c r="A44" s="19" t="s">
        <v>42</v>
      </c>
      <c r="B44" s="20" t="s">
        <v>14</v>
      </c>
      <c r="C44" s="20" t="s">
        <v>20</v>
      </c>
      <c r="D44" s="11"/>
      <c r="E44" s="7"/>
      <c r="F44" s="23">
        <v>467435700</v>
      </c>
      <c r="G44" s="23">
        <v>481478509</v>
      </c>
      <c r="H44" s="24">
        <f t="shared" si="28"/>
        <v>14042809</v>
      </c>
      <c r="I44" s="23">
        <v>483478509</v>
      </c>
      <c r="J44" s="24">
        <f t="shared" si="29"/>
        <v>2000000</v>
      </c>
      <c r="K44" s="25">
        <v>483478509</v>
      </c>
      <c r="L44" s="24">
        <f t="shared" si="30"/>
        <v>0</v>
      </c>
      <c r="M44" s="25">
        <v>483617709</v>
      </c>
      <c r="N44" s="24">
        <f t="shared" si="31"/>
        <v>139200</v>
      </c>
      <c r="O44" s="23">
        <v>483617709</v>
      </c>
      <c r="P44" s="24">
        <f t="shared" si="32"/>
        <v>0</v>
      </c>
      <c r="Q44" s="23">
        <v>485053237</v>
      </c>
      <c r="R44" s="24">
        <f t="shared" si="33"/>
        <v>1435528</v>
      </c>
      <c r="S44" s="69">
        <f t="shared" si="27"/>
        <v>17617537</v>
      </c>
    </row>
    <row r="45" spans="1:19" ht="15" x14ac:dyDescent="0.25">
      <c r="A45" s="19" t="s">
        <v>43</v>
      </c>
      <c r="B45" s="20" t="s">
        <v>14</v>
      </c>
      <c r="C45" s="20" t="s">
        <v>44</v>
      </c>
      <c r="D45" s="11"/>
      <c r="E45" s="7"/>
      <c r="F45" s="23">
        <v>986703292</v>
      </c>
      <c r="G45" s="23">
        <v>1167181576.5999999</v>
      </c>
      <c r="H45" s="24">
        <f t="shared" si="28"/>
        <v>180478284.5999999</v>
      </c>
      <c r="I45" s="23">
        <v>1178416405.8800001</v>
      </c>
      <c r="J45" s="24">
        <f t="shared" si="29"/>
        <v>11234829.28000021</v>
      </c>
      <c r="K45" s="25">
        <v>1178416405.8800001</v>
      </c>
      <c r="L45" s="24">
        <f t="shared" si="30"/>
        <v>0</v>
      </c>
      <c r="M45" s="25">
        <v>1169216405.8800001</v>
      </c>
      <c r="N45" s="24">
        <f t="shared" si="31"/>
        <v>-9200000</v>
      </c>
      <c r="O45" s="23">
        <v>1169158905.8800001</v>
      </c>
      <c r="P45" s="24">
        <f t="shared" si="32"/>
        <v>-57500</v>
      </c>
      <c r="Q45" s="23">
        <v>1067007284.11</v>
      </c>
      <c r="R45" s="24">
        <f t="shared" si="33"/>
        <v>-102151621.7700001</v>
      </c>
      <c r="S45" s="69">
        <f t="shared" si="27"/>
        <v>80303992.110000014</v>
      </c>
    </row>
    <row r="46" spans="1:19" ht="15" x14ac:dyDescent="0.25">
      <c r="A46" s="19" t="s">
        <v>45</v>
      </c>
      <c r="B46" s="20" t="s">
        <v>14</v>
      </c>
      <c r="C46" s="20" t="s">
        <v>33</v>
      </c>
      <c r="D46" s="11"/>
      <c r="E46" s="7"/>
      <c r="F46" s="23">
        <v>10290777263.5</v>
      </c>
      <c r="G46" s="23">
        <v>12504576805.049999</v>
      </c>
      <c r="H46" s="24">
        <f t="shared" si="28"/>
        <v>2213799541.5499992</v>
      </c>
      <c r="I46" s="23">
        <v>12504576805.049999</v>
      </c>
      <c r="J46" s="24">
        <f t="shared" si="29"/>
        <v>0</v>
      </c>
      <c r="K46" s="23">
        <v>12504576805.049999</v>
      </c>
      <c r="L46" s="24">
        <f t="shared" si="30"/>
        <v>0</v>
      </c>
      <c r="M46" s="23">
        <v>12706140383.049999</v>
      </c>
      <c r="N46" s="24">
        <f t="shared" si="31"/>
        <v>201563578</v>
      </c>
      <c r="O46" s="23">
        <v>13119349883.049999</v>
      </c>
      <c r="P46" s="24">
        <f t="shared" si="32"/>
        <v>413209500</v>
      </c>
      <c r="Q46" s="23">
        <v>13376003703.049999</v>
      </c>
      <c r="R46" s="24">
        <f t="shared" si="33"/>
        <v>256653820</v>
      </c>
      <c r="S46" s="69">
        <f t="shared" si="27"/>
        <v>3085226439.5499992</v>
      </c>
    </row>
    <row r="47" spans="1:19" ht="15" x14ac:dyDescent="0.25">
      <c r="A47" s="19" t="s">
        <v>114</v>
      </c>
      <c r="B47" s="20" t="s">
        <v>14</v>
      </c>
      <c r="C47" s="20" t="s">
        <v>21</v>
      </c>
      <c r="D47" s="11"/>
      <c r="E47" s="7"/>
      <c r="F47" s="23">
        <v>560080400</v>
      </c>
      <c r="G47" s="23">
        <v>586018533</v>
      </c>
      <c r="H47" s="24">
        <f t="shared" si="28"/>
        <v>25938133</v>
      </c>
      <c r="I47" s="23">
        <v>628725852.39999998</v>
      </c>
      <c r="J47" s="24">
        <f t="shared" si="29"/>
        <v>42707319.399999976</v>
      </c>
      <c r="K47" s="23">
        <v>628725852.39999998</v>
      </c>
      <c r="L47" s="24">
        <f t="shared" si="30"/>
        <v>0</v>
      </c>
      <c r="M47" s="23">
        <v>683932822.25999999</v>
      </c>
      <c r="N47" s="24">
        <f t="shared" si="31"/>
        <v>55206969.860000014</v>
      </c>
      <c r="O47" s="23">
        <v>684482822.25999999</v>
      </c>
      <c r="P47" s="24">
        <f t="shared" si="32"/>
        <v>550000</v>
      </c>
      <c r="Q47" s="23">
        <v>677468072.25999999</v>
      </c>
      <c r="R47" s="24">
        <f t="shared" si="33"/>
        <v>-7014750</v>
      </c>
      <c r="S47" s="69">
        <f t="shared" si="27"/>
        <v>117387672.25999999</v>
      </c>
    </row>
    <row r="48" spans="1:19" s="10" customFormat="1" ht="15" x14ac:dyDescent="0.2">
      <c r="A48" s="19" t="s">
        <v>46</v>
      </c>
      <c r="B48" s="20" t="s">
        <v>14</v>
      </c>
      <c r="C48" s="20" t="s">
        <v>47</v>
      </c>
      <c r="D48" s="8"/>
      <c r="E48" s="9"/>
      <c r="F48" s="23">
        <v>2932881088.29</v>
      </c>
      <c r="G48" s="23">
        <v>3338437713.4099998</v>
      </c>
      <c r="H48" s="24">
        <f t="shared" si="28"/>
        <v>405556625.11999989</v>
      </c>
      <c r="I48" s="23">
        <v>4463033397.6999998</v>
      </c>
      <c r="J48" s="24">
        <f t="shared" si="29"/>
        <v>1124595684.29</v>
      </c>
      <c r="K48" s="25">
        <v>4477600973.6499996</v>
      </c>
      <c r="L48" s="24">
        <f t="shared" si="30"/>
        <v>14567575.949999809</v>
      </c>
      <c r="M48" s="25">
        <v>4595909913.5</v>
      </c>
      <c r="N48" s="24">
        <f t="shared" si="31"/>
        <v>118308939.85000038</v>
      </c>
      <c r="O48" s="23">
        <v>4679692908.6499996</v>
      </c>
      <c r="P48" s="24">
        <f t="shared" si="32"/>
        <v>83782995.149999619</v>
      </c>
      <c r="Q48" s="23">
        <v>4480162387.7399998</v>
      </c>
      <c r="R48" s="24">
        <f t="shared" si="33"/>
        <v>-199530520.90999985</v>
      </c>
      <c r="S48" s="69">
        <f>Q48-F48</f>
        <v>1547281299.4499998</v>
      </c>
    </row>
    <row r="49" spans="1:19" s="61" customFormat="1" ht="14.25" x14ac:dyDescent="0.2">
      <c r="A49" s="28" t="s">
        <v>48</v>
      </c>
      <c r="B49" s="29" t="s">
        <v>16</v>
      </c>
      <c r="C49" s="29" t="s">
        <v>9</v>
      </c>
      <c r="D49" s="6">
        <f t="shared" ref="D49:O49" si="34">SUM(D50:D53)</f>
        <v>0</v>
      </c>
      <c r="E49" s="6">
        <f t="shared" si="34"/>
        <v>0</v>
      </c>
      <c r="F49" s="37">
        <f t="shared" si="34"/>
        <v>3929387316.1999998</v>
      </c>
      <c r="G49" s="37">
        <f t="shared" si="34"/>
        <v>4836609750.5900002</v>
      </c>
      <c r="H49" s="38">
        <f>SUM(H50:H53)</f>
        <v>907222434.38999999</v>
      </c>
      <c r="I49" s="37">
        <f>SUM(I50:I53)</f>
        <v>6252781158.3100004</v>
      </c>
      <c r="J49" s="38">
        <f>SUM(J50:J53)</f>
        <v>1416171407.72</v>
      </c>
      <c r="K49" s="37">
        <f t="shared" si="34"/>
        <v>6252781158.3100004</v>
      </c>
      <c r="L49" s="38">
        <f>SUM(L50:L53)</f>
        <v>0</v>
      </c>
      <c r="M49" s="37">
        <f t="shared" si="34"/>
        <v>6787886693.9100008</v>
      </c>
      <c r="N49" s="38">
        <f>SUM(N50:N53)</f>
        <v>535105535.59999996</v>
      </c>
      <c r="O49" s="37">
        <f t="shared" si="34"/>
        <v>6839475278.0200005</v>
      </c>
      <c r="P49" s="38">
        <f>SUM(P50:P53)</f>
        <v>51588584.109999955</v>
      </c>
      <c r="Q49" s="37">
        <f>SUM(Q50:Q53)</f>
        <v>6628181228.1000004</v>
      </c>
      <c r="R49" s="38">
        <f>SUM(R50:R53)</f>
        <v>-211294049.91999984</v>
      </c>
      <c r="S49" s="70">
        <f>SUM(S50:S53)</f>
        <v>2698793911.9000001</v>
      </c>
    </row>
    <row r="50" spans="1:19" ht="15" x14ac:dyDescent="0.25">
      <c r="A50" s="19" t="s">
        <v>49</v>
      </c>
      <c r="B50" s="20" t="s">
        <v>16</v>
      </c>
      <c r="C50" s="20" t="s">
        <v>8</v>
      </c>
      <c r="D50" s="7"/>
      <c r="E50" s="7"/>
      <c r="F50" s="39">
        <v>1608136563.3199999</v>
      </c>
      <c r="G50" s="39">
        <v>1990325959.6400001</v>
      </c>
      <c r="H50" s="24">
        <f>G50-F50</f>
        <v>382189396.32000017</v>
      </c>
      <c r="I50" s="39">
        <v>3278374160.21</v>
      </c>
      <c r="J50" s="24">
        <f>I50-G50</f>
        <v>1288048200.5699999</v>
      </c>
      <c r="K50" s="42">
        <v>3278374160.21</v>
      </c>
      <c r="L50" s="24">
        <f>K50-I50</f>
        <v>0</v>
      </c>
      <c r="M50" s="42">
        <v>3278374160.21</v>
      </c>
      <c r="N50" s="24">
        <f>M50-K50</f>
        <v>0</v>
      </c>
      <c r="O50" s="23">
        <v>3280903151.4099998</v>
      </c>
      <c r="P50" s="24">
        <f>O50-M50</f>
        <v>2528991.1999998093</v>
      </c>
      <c r="Q50" s="23">
        <v>3093617766.8800001</v>
      </c>
      <c r="R50" s="24">
        <f>Q50-O50</f>
        <v>-187285384.52999973</v>
      </c>
      <c r="S50" s="69">
        <f>Q50-F50</f>
        <v>1485481203.5600002</v>
      </c>
    </row>
    <row r="51" spans="1:19" ht="15" x14ac:dyDescent="0.25">
      <c r="A51" s="19" t="s">
        <v>50</v>
      </c>
      <c r="B51" s="20" t="s">
        <v>16</v>
      </c>
      <c r="C51" s="20" t="s">
        <v>10</v>
      </c>
      <c r="D51" s="12"/>
      <c r="E51" s="7"/>
      <c r="F51" s="40">
        <v>1110656262</v>
      </c>
      <c r="G51" s="40">
        <v>1481290952.5699999</v>
      </c>
      <c r="H51" s="24">
        <f>G51-F51</f>
        <v>370634690.56999993</v>
      </c>
      <c r="I51" s="40">
        <v>1587445370.6700001</v>
      </c>
      <c r="J51" s="24">
        <f>I51-G51</f>
        <v>106154418.10000014</v>
      </c>
      <c r="K51" s="43">
        <v>1587445370.6700001</v>
      </c>
      <c r="L51" s="24">
        <f>K51-I51</f>
        <v>0</v>
      </c>
      <c r="M51" s="40">
        <v>2100760878.1800001</v>
      </c>
      <c r="N51" s="24">
        <f>M51-K51</f>
        <v>513315507.50999999</v>
      </c>
      <c r="O51" s="40">
        <v>2100760878.1800001</v>
      </c>
      <c r="P51" s="24">
        <f>O51-M51</f>
        <v>0</v>
      </c>
      <c r="Q51" s="40">
        <v>2043162913.8900001</v>
      </c>
      <c r="R51" s="24">
        <f>Q51-O51</f>
        <v>-57597964.289999962</v>
      </c>
      <c r="S51" s="69">
        <f>Q51-F51</f>
        <v>932506651.8900001</v>
      </c>
    </row>
    <row r="52" spans="1:19" ht="15" x14ac:dyDescent="0.25">
      <c r="A52" s="19" t="s">
        <v>51</v>
      </c>
      <c r="B52" s="20" t="s">
        <v>16</v>
      </c>
      <c r="C52" s="20" t="s">
        <v>12</v>
      </c>
      <c r="D52" s="11"/>
      <c r="E52" s="7"/>
      <c r="F52" s="23">
        <v>889756862.46000004</v>
      </c>
      <c r="G52" s="23">
        <v>1035689864.6799999</v>
      </c>
      <c r="H52" s="24">
        <f>G52-F52</f>
        <v>145933002.21999991</v>
      </c>
      <c r="I52" s="23">
        <v>1035689864.6799999</v>
      </c>
      <c r="J52" s="24">
        <f>I52-G52</f>
        <v>0</v>
      </c>
      <c r="K52" s="25">
        <v>1035689864.6799999</v>
      </c>
      <c r="L52" s="24">
        <f>K52-I52</f>
        <v>0</v>
      </c>
      <c r="M52" s="25">
        <v>1035689864.6799999</v>
      </c>
      <c r="N52" s="24">
        <f>M52-K52</f>
        <v>0</v>
      </c>
      <c r="O52" s="25">
        <v>1078312430.4400001</v>
      </c>
      <c r="P52" s="24">
        <f>O52-M52</f>
        <v>42622565.76000011</v>
      </c>
      <c r="Q52" s="25">
        <v>1110895588.3299999</v>
      </c>
      <c r="R52" s="24">
        <f>Q52-O52</f>
        <v>32583157.889999866</v>
      </c>
      <c r="S52" s="69">
        <f>Q52-F52</f>
        <v>221138725.86999989</v>
      </c>
    </row>
    <row r="53" spans="1:19" s="10" customFormat="1" ht="30" x14ac:dyDescent="0.2">
      <c r="A53" s="19" t="s">
        <v>52</v>
      </c>
      <c r="B53" s="20" t="s">
        <v>16</v>
      </c>
      <c r="C53" s="20" t="s">
        <v>16</v>
      </c>
      <c r="D53" s="8"/>
      <c r="E53" s="9"/>
      <c r="F53" s="23">
        <v>320837628.42000002</v>
      </c>
      <c r="G53" s="23">
        <v>329302973.69999999</v>
      </c>
      <c r="H53" s="24">
        <f>G53-F53</f>
        <v>8465345.2799999714</v>
      </c>
      <c r="I53" s="23">
        <v>351271762.75</v>
      </c>
      <c r="J53" s="24">
        <f>I53-G53</f>
        <v>21968789.050000012</v>
      </c>
      <c r="K53" s="25">
        <v>351271762.75</v>
      </c>
      <c r="L53" s="24">
        <f>K53-I53</f>
        <v>0</v>
      </c>
      <c r="M53" s="25">
        <v>373061790.83999997</v>
      </c>
      <c r="N53" s="24">
        <f>M53-K53</f>
        <v>21790028.089999974</v>
      </c>
      <c r="O53" s="23">
        <v>379498817.99000001</v>
      </c>
      <c r="P53" s="24">
        <f>O53-M53</f>
        <v>6437027.1500000358</v>
      </c>
      <c r="Q53" s="23">
        <v>380504959</v>
      </c>
      <c r="R53" s="24">
        <f>Q53-O53</f>
        <v>1006141.0099999905</v>
      </c>
      <c r="S53" s="69">
        <f>Q53-F53</f>
        <v>59667330.579999983</v>
      </c>
    </row>
    <row r="54" spans="1:19" s="61" customFormat="1" ht="14.25" x14ac:dyDescent="0.2">
      <c r="A54" s="28" t="s">
        <v>53</v>
      </c>
      <c r="B54" s="29" t="s">
        <v>18</v>
      </c>
      <c r="C54" s="29" t="s">
        <v>9</v>
      </c>
      <c r="D54" s="6">
        <f t="shared" ref="D54:O54" si="35">SUM(D55:D56)</f>
        <v>0</v>
      </c>
      <c r="E54" s="6">
        <f t="shared" si="35"/>
        <v>0</v>
      </c>
      <c r="F54" s="37">
        <f t="shared" si="35"/>
        <v>122355020</v>
      </c>
      <c r="G54" s="37">
        <f t="shared" si="35"/>
        <v>125281642</v>
      </c>
      <c r="H54" s="38">
        <f>SUM(H55:H56)</f>
        <v>2926622</v>
      </c>
      <c r="I54" s="37">
        <f t="shared" si="35"/>
        <v>129637478.40000001</v>
      </c>
      <c r="J54" s="38">
        <f>SUM(J55:J56)</f>
        <v>4355836.4000000022</v>
      </c>
      <c r="K54" s="37">
        <f t="shared" si="35"/>
        <v>129637478.40000001</v>
      </c>
      <c r="L54" s="38">
        <f>SUM(L55:L56)</f>
        <v>0</v>
      </c>
      <c r="M54" s="37">
        <f t="shared" si="35"/>
        <v>625387478.39999998</v>
      </c>
      <c r="N54" s="38">
        <f>SUM(N55:N56)</f>
        <v>495749999.99999994</v>
      </c>
      <c r="O54" s="37">
        <f t="shared" si="35"/>
        <v>625393413.39999998</v>
      </c>
      <c r="P54" s="38">
        <f>SUM(P55:P56)</f>
        <v>5935</v>
      </c>
      <c r="Q54" s="37">
        <f>SUM(Q55:Q56)</f>
        <v>635439329.49000001</v>
      </c>
      <c r="R54" s="38">
        <f>SUM(R55:R56)</f>
        <v>10045916.090000033</v>
      </c>
      <c r="S54" s="70">
        <f>SUM(S55:S56)</f>
        <v>513084309.48999995</v>
      </c>
    </row>
    <row r="55" spans="1:19" ht="15" x14ac:dyDescent="0.25">
      <c r="A55" s="19" t="s">
        <v>92</v>
      </c>
      <c r="B55" s="20" t="s">
        <v>18</v>
      </c>
      <c r="C55" s="20" t="s">
        <v>10</v>
      </c>
      <c r="D55" s="7"/>
      <c r="E55" s="7"/>
      <c r="F55" s="39">
        <v>1000000</v>
      </c>
      <c r="G55" s="39">
        <v>1000000</v>
      </c>
      <c r="H55" s="24">
        <f>G55-F55</f>
        <v>0</v>
      </c>
      <c r="I55" s="39">
        <v>8157733.3399999999</v>
      </c>
      <c r="J55" s="24">
        <f>I55-G55</f>
        <v>7157733.3399999999</v>
      </c>
      <c r="K55" s="39">
        <v>8157733.3399999999</v>
      </c>
      <c r="L55" s="24">
        <f>K55-I55</f>
        <v>0</v>
      </c>
      <c r="M55" s="39">
        <v>8157733.3399999999</v>
      </c>
      <c r="N55" s="24">
        <f>M55-K55</f>
        <v>0</v>
      </c>
      <c r="O55" s="39">
        <v>8111753.3399999999</v>
      </c>
      <c r="P55" s="24">
        <f>O55-M55</f>
        <v>-45980</v>
      </c>
      <c r="Q55" s="39">
        <v>8061753.3399999999</v>
      </c>
      <c r="R55" s="24">
        <f>Q55-O55</f>
        <v>-50000</v>
      </c>
      <c r="S55" s="69">
        <f>Q55-F55</f>
        <v>7061753.3399999999</v>
      </c>
    </row>
    <row r="56" spans="1:19" ht="15" x14ac:dyDescent="0.25">
      <c r="A56" s="19" t="s">
        <v>54</v>
      </c>
      <c r="B56" s="20" t="s">
        <v>18</v>
      </c>
      <c r="C56" s="20" t="s">
        <v>16</v>
      </c>
      <c r="D56" s="11"/>
      <c r="E56" s="7"/>
      <c r="F56" s="23">
        <v>121355020</v>
      </c>
      <c r="G56" s="23">
        <v>124281642</v>
      </c>
      <c r="H56" s="24">
        <f>G56-F56</f>
        <v>2926622</v>
      </c>
      <c r="I56" s="23">
        <v>121479745.06</v>
      </c>
      <c r="J56" s="24">
        <f>I56-G56</f>
        <v>-2801896.9399999976</v>
      </c>
      <c r="K56" s="25">
        <v>121479745.06</v>
      </c>
      <c r="L56" s="24">
        <f>K56-I56</f>
        <v>0</v>
      </c>
      <c r="M56" s="25">
        <v>617229745.05999994</v>
      </c>
      <c r="N56" s="24">
        <f>M56-K56</f>
        <v>495749999.99999994</v>
      </c>
      <c r="O56" s="23">
        <v>617281660.05999994</v>
      </c>
      <c r="P56" s="24">
        <f>O56-M56</f>
        <v>51915</v>
      </c>
      <c r="Q56" s="23">
        <v>627377576.14999998</v>
      </c>
      <c r="R56" s="24">
        <f>Q56-O56</f>
        <v>10095916.090000033</v>
      </c>
      <c r="S56" s="69">
        <f>Q56-F56</f>
        <v>506022556.14999998</v>
      </c>
    </row>
    <row r="57" spans="1:19" s="61" customFormat="1" ht="14.25" x14ac:dyDescent="0.2">
      <c r="A57" s="28" t="s">
        <v>55</v>
      </c>
      <c r="B57" s="29" t="s">
        <v>20</v>
      </c>
      <c r="C57" s="29" t="s">
        <v>9</v>
      </c>
      <c r="D57" s="6">
        <f t="shared" ref="D57:K57" si="36">SUM(D58:D64)</f>
        <v>0</v>
      </c>
      <c r="E57" s="6">
        <f t="shared" si="36"/>
        <v>0</v>
      </c>
      <c r="F57" s="37">
        <f t="shared" si="36"/>
        <v>17281886798.77</v>
      </c>
      <c r="G57" s="37">
        <f t="shared" si="36"/>
        <v>18096218312.539997</v>
      </c>
      <c r="H57" s="38">
        <f>SUM(H58:H64)</f>
        <v>814331513.76999986</v>
      </c>
      <c r="I57" s="37">
        <f t="shared" si="36"/>
        <v>18240814036.629997</v>
      </c>
      <c r="J57" s="38">
        <f>SUM(J58:J64)</f>
        <v>144595724.08999982</v>
      </c>
      <c r="K57" s="37">
        <f t="shared" si="36"/>
        <v>18240814036.629997</v>
      </c>
      <c r="L57" s="38">
        <f t="shared" ref="L57:S57" si="37">SUM(L58:L64)</f>
        <v>0</v>
      </c>
      <c r="M57" s="44">
        <f t="shared" si="37"/>
        <v>18658502168.91</v>
      </c>
      <c r="N57" s="38">
        <f t="shared" si="37"/>
        <v>417688132.27999985</v>
      </c>
      <c r="O57" s="37">
        <f t="shared" si="37"/>
        <v>19053260870.66</v>
      </c>
      <c r="P57" s="38">
        <f t="shared" si="37"/>
        <v>394758701.74999958</v>
      </c>
      <c r="Q57" s="37">
        <f t="shared" si="37"/>
        <v>19078159334.150002</v>
      </c>
      <c r="R57" s="38">
        <f t="shared" si="37"/>
        <v>24898463.489999533</v>
      </c>
      <c r="S57" s="70">
        <f t="shared" si="37"/>
        <v>1796272535.3799987</v>
      </c>
    </row>
    <row r="58" spans="1:19" ht="15" x14ac:dyDescent="0.25">
      <c r="A58" s="19" t="s">
        <v>56</v>
      </c>
      <c r="B58" s="20" t="s">
        <v>20</v>
      </c>
      <c r="C58" s="20" t="s">
        <v>8</v>
      </c>
      <c r="D58" s="12"/>
      <c r="E58" s="7"/>
      <c r="F58" s="40">
        <v>3956448244.4899998</v>
      </c>
      <c r="G58" s="40">
        <v>4027240089.4099998</v>
      </c>
      <c r="H58" s="24">
        <f>G58-F58</f>
        <v>70791844.920000076</v>
      </c>
      <c r="I58" s="40">
        <v>4027240089.4099998</v>
      </c>
      <c r="J58" s="24">
        <f>I58-G58</f>
        <v>0</v>
      </c>
      <c r="K58" s="43">
        <v>4027240089.4099998</v>
      </c>
      <c r="L58" s="24">
        <f>K58-I58</f>
        <v>0</v>
      </c>
      <c r="M58" s="40">
        <v>4114956397.1300001</v>
      </c>
      <c r="N58" s="24">
        <f>M58-K58</f>
        <v>87716307.720000267</v>
      </c>
      <c r="O58" s="23">
        <v>4161654970.4699998</v>
      </c>
      <c r="P58" s="24">
        <f>O58-M58</f>
        <v>46698573.339999676</v>
      </c>
      <c r="Q58" s="23">
        <v>4163089775.4699998</v>
      </c>
      <c r="R58" s="24">
        <f>Q58-O58</f>
        <v>1434805</v>
      </c>
      <c r="S58" s="69">
        <f t="shared" ref="S58:S64" si="38">Q58-F58</f>
        <v>206641530.98000002</v>
      </c>
    </row>
    <row r="59" spans="1:19" ht="15" x14ac:dyDescent="0.25">
      <c r="A59" s="19" t="s">
        <v>57</v>
      </c>
      <c r="B59" s="20" t="s">
        <v>20</v>
      </c>
      <c r="C59" s="20" t="s">
        <v>10</v>
      </c>
      <c r="D59" s="11"/>
      <c r="E59" s="7"/>
      <c r="F59" s="23">
        <v>9801117594.6000004</v>
      </c>
      <c r="G59" s="23">
        <v>10378075370.43</v>
      </c>
      <c r="H59" s="24">
        <f t="shared" ref="H59:H64" si="39">G59-F59</f>
        <v>576957775.82999992</v>
      </c>
      <c r="I59" s="23">
        <v>10505194074.34</v>
      </c>
      <c r="J59" s="24">
        <f t="shared" ref="J59:J64" si="40">I59-G59</f>
        <v>127118703.90999985</v>
      </c>
      <c r="K59" s="25">
        <v>10505194074.34</v>
      </c>
      <c r="L59" s="24">
        <f t="shared" ref="L59:L64" si="41">K59-I59</f>
        <v>0</v>
      </c>
      <c r="M59" s="25">
        <v>10619322243.57</v>
      </c>
      <c r="N59" s="24">
        <f t="shared" ref="N59:N64" si="42">M59-K59</f>
        <v>114128169.22999954</v>
      </c>
      <c r="O59" s="23">
        <v>10867259229.809999</v>
      </c>
      <c r="P59" s="24">
        <f t="shared" ref="P59:P64" si="43">O59-M59</f>
        <v>247936986.23999977</v>
      </c>
      <c r="Q59" s="23">
        <v>10889200938.379999</v>
      </c>
      <c r="R59" s="24">
        <f t="shared" ref="R59:R64" si="44">Q59-O59</f>
        <v>21941708.569999695</v>
      </c>
      <c r="S59" s="69">
        <f t="shared" si="38"/>
        <v>1088083343.7799988</v>
      </c>
    </row>
    <row r="60" spans="1:19" ht="15" x14ac:dyDescent="0.25">
      <c r="A60" s="19" t="s">
        <v>95</v>
      </c>
      <c r="B60" s="20" t="s">
        <v>20</v>
      </c>
      <c r="C60" s="20" t="s">
        <v>12</v>
      </c>
      <c r="D60" s="11"/>
      <c r="E60" s="7"/>
      <c r="F60" s="23">
        <v>504788556.30000001</v>
      </c>
      <c r="G60" s="23">
        <v>536544286.30000001</v>
      </c>
      <c r="H60" s="24">
        <f t="shared" si="39"/>
        <v>31755730</v>
      </c>
      <c r="I60" s="23">
        <v>544617576.29999995</v>
      </c>
      <c r="J60" s="24">
        <f t="shared" si="40"/>
        <v>8073289.9999999404</v>
      </c>
      <c r="K60" s="25">
        <v>544617576.29999995</v>
      </c>
      <c r="L60" s="24">
        <f t="shared" si="41"/>
        <v>0</v>
      </c>
      <c r="M60" s="25">
        <v>548144246.55999994</v>
      </c>
      <c r="N60" s="24">
        <f t="shared" si="42"/>
        <v>3526670.2599999905</v>
      </c>
      <c r="O60" s="23">
        <v>549774291.39999998</v>
      </c>
      <c r="P60" s="24">
        <f t="shared" si="43"/>
        <v>1630044.8400000334</v>
      </c>
      <c r="Q60" s="23">
        <v>542852617.17999995</v>
      </c>
      <c r="R60" s="24">
        <f t="shared" si="44"/>
        <v>-6921674.2200000286</v>
      </c>
      <c r="S60" s="69">
        <f t="shared" si="38"/>
        <v>38064060.879999936</v>
      </c>
    </row>
    <row r="61" spans="1:19" ht="15" x14ac:dyDescent="0.25">
      <c r="A61" s="19" t="s">
        <v>58</v>
      </c>
      <c r="B61" s="20" t="s">
        <v>20</v>
      </c>
      <c r="C61" s="20" t="s">
        <v>14</v>
      </c>
      <c r="D61" s="11"/>
      <c r="E61" s="7"/>
      <c r="F61" s="23">
        <v>2029240533.25</v>
      </c>
      <c r="G61" s="23">
        <v>2068151741.25</v>
      </c>
      <c r="H61" s="24">
        <f t="shared" si="39"/>
        <v>38911208</v>
      </c>
      <c r="I61" s="23">
        <v>2093246610.25</v>
      </c>
      <c r="J61" s="24">
        <f t="shared" si="40"/>
        <v>25094869</v>
      </c>
      <c r="K61" s="25">
        <v>2093246610.25</v>
      </c>
      <c r="L61" s="24">
        <f t="shared" si="41"/>
        <v>0</v>
      </c>
      <c r="M61" s="25">
        <v>2111322595.54</v>
      </c>
      <c r="N61" s="24">
        <f t="shared" si="42"/>
        <v>18075985.289999962</v>
      </c>
      <c r="O61" s="23">
        <v>2161286028.1100001</v>
      </c>
      <c r="P61" s="24">
        <f t="shared" si="43"/>
        <v>49963432.570000172</v>
      </c>
      <c r="Q61" s="23">
        <v>2183064031.5599999</v>
      </c>
      <c r="R61" s="24">
        <f t="shared" si="44"/>
        <v>21778003.449999809</v>
      </c>
      <c r="S61" s="69">
        <f t="shared" si="38"/>
        <v>153823498.30999994</v>
      </c>
    </row>
    <row r="62" spans="1:19" s="10" customFormat="1" ht="30" x14ac:dyDescent="0.2">
      <c r="A62" s="19" t="s">
        <v>59</v>
      </c>
      <c r="B62" s="20" t="s">
        <v>20</v>
      </c>
      <c r="C62" s="20" t="s">
        <v>16</v>
      </c>
      <c r="D62" s="8"/>
      <c r="E62" s="9"/>
      <c r="F62" s="23">
        <v>131819348.55</v>
      </c>
      <c r="G62" s="23">
        <v>138573914.84999999</v>
      </c>
      <c r="H62" s="24">
        <f t="shared" si="39"/>
        <v>6754566.299999997</v>
      </c>
      <c r="I62" s="23">
        <v>140505448.80000001</v>
      </c>
      <c r="J62" s="24">
        <f t="shared" si="40"/>
        <v>1931533.9500000179</v>
      </c>
      <c r="K62" s="23">
        <v>140505448.80000001</v>
      </c>
      <c r="L62" s="24">
        <f t="shared" si="41"/>
        <v>0</v>
      </c>
      <c r="M62" s="25">
        <v>144469400.40000001</v>
      </c>
      <c r="N62" s="24">
        <f t="shared" si="42"/>
        <v>3963951.599999994</v>
      </c>
      <c r="O62" s="25">
        <v>144469400.40000001</v>
      </c>
      <c r="P62" s="24">
        <f t="shared" si="43"/>
        <v>0</v>
      </c>
      <c r="Q62" s="25">
        <v>145684442.40000001</v>
      </c>
      <c r="R62" s="24">
        <f t="shared" si="44"/>
        <v>1215042</v>
      </c>
      <c r="S62" s="69">
        <f t="shared" si="38"/>
        <v>13865093.850000009</v>
      </c>
    </row>
    <row r="63" spans="1:19" ht="15" x14ac:dyDescent="0.25">
      <c r="A63" s="19" t="s">
        <v>60</v>
      </c>
      <c r="B63" s="20" t="s">
        <v>20</v>
      </c>
      <c r="C63" s="20" t="s">
        <v>20</v>
      </c>
      <c r="D63" s="11"/>
      <c r="E63" s="7"/>
      <c r="F63" s="23">
        <v>279405840</v>
      </c>
      <c r="G63" s="23">
        <v>352781972</v>
      </c>
      <c r="H63" s="24">
        <f t="shared" si="39"/>
        <v>73376132</v>
      </c>
      <c r="I63" s="23">
        <v>324487654</v>
      </c>
      <c r="J63" s="24">
        <f t="shared" si="40"/>
        <v>-28294318</v>
      </c>
      <c r="K63" s="23">
        <v>324487654</v>
      </c>
      <c r="L63" s="24">
        <f t="shared" si="41"/>
        <v>0</v>
      </c>
      <c r="M63" s="25">
        <v>367047631.5</v>
      </c>
      <c r="N63" s="24">
        <f t="shared" si="42"/>
        <v>42559977.5</v>
      </c>
      <c r="O63" s="25">
        <v>410240095.41000003</v>
      </c>
      <c r="P63" s="24">
        <f t="shared" si="43"/>
        <v>43192463.910000026</v>
      </c>
      <c r="Q63" s="25">
        <v>397465203.44</v>
      </c>
      <c r="R63" s="24">
        <f t="shared" si="44"/>
        <v>-12774891.970000029</v>
      </c>
      <c r="S63" s="69">
        <f t="shared" si="38"/>
        <v>118059363.44</v>
      </c>
    </row>
    <row r="64" spans="1:19" ht="15" x14ac:dyDescent="0.25">
      <c r="A64" s="19" t="s">
        <v>61</v>
      </c>
      <c r="B64" s="20" t="s">
        <v>20</v>
      </c>
      <c r="C64" s="20" t="s">
        <v>33</v>
      </c>
      <c r="D64" s="11"/>
      <c r="E64" s="7"/>
      <c r="F64" s="23">
        <v>579066681.58000004</v>
      </c>
      <c r="G64" s="23">
        <v>594850938.29999995</v>
      </c>
      <c r="H64" s="24">
        <f t="shared" si="39"/>
        <v>15784256.719999909</v>
      </c>
      <c r="I64" s="23">
        <v>605522583.52999997</v>
      </c>
      <c r="J64" s="24">
        <f t="shared" si="40"/>
        <v>10671645.230000019</v>
      </c>
      <c r="K64" s="25">
        <v>605522583.52999997</v>
      </c>
      <c r="L64" s="24">
        <f t="shared" si="41"/>
        <v>0</v>
      </c>
      <c r="M64" s="25">
        <v>753239654.21000004</v>
      </c>
      <c r="N64" s="24">
        <f t="shared" si="42"/>
        <v>147717070.68000007</v>
      </c>
      <c r="O64" s="23">
        <v>758576855.05999994</v>
      </c>
      <c r="P64" s="24">
        <f t="shared" si="43"/>
        <v>5337200.8499999046</v>
      </c>
      <c r="Q64" s="23">
        <v>756802325.72000003</v>
      </c>
      <c r="R64" s="24">
        <f t="shared" si="44"/>
        <v>-1774529.3399999142</v>
      </c>
      <c r="S64" s="69">
        <f t="shared" si="38"/>
        <v>177735644.13999999</v>
      </c>
    </row>
    <row r="65" spans="1:19" s="61" customFormat="1" ht="14.25" x14ac:dyDescent="0.2">
      <c r="A65" s="28" t="s">
        <v>93</v>
      </c>
      <c r="B65" s="29" t="s">
        <v>44</v>
      </c>
      <c r="C65" s="29" t="s">
        <v>9</v>
      </c>
      <c r="D65" s="6">
        <f t="shared" ref="D65:O65" si="45">SUM(D66:D67)</f>
        <v>0</v>
      </c>
      <c r="E65" s="6">
        <f t="shared" si="45"/>
        <v>0</v>
      </c>
      <c r="F65" s="37">
        <f t="shared" si="45"/>
        <v>1762154150.95</v>
      </c>
      <c r="G65" s="37">
        <f t="shared" si="45"/>
        <v>1794120361.95</v>
      </c>
      <c r="H65" s="38">
        <f>SUM(H66:H67)</f>
        <v>31966211</v>
      </c>
      <c r="I65" s="44">
        <f t="shared" si="45"/>
        <v>1772062030.95</v>
      </c>
      <c r="J65" s="38">
        <f>SUM(J66:J67)</f>
        <v>-22058331</v>
      </c>
      <c r="K65" s="37">
        <f t="shared" si="45"/>
        <v>1772062030.95</v>
      </c>
      <c r="L65" s="38">
        <f>SUM(L66:L67)</f>
        <v>0</v>
      </c>
      <c r="M65" s="37">
        <f t="shared" si="45"/>
        <v>1757770180.95</v>
      </c>
      <c r="N65" s="38">
        <f>SUM(N66:N67)</f>
        <v>-14291850</v>
      </c>
      <c r="O65" s="37">
        <f t="shared" si="45"/>
        <v>1781322565.95</v>
      </c>
      <c r="P65" s="38">
        <f>SUM(P66:P67)</f>
        <v>23552385</v>
      </c>
      <c r="Q65" s="37">
        <f>SUM(Q66:Q67)</f>
        <v>1789808897.05</v>
      </c>
      <c r="R65" s="38">
        <f>SUM(R66:R67)</f>
        <v>8486331.0999999046</v>
      </c>
      <c r="S65" s="70">
        <f>SUM(S66:S67)</f>
        <v>27654746.099999905</v>
      </c>
    </row>
    <row r="66" spans="1:19" ht="15" x14ac:dyDescent="0.25">
      <c r="A66" s="19" t="s">
        <v>62</v>
      </c>
      <c r="B66" s="20" t="s">
        <v>44</v>
      </c>
      <c r="C66" s="20" t="s">
        <v>8</v>
      </c>
      <c r="D66" s="11"/>
      <c r="E66" s="7"/>
      <c r="F66" s="23">
        <v>1725933950.95</v>
      </c>
      <c r="G66" s="23">
        <v>1756233849.95</v>
      </c>
      <c r="H66" s="24">
        <f>G66-F66</f>
        <v>30299899</v>
      </c>
      <c r="I66" s="23">
        <v>1734175518.95</v>
      </c>
      <c r="J66" s="24">
        <f>I66-G66</f>
        <v>-22058331</v>
      </c>
      <c r="K66" s="25">
        <v>1734175518.95</v>
      </c>
      <c r="L66" s="24">
        <f>K66-I66</f>
        <v>0</v>
      </c>
      <c r="M66" s="25">
        <v>1719883668.95</v>
      </c>
      <c r="N66" s="24">
        <f>M66-K66</f>
        <v>-14291850</v>
      </c>
      <c r="O66" s="23">
        <v>1742860948.95</v>
      </c>
      <c r="P66" s="24">
        <f>O66-M66</f>
        <v>22977280</v>
      </c>
      <c r="Q66" s="23">
        <v>1749818505.05</v>
      </c>
      <c r="R66" s="24">
        <f>Q66-O66</f>
        <v>6957556.0999999046</v>
      </c>
      <c r="S66" s="69">
        <f>Q66-F66</f>
        <v>23884554.099999905</v>
      </c>
    </row>
    <row r="67" spans="1:19" ht="15" x14ac:dyDescent="0.25">
      <c r="A67" s="19" t="s">
        <v>63</v>
      </c>
      <c r="B67" s="20" t="s">
        <v>44</v>
      </c>
      <c r="C67" s="20" t="s">
        <v>14</v>
      </c>
      <c r="D67" s="11"/>
      <c r="E67" s="7"/>
      <c r="F67" s="23">
        <v>36220200</v>
      </c>
      <c r="G67" s="23">
        <v>37886512</v>
      </c>
      <c r="H67" s="24">
        <f>G67-F67</f>
        <v>1666312</v>
      </c>
      <c r="I67" s="23">
        <v>37886512</v>
      </c>
      <c r="J67" s="24">
        <f>I67-G67</f>
        <v>0</v>
      </c>
      <c r="K67" s="25">
        <v>37886512</v>
      </c>
      <c r="L67" s="24">
        <f>K67-I67</f>
        <v>0</v>
      </c>
      <c r="M67" s="25">
        <v>37886512</v>
      </c>
      <c r="N67" s="24">
        <f>M67-K67</f>
        <v>0</v>
      </c>
      <c r="O67" s="23">
        <v>38461617</v>
      </c>
      <c r="P67" s="24">
        <f>O67-M67</f>
        <v>575105</v>
      </c>
      <c r="Q67" s="23">
        <v>39990392</v>
      </c>
      <c r="R67" s="24">
        <f>Q67-O67</f>
        <v>1528775</v>
      </c>
      <c r="S67" s="69">
        <f>Q67-F67</f>
        <v>3770192</v>
      </c>
    </row>
    <row r="68" spans="1:19" s="61" customFormat="1" ht="14.25" x14ac:dyDescent="0.2">
      <c r="A68" s="28" t="s">
        <v>64</v>
      </c>
      <c r="B68" s="29" t="s">
        <v>33</v>
      </c>
      <c r="C68" s="29" t="s">
        <v>9</v>
      </c>
      <c r="D68" s="6">
        <f t="shared" ref="D68:O68" si="46">SUM(D69:D74)</f>
        <v>0</v>
      </c>
      <c r="E68" s="6">
        <f t="shared" si="46"/>
        <v>0</v>
      </c>
      <c r="F68" s="37">
        <f t="shared" si="46"/>
        <v>9744176425.3699989</v>
      </c>
      <c r="G68" s="37">
        <f t="shared" si="46"/>
        <v>10491922021.98</v>
      </c>
      <c r="H68" s="38">
        <f>SUM(H69:H74)</f>
        <v>747745596.61000061</v>
      </c>
      <c r="I68" s="37">
        <f>SUM(I69:I74)</f>
        <v>10984955832.75</v>
      </c>
      <c r="J68" s="38">
        <f>SUM(J69:J74)</f>
        <v>493033810.76999968</v>
      </c>
      <c r="K68" s="37">
        <f>SUM(K69:K74)</f>
        <v>10984955832.75</v>
      </c>
      <c r="L68" s="38">
        <f>SUM(L69:L74)</f>
        <v>0</v>
      </c>
      <c r="M68" s="37">
        <f t="shared" si="46"/>
        <v>12033995341.529999</v>
      </c>
      <c r="N68" s="38">
        <f>SUM(N69:N74)</f>
        <v>1049039508.7799995</v>
      </c>
      <c r="O68" s="37">
        <f t="shared" si="46"/>
        <v>12212019908.98</v>
      </c>
      <c r="P68" s="38">
        <f>SUM(P69:P74)</f>
        <v>178024567.45000026</v>
      </c>
      <c r="Q68" s="37">
        <f>SUM(Q69:Q74)</f>
        <v>11318518006.470001</v>
      </c>
      <c r="R68" s="38">
        <f>SUM(R69:R74)</f>
        <v>-893501902.50999975</v>
      </c>
      <c r="S68" s="70">
        <f>SUM(S69:S74)</f>
        <v>1574341581.1000004</v>
      </c>
    </row>
    <row r="69" spans="1:19" ht="15" x14ac:dyDescent="0.25">
      <c r="A69" s="19" t="s">
        <v>65</v>
      </c>
      <c r="B69" s="20" t="s">
        <v>33</v>
      </c>
      <c r="C69" s="20" t="s">
        <v>8</v>
      </c>
      <c r="D69" s="11"/>
      <c r="E69" s="7"/>
      <c r="F69" s="23">
        <v>4803565548.7399998</v>
      </c>
      <c r="G69" s="23">
        <v>5424873684.0200005</v>
      </c>
      <c r="H69" s="24">
        <f t="shared" ref="H69:H74" si="47">G69-F69</f>
        <v>621308135.28000069</v>
      </c>
      <c r="I69" s="23">
        <v>5495528135.1999998</v>
      </c>
      <c r="J69" s="24">
        <f t="shared" ref="J69:J74" si="48">I69-G69</f>
        <v>70654451.179999352</v>
      </c>
      <c r="K69" s="25">
        <v>5495528135.1999998</v>
      </c>
      <c r="L69" s="24">
        <f t="shared" ref="L69:L74" si="49">K69-I69</f>
        <v>0</v>
      </c>
      <c r="M69" s="25">
        <v>6045374828.4799995</v>
      </c>
      <c r="N69" s="24">
        <f t="shared" ref="N69:N74" si="50">M69-K69</f>
        <v>549846693.27999973</v>
      </c>
      <c r="O69" s="23">
        <v>6193838709.54</v>
      </c>
      <c r="P69" s="24">
        <f t="shared" ref="P69:P74" si="51">O69-M69</f>
        <v>148463881.06000042</v>
      </c>
      <c r="Q69" s="23">
        <v>5503186942.8299999</v>
      </c>
      <c r="R69" s="24">
        <f t="shared" ref="R69:R74" si="52">Q69-O69</f>
        <v>-690651766.71000004</v>
      </c>
      <c r="S69" s="69">
        <f t="shared" ref="S69:S74" si="53">Q69-F69</f>
        <v>699621394.09000015</v>
      </c>
    </row>
    <row r="70" spans="1:19" ht="15" x14ac:dyDescent="0.25">
      <c r="A70" s="19" t="s">
        <v>66</v>
      </c>
      <c r="B70" s="20" t="s">
        <v>33</v>
      </c>
      <c r="C70" s="20" t="s">
        <v>10</v>
      </c>
      <c r="D70" s="12"/>
      <c r="E70" s="7"/>
      <c r="F70" s="40">
        <v>2087823253.8</v>
      </c>
      <c r="G70" s="40">
        <v>2096716294.8</v>
      </c>
      <c r="H70" s="24">
        <f t="shared" si="47"/>
        <v>8893041</v>
      </c>
      <c r="I70" s="40">
        <v>2194861932.48</v>
      </c>
      <c r="J70" s="24">
        <f t="shared" si="48"/>
        <v>98145637.680000067</v>
      </c>
      <c r="K70" s="40">
        <v>2194861932.48</v>
      </c>
      <c r="L70" s="24">
        <f t="shared" si="49"/>
        <v>0</v>
      </c>
      <c r="M70" s="40">
        <v>2315672465.8099999</v>
      </c>
      <c r="N70" s="24">
        <f t="shared" si="50"/>
        <v>120810533.32999992</v>
      </c>
      <c r="O70" s="23">
        <v>2014313477.8</v>
      </c>
      <c r="P70" s="24">
        <f t="shared" si="51"/>
        <v>-301358988.00999999</v>
      </c>
      <c r="Q70" s="23">
        <v>2059451038.8</v>
      </c>
      <c r="R70" s="24">
        <f t="shared" si="52"/>
        <v>45137561</v>
      </c>
      <c r="S70" s="69">
        <f t="shared" si="53"/>
        <v>-28372215</v>
      </c>
    </row>
    <row r="71" spans="1:19" ht="15" x14ac:dyDescent="0.25">
      <c r="A71" s="19" t="s">
        <v>67</v>
      </c>
      <c r="B71" s="20" t="s">
        <v>33</v>
      </c>
      <c r="C71" s="20" t="s">
        <v>14</v>
      </c>
      <c r="D71" s="12"/>
      <c r="E71" s="7"/>
      <c r="F71" s="40">
        <v>85413470</v>
      </c>
      <c r="G71" s="40">
        <v>86872285</v>
      </c>
      <c r="H71" s="24">
        <f t="shared" si="47"/>
        <v>1458815</v>
      </c>
      <c r="I71" s="40">
        <v>86872285</v>
      </c>
      <c r="J71" s="24">
        <f t="shared" si="48"/>
        <v>0</v>
      </c>
      <c r="K71" s="40">
        <v>86872285</v>
      </c>
      <c r="L71" s="24">
        <f t="shared" si="49"/>
        <v>0</v>
      </c>
      <c r="M71" s="40">
        <v>87093585</v>
      </c>
      <c r="N71" s="24">
        <f t="shared" si="50"/>
        <v>221300</v>
      </c>
      <c r="O71" s="23">
        <v>94818038.599999994</v>
      </c>
      <c r="P71" s="24">
        <f t="shared" si="51"/>
        <v>7724453.599999994</v>
      </c>
      <c r="Q71" s="23">
        <v>97421918.599999994</v>
      </c>
      <c r="R71" s="24">
        <f t="shared" si="52"/>
        <v>2603880</v>
      </c>
      <c r="S71" s="69">
        <f t="shared" si="53"/>
        <v>12008448.599999994</v>
      </c>
    </row>
    <row r="72" spans="1:19" ht="15" x14ac:dyDescent="0.25">
      <c r="A72" s="19" t="s">
        <v>68</v>
      </c>
      <c r="B72" s="20" t="s">
        <v>33</v>
      </c>
      <c r="C72" s="20" t="s">
        <v>16</v>
      </c>
      <c r="D72" s="11"/>
      <c r="E72" s="7"/>
      <c r="F72" s="23">
        <v>296784395</v>
      </c>
      <c r="G72" s="23">
        <v>305889972</v>
      </c>
      <c r="H72" s="24">
        <f t="shared" si="47"/>
        <v>9105577</v>
      </c>
      <c r="I72" s="23">
        <v>299368465.94</v>
      </c>
      <c r="J72" s="24">
        <f t="shared" si="48"/>
        <v>-6521506.0600000024</v>
      </c>
      <c r="K72" s="23">
        <v>299368465.94</v>
      </c>
      <c r="L72" s="24">
        <f t="shared" si="49"/>
        <v>0</v>
      </c>
      <c r="M72" s="25">
        <v>284985761.68000001</v>
      </c>
      <c r="N72" s="24">
        <f t="shared" si="50"/>
        <v>-14382704.25999999</v>
      </c>
      <c r="O72" s="23">
        <v>293602383.08999997</v>
      </c>
      <c r="P72" s="24">
        <f t="shared" si="51"/>
        <v>8616621.4099999666</v>
      </c>
      <c r="Q72" s="23">
        <v>290214023.89999998</v>
      </c>
      <c r="R72" s="24">
        <f t="shared" si="52"/>
        <v>-3388359.1899999976</v>
      </c>
      <c r="S72" s="69">
        <f t="shared" si="53"/>
        <v>-6570371.1000000238</v>
      </c>
    </row>
    <row r="73" spans="1:19" s="10" customFormat="1" ht="30" x14ac:dyDescent="0.2">
      <c r="A73" s="19" t="s">
        <v>69</v>
      </c>
      <c r="B73" s="20" t="s">
        <v>33</v>
      </c>
      <c r="C73" s="20" t="s">
        <v>18</v>
      </c>
      <c r="D73" s="8"/>
      <c r="E73" s="9"/>
      <c r="F73" s="23">
        <v>214147000</v>
      </c>
      <c r="G73" s="23">
        <v>216218754</v>
      </c>
      <c r="H73" s="24">
        <f t="shared" si="47"/>
        <v>2071754</v>
      </c>
      <c r="I73" s="23">
        <v>216218754</v>
      </c>
      <c r="J73" s="24">
        <f t="shared" si="48"/>
        <v>0</v>
      </c>
      <c r="K73" s="23">
        <v>216218754</v>
      </c>
      <c r="L73" s="24">
        <f t="shared" si="49"/>
        <v>0</v>
      </c>
      <c r="M73" s="23">
        <v>236266700</v>
      </c>
      <c r="N73" s="24">
        <f t="shared" si="50"/>
        <v>20047946</v>
      </c>
      <c r="O73" s="23">
        <v>238111582.5</v>
      </c>
      <c r="P73" s="24">
        <f t="shared" si="51"/>
        <v>1844882.5</v>
      </c>
      <c r="Q73" s="23">
        <v>238111582.5</v>
      </c>
      <c r="R73" s="24">
        <f t="shared" si="52"/>
        <v>0</v>
      </c>
      <c r="S73" s="69">
        <f t="shared" si="53"/>
        <v>23964582.5</v>
      </c>
    </row>
    <row r="74" spans="1:19" ht="15" x14ac:dyDescent="0.25">
      <c r="A74" s="19" t="s">
        <v>70</v>
      </c>
      <c r="B74" s="20" t="s">
        <v>33</v>
      </c>
      <c r="C74" s="20" t="s">
        <v>33</v>
      </c>
      <c r="D74" s="11"/>
      <c r="E74" s="7"/>
      <c r="F74" s="23">
        <v>2256442757.8299999</v>
      </c>
      <c r="G74" s="23">
        <v>2361351032.1599998</v>
      </c>
      <c r="H74" s="24">
        <f t="shared" si="47"/>
        <v>104908274.32999992</v>
      </c>
      <c r="I74" s="23">
        <v>2692106260.1300001</v>
      </c>
      <c r="J74" s="24">
        <f t="shared" si="48"/>
        <v>330755227.97000027</v>
      </c>
      <c r="K74" s="25">
        <v>2692106260.1300001</v>
      </c>
      <c r="L74" s="24">
        <f t="shared" si="49"/>
        <v>0</v>
      </c>
      <c r="M74" s="25">
        <v>3064602000.5599999</v>
      </c>
      <c r="N74" s="24">
        <f t="shared" si="50"/>
        <v>372495740.42999983</v>
      </c>
      <c r="O74" s="23">
        <v>3377335717.4499998</v>
      </c>
      <c r="P74" s="24">
        <f t="shared" si="51"/>
        <v>312733716.88999987</v>
      </c>
      <c r="Q74" s="23">
        <v>3130132499.8400002</v>
      </c>
      <c r="R74" s="24">
        <f t="shared" si="52"/>
        <v>-247203217.60999966</v>
      </c>
      <c r="S74" s="69">
        <f t="shared" si="53"/>
        <v>873689742.01000023</v>
      </c>
    </row>
    <row r="75" spans="1:19" s="61" customFormat="1" ht="14.25" x14ac:dyDescent="0.2">
      <c r="A75" s="28" t="s">
        <v>71</v>
      </c>
      <c r="B75" s="29" t="s">
        <v>21</v>
      </c>
      <c r="C75" s="29" t="s">
        <v>9</v>
      </c>
      <c r="D75" s="6">
        <f t="shared" ref="D75:O75" si="54">SUM(D76:D80)</f>
        <v>0</v>
      </c>
      <c r="E75" s="6">
        <f t="shared" si="54"/>
        <v>0</v>
      </c>
      <c r="F75" s="37">
        <f t="shared" si="54"/>
        <v>20514115042.41</v>
      </c>
      <c r="G75" s="37">
        <f t="shared" si="54"/>
        <v>20870142434.360001</v>
      </c>
      <c r="H75" s="38">
        <f>SUM(H76:H80)</f>
        <v>356027391.94999999</v>
      </c>
      <c r="I75" s="37">
        <f>SUM(I76:I80)</f>
        <v>20937480434.880001</v>
      </c>
      <c r="J75" s="38">
        <f>SUM(J76:J80)</f>
        <v>67338000.520001352</v>
      </c>
      <c r="K75" s="37">
        <f t="shared" si="54"/>
        <v>20937480434.880001</v>
      </c>
      <c r="L75" s="38">
        <f>SUM(L76:L80)</f>
        <v>0</v>
      </c>
      <c r="M75" s="37">
        <f t="shared" si="54"/>
        <v>21616267683.75</v>
      </c>
      <c r="N75" s="38">
        <f>SUM(N76:N80)</f>
        <v>678787248.86999846</v>
      </c>
      <c r="O75" s="37">
        <f t="shared" si="54"/>
        <v>21570291486.799999</v>
      </c>
      <c r="P75" s="38">
        <f>SUM(P76:P80)</f>
        <v>-45976196.950000107</v>
      </c>
      <c r="Q75" s="37">
        <f>SUM(Q76:Q80)</f>
        <v>21774133753.060001</v>
      </c>
      <c r="R75" s="38">
        <f>SUM(R76:R80)</f>
        <v>203842266.26000041</v>
      </c>
      <c r="S75" s="70">
        <f>SUM(S76:S80)</f>
        <v>1260018710.6500001</v>
      </c>
    </row>
    <row r="76" spans="1:19" ht="15" x14ac:dyDescent="0.25">
      <c r="A76" s="19" t="s">
        <v>72</v>
      </c>
      <c r="B76" s="20" t="s">
        <v>21</v>
      </c>
      <c r="C76" s="20" t="s">
        <v>8</v>
      </c>
      <c r="D76" s="4"/>
      <c r="E76" s="7"/>
      <c r="F76" s="23">
        <v>268015800</v>
      </c>
      <c r="G76" s="23">
        <v>268015800</v>
      </c>
      <c r="H76" s="24">
        <f>G76-F76</f>
        <v>0</v>
      </c>
      <c r="I76" s="23">
        <v>281234000</v>
      </c>
      <c r="J76" s="24">
        <f>I76-G76</f>
        <v>13218200</v>
      </c>
      <c r="K76" s="23">
        <v>281234000</v>
      </c>
      <c r="L76" s="24">
        <f>K76-I76</f>
        <v>0</v>
      </c>
      <c r="M76" s="23">
        <v>289353600</v>
      </c>
      <c r="N76" s="24">
        <f>M76-K76</f>
        <v>8119600</v>
      </c>
      <c r="O76" s="23">
        <v>291853600</v>
      </c>
      <c r="P76" s="24">
        <f>O76-M76</f>
        <v>2500000</v>
      </c>
      <c r="Q76" s="23">
        <v>285431700</v>
      </c>
      <c r="R76" s="24">
        <f>Q76-O76</f>
        <v>-6421900</v>
      </c>
      <c r="S76" s="69">
        <f>Q76-F76</f>
        <v>17415900</v>
      </c>
    </row>
    <row r="77" spans="1:19" ht="15" x14ac:dyDescent="0.25">
      <c r="A77" s="19" t="s">
        <v>73</v>
      </c>
      <c r="B77" s="20" t="s">
        <v>21</v>
      </c>
      <c r="C77" s="20" t="s">
        <v>10</v>
      </c>
      <c r="D77" s="11"/>
      <c r="E77" s="7"/>
      <c r="F77" s="23">
        <v>2596551096</v>
      </c>
      <c r="G77" s="23">
        <v>2743636496</v>
      </c>
      <c r="H77" s="24">
        <f>G77-F77</f>
        <v>147085400</v>
      </c>
      <c r="I77" s="23">
        <v>2826487396</v>
      </c>
      <c r="J77" s="24">
        <f>I77-G77</f>
        <v>82850900</v>
      </c>
      <c r="K77" s="23">
        <v>2826487396</v>
      </c>
      <c r="L77" s="24">
        <f>K77-I77</f>
        <v>0</v>
      </c>
      <c r="M77" s="23">
        <v>2952565138.23</v>
      </c>
      <c r="N77" s="24">
        <f>M77-K77</f>
        <v>126077742.23000002</v>
      </c>
      <c r="O77" s="23">
        <v>3020922038.23</v>
      </c>
      <c r="P77" s="24">
        <f>O77-M77</f>
        <v>68356900</v>
      </c>
      <c r="Q77" s="23">
        <v>3032305738.23</v>
      </c>
      <c r="R77" s="24">
        <f>Q77-O77</f>
        <v>11383700</v>
      </c>
      <c r="S77" s="69">
        <f>Q77-F77</f>
        <v>435754642.23000002</v>
      </c>
    </row>
    <row r="78" spans="1:19" ht="15" x14ac:dyDescent="0.25">
      <c r="A78" s="19" t="s">
        <v>74</v>
      </c>
      <c r="B78" s="20" t="s">
        <v>21</v>
      </c>
      <c r="C78" s="20" t="s">
        <v>12</v>
      </c>
      <c r="D78" s="12"/>
      <c r="E78" s="7"/>
      <c r="F78" s="40">
        <v>10982519026.41</v>
      </c>
      <c r="G78" s="40">
        <v>11250327722.41</v>
      </c>
      <c r="H78" s="24">
        <f>G78-F78</f>
        <v>267808696</v>
      </c>
      <c r="I78" s="40">
        <v>11257491585.370001</v>
      </c>
      <c r="J78" s="24">
        <f>I78-G78</f>
        <v>7163862.9600009918</v>
      </c>
      <c r="K78" s="43">
        <v>11257491585.370001</v>
      </c>
      <c r="L78" s="24">
        <f>K78-I78</f>
        <v>0</v>
      </c>
      <c r="M78" s="40">
        <v>11229405623.049999</v>
      </c>
      <c r="N78" s="24">
        <f>M78-K78</f>
        <v>-28085962.320001602</v>
      </c>
      <c r="O78" s="23">
        <v>11122620335.98</v>
      </c>
      <c r="P78" s="24">
        <f>O78-M78</f>
        <v>-106785287.06999969</v>
      </c>
      <c r="Q78" s="23">
        <v>11292806277.08</v>
      </c>
      <c r="R78" s="24">
        <f>Q78-O78</f>
        <v>170185941.10000038</v>
      </c>
      <c r="S78" s="69">
        <f>Q78-F78</f>
        <v>310287250.67000008</v>
      </c>
    </row>
    <row r="79" spans="1:19" ht="15" x14ac:dyDescent="0.25">
      <c r="A79" s="19" t="s">
        <v>75</v>
      </c>
      <c r="B79" s="20" t="s">
        <v>21</v>
      </c>
      <c r="C79" s="20" t="s">
        <v>14</v>
      </c>
      <c r="D79" s="11"/>
      <c r="E79" s="7"/>
      <c r="F79" s="23">
        <v>6324515240</v>
      </c>
      <c r="G79" s="23">
        <v>6225623650</v>
      </c>
      <c r="H79" s="24">
        <f>G79-F79</f>
        <v>-98891590</v>
      </c>
      <c r="I79" s="23">
        <v>6188690339.6400003</v>
      </c>
      <c r="J79" s="24">
        <f>I79-G79</f>
        <v>-36933310.359999657</v>
      </c>
      <c r="K79" s="25">
        <v>6188690339.6400003</v>
      </c>
      <c r="L79" s="24">
        <f>K79-I79</f>
        <v>0</v>
      </c>
      <c r="M79" s="25">
        <v>6762426634.5200005</v>
      </c>
      <c r="N79" s="24">
        <f>M79-K79</f>
        <v>573736294.88000011</v>
      </c>
      <c r="O79" s="23">
        <v>6751521764.21</v>
      </c>
      <c r="P79" s="24">
        <f>O79-M79</f>
        <v>-10904870.31000042</v>
      </c>
      <c r="Q79" s="23">
        <v>6776583746.46</v>
      </c>
      <c r="R79" s="24">
        <f>Q79-O79</f>
        <v>25061982.25</v>
      </c>
      <c r="S79" s="69">
        <f>Q79-F79</f>
        <v>452068506.46000004</v>
      </c>
    </row>
    <row r="80" spans="1:19" ht="15" x14ac:dyDescent="0.25">
      <c r="A80" s="19" t="s">
        <v>76</v>
      </c>
      <c r="B80" s="20" t="s">
        <v>21</v>
      </c>
      <c r="C80" s="20" t="s">
        <v>18</v>
      </c>
      <c r="D80" s="11"/>
      <c r="E80" s="7"/>
      <c r="F80" s="23">
        <v>342513880</v>
      </c>
      <c r="G80" s="23">
        <v>382538765.94999999</v>
      </c>
      <c r="H80" s="24">
        <f>G80-F80</f>
        <v>40024885.949999988</v>
      </c>
      <c r="I80" s="23">
        <v>383577113.87</v>
      </c>
      <c r="J80" s="24">
        <f>I80-G80</f>
        <v>1038347.9200000167</v>
      </c>
      <c r="K80" s="25">
        <v>383577113.87</v>
      </c>
      <c r="L80" s="24">
        <f>K80-I80</f>
        <v>0</v>
      </c>
      <c r="M80" s="25">
        <v>382516687.94999999</v>
      </c>
      <c r="N80" s="24">
        <f>M80-K80</f>
        <v>-1060425.9200000167</v>
      </c>
      <c r="O80" s="23">
        <v>383373748.38</v>
      </c>
      <c r="P80" s="24">
        <f>O80-M80</f>
        <v>857060.43000000715</v>
      </c>
      <c r="Q80" s="23">
        <v>387006291.29000002</v>
      </c>
      <c r="R80" s="24">
        <f>Q80-O80</f>
        <v>3632542.9100000262</v>
      </c>
      <c r="S80" s="69">
        <f>Q80-F80</f>
        <v>44492411.290000021</v>
      </c>
    </row>
    <row r="81" spans="1:21" s="61" customFormat="1" ht="15.6" customHeight="1" x14ac:dyDescent="0.2">
      <c r="A81" s="28" t="s">
        <v>77</v>
      </c>
      <c r="B81" s="29" t="s">
        <v>23</v>
      </c>
      <c r="C81" s="29" t="s">
        <v>9</v>
      </c>
      <c r="D81" s="6">
        <f>SUM(D82:D84)</f>
        <v>0</v>
      </c>
      <c r="E81" s="6"/>
      <c r="F81" s="37">
        <f t="shared" ref="F81:S81" si="55">SUM(F82:F84)</f>
        <v>3716078933.1399999</v>
      </c>
      <c r="G81" s="37">
        <f t="shared" si="55"/>
        <v>3716937410.3299999</v>
      </c>
      <c r="H81" s="38">
        <f t="shared" si="55"/>
        <v>858477.19000017643</v>
      </c>
      <c r="I81" s="37">
        <f t="shared" si="55"/>
        <v>2238110143.1099997</v>
      </c>
      <c r="J81" s="38">
        <f t="shared" si="55"/>
        <v>-1478827267.2200003</v>
      </c>
      <c r="K81" s="37">
        <f t="shared" si="55"/>
        <v>2238110143.1099997</v>
      </c>
      <c r="L81" s="38">
        <f t="shared" si="55"/>
        <v>0</v>
      </c>
      <c r="M81" s="37">
        <f t="shared" si="55"/>
        <v>2022860379.0599999</v>
      </c>
      <c r="N81" s="38">
        <f t="shared" si="55"/>
        <v>-215249764.04999995</v>
      </c>
      <c r="O81" s="37">
        <f t="shared" si="55"/>
        <v>2024560379.0599999</v>
      </c>
      <c r="P81" s="38">
        <f t="shared" si="55"/>
        <v>1700000</v>
      </c>
      <c r="Q81" s="37">
        <f t="shared" si="55"/>
        <v>1985105798.0599999</v>
      </c>
      <c r="R81" s="38">
        <f t="shared" si="55"/>
        <v>-39454581</v>
      </c>
      <c r="S81" s="70">
        <f t="shared" si="55"/>
        <v>-1730973135.0799999</v>
      </c>
      <c r="T81" s="63"/>
      <c r="U81" s="64"/>
    </row>
    <row r="82" spans="1:21" ht="15" x14ac:dyDescent="0.25">
      <c r="A82" s="19" t="s">
        <v>78</v>
      </c>
      <c r="B82" s="20" t="s">
        <v>23</v>
      </c>
      <c r="C82" s="20" t="s">
        <v>10</v>
      </c>
      <c r="D82" s="7"/>
      <c r="E82" s="7"/>
      <c r="F82" s="25">
        <v>3060685935.1399999</v>
      </c>
      <c r="G82" s="39">
        <v>3050018769.6700001</v>
      </c>
      <c r="H82" s="24">
        <f>G82-F82</f>
        <v>-10667165.46999979</v>
      </c>
      <c r="I82" s="25">
        <v>1556500295.05</v>
      </c>
      <c r="J82" s="24">
        <f>I82-G82</f>
        <v>-1493518474.6200001</v>
      </c>
      <c r="K82" s="25">
        <v>1556500295.05</v>
      </c>
      <c r="L82" s="24">
        <f>K82-I82</f>
        <v>0</v>
      </c>
      <c r="M82" s="25">
        <v>1328368331</v>
      </c>
      <c r="N82" s="24">
        <f>M82-K82</f>
        <v>-228131964.04999995</v>
      </c>
      <c r="O82" s="23">
        <v>1330461231</v>
      </c>
      <c r="P82" s="24">
        <f>O82-M82</f>
        <v>2092900</v>
      </c>
      <c r="Q82" s="25">
        <v>1289653697</v>
      </c>
      <c r="R82" s="24">
        <f>Q82-O82</f>
        <v>-40807534</v>
      </c>
      <c r="S82" s="69">
        <f>Q82-F82</f>
        <v>-1771032238.1399999</v>
      </c>
    </row>
    <row r="83" spans="1:21" ht="15" x14ac:dyDescent="0.25">
      <c r="A83" s="19" t="s">
        <v>79</v>
      </c>
      <c r="B83" s="20" t="s">
        <v>23</v>
      </c>
      <c r="C83" s="20" t="s">
        <v>12</v>
      </c>
      <c r="D83" s="12"/>
      <c r="E83" s="7"/>
      <c r="F83" s="39">
        <v>638615498</v>
      </c>
      <c r="G83" s="40">
        <v>649265594.65999997</v>
      </c>
      <c r="H83" s="24">
        <f>G83-F83</f>
        <v>10650096.659999967</v>
      </c>
      <c r="I83" s="39">
        <v>663956802.05999994</v>
      </c>
      <c r="J83" s="24">
        <f>I83-G83</f>
        <v>14691207.399999976</v>
      </c>
      <c r="K83" s="43">
        <v>663956802.05999994</v>
      </c>
      <c r="L83" s="24">
        <f>K83-I83</f>
        <v>0</v>
      </c>
      <c r="M83" s="25">
        <v>675978602.05999994</v>
      </c>
      <c r="N83" s="24">
        <f>M83-K83</f>
        <v>12021800</v>
      </c>
      <c r="O83" s="25">
        <v>675185702.05999994</v>
      </c>
      <c r="P83" s="24">
        <f>O83-M83</f>
        <v>-792900</v>
      </c>
      <c r="Q83" s="23">
        <v>676116336.05999994</v>
      </c>
      <c r="R83" s="24">
        <f>Q83-O83</f>
        <v>930634</v>
      </c>
      <c r="S83" s="69">
        <f>Q83-F83</f>
        <v>37500838.059999943</v>
      </c>
    </row>
    <row r="84" spans="1:21" ht="15" x14ac:dyDescent="0.25">
      <c r="A84" s="19" t="s">
        <v>80</v>
      </c>
      <c r="B84" s="20" t="s">
        <v>23</v>
      </c>
      <c r="C84" s="20" t="s">
        <v>16</v>
      </c>
      <c r="D84" s="11"/>
      <c r="E84" s="7"/>
      <c r="F84" s="40">
        <v>16777500</v>
      </c>
      <c r="G84" s="23">
        <v>17653046</v>
      </c>
      <c r="H84" s="24">
        <f>G84-F84</f>
        <v>875546</v>
      </c>
      <c r="I84" s="40">
        <v>17653046</v>
      </c>
      <c r="J84" s="24">
        <f>I84-G84</f>
        <v>0</v>
      </c>
      <c r="K84" s="25">
        <v>17653046</v>
      </c>
      <c r="L84" s="24">
        <f>K84-I84</f>
        <v>0</v>
      </c>
      <c r="M84" s="40">
        <v>18513446</v>
      </c>
      <c r="N84" s="24">
        <f>M84-K84</f>
        <v>860400</v>
      </c>
      <c r="O84" s="23">
        <v>18913446</v>
      </c>
      <c r="P84" s="24">
        <f>O84-M84</f>
        <v>400000</v>
      </c>
      <c r="Q84" s="25">
        <v>19335765</v>
      </c>
      <c r="R84" s="24">
        <f>Q84-O84</f>
        <v>422319</v>
      </c>
      <c r="S84" s="69">
        <f>Q84-F84</f>
        <v>2558265</v>
      </c>
    </row>
    <row r="85" spans="1:21" s="61" customFormat="1" ht="14.25" x14ac:dyDescent="0.2">
      <c r="A85" s="28" t="s">
        <v>81</v>
      </c>
      <c r="B85" s="29" t="s">
        <v>47</v>
      </c>
      <c r="C85" s="29" t="s">
        <v>9</v>
      </c>
      <c r="D85" s="6">
        <f t="shared" ref="D85:O85" si="56">SUM(D86:D88)</f>
        <v>0</v>
      </c>
      <c r="E85" s="6">
        <f t="shared" si="56"/>
        <v>0</v>
      </c>
      <c r="F85" s="37">
        <f t="shared" si="56"/>
        <v>217348610</v>
      </c>
      <c r="G85" s="37">
        <f t="shared" si="56"/>
        <v>240703495</v>
      </c>
      <c r="H85" s="38">
        <f>SUM(H86:H88)</f>
        <v>23354885</v>
      </c>
      <c r="I85" s="37">
        <f>SUM(I86:I88)</f>
        <v>241156890.38</v>
      </c>
      <c r="J85" s="38">
        <f>SUM(J86:J88)</f>
        <v>453395.37999999896</v>
      </c>
      <c r="K85" s="37">
        <f>SUM(K86:K88)</f>
        <v>241156890.38</v>
      </c>
      <c r="L85" s="38">
        <f>SUM(L86:L88)</f>
        <v>0</v>
      </c>
      <c r="M85" s="37">
        <f t="shared" si="56"/>
        <v>245110390.38</v>
      </c>
      <c r="N85" s="38">
        <f>SUM(N86:N88)</f>
        <v>3953500</v>
      </c>
      <c r="O85" s="37">
        <f t="shared" si="56"/>
        <v>245110390.38</v>
      </c>
      <c r="P85" s="38">
        <f>SUM(P86:P88)</f>
        <v>0</v>
      </c>
      <c r="Q85" s="44">
        <f>SUM(Q86:Q88)</f>
        <v>245812265.38</v>
      </c>
      <c r="R85" s="38">
        <f>SUM(R86:R88)</f>
        <v>701875</v>
      </c>
      <c r="S85" s="70">
        <f>SUM(S86:S88)</f>
        <v>28463655.379999999</v>
      </c>
    </row>
    <row r="86" spans="1:21" ht="15" x14ac:dyDescent="0.25">
      <c r="A86" s="19" t="s">
        <v>82</v>
      </c>
      <c r="B86" s="20" t="s">
        <v>47</v>
      </c>
      <c r="C86" s="20" t="s">
        <v>8</v>
      </c>
      <c r="D86" s="7"/>
      <c r="E86" s="7"/>
      <c r="F86" s="39">
        <v>74942410</v>
      </c>
      <c r="G86" s="39">
        <v>94836030</v>
      </c>
      <c r="H86" s="24">
        <f>G86-F86</f>
        <v>19893620</v>
      </c>
      <c r="I86" s="39">
        <v>94836030</v>
      </c>
      <c r="J86" s="24">
        <f>I86-G86</f>
        <v>0</v>
      </c>
      <c r="K86" s="39">
        <v>94836030</v>
      </c>
      <c r="L86" s="24">
        <f>K86-I86</f>
        <v>0</v>
      </c>
      <c r="M86" s="39">
        <v>98327530</v>
      </c>
      <c r="N86" s="24">
        <f>M86-K86</f>
        <v>3491500</v>
      </c>
      <c r="O86" s="39">
        <v>98327530</v>
      </c>
      <c r="P86" s="24">
        <f>O86-M86</f>
        <v>0</v>
      </c>
      <c r="Q86" s="39">
        <v>98327530</v>
      </c>
      <c r="R86" s="24">
        <f>Q86-O86</f>
        <v>0</v>
      </c>
      <c r="S86" s="69">
        <f>Q86-F86</f>
        <v>23385120</v>
      </c>
    </row>
    <row r="87" spans="1:21" ht="15" x14ac:dyDescent="0.25">
      <c r="A87" s="19" t="s">
        <v>83</v>
      </c>
      <c r="B87" s="20" t="s">
        <v>47</v>
      </c>
      <c r="C87" s="20" t="s">
        <v>10</v>
      </c>
      <c r="D87" s="7"/>
      <c r="E87" s="7"/>
      <c r="F87" s="39">
        <v>111073400</v>
      </c>
      <c r="G87" s="39">
        <v>116096820</v>
      </c>
      <c r="H87" s="24">
        <f>G87-F87</f>
        <v>5023420</v>
      </c>
      <c r="I87" s="39">
        <v>116096820</v>
      </c>
      <c r="J87" s="24">
        <f>I87-G87</f>
        <v>0</v>
      </c>
      <c r="K87" s="39">
        <v>116096820</v>
      </c>
      <c r="L87" s="24">
        <f>K87-I87</f>
        <v>0</v>
      </c>
      <c r="M87" s="39">
        <v>116558820</v>
      </c>
      <c r="N87" s="24">
        <f>M87-K87</f>
        <v>462000</v>
      </c>
      <c r="O87" s="39">
        <v>116558820</v>
      </c>
      <c r="P87" s="24">
        <f>O87-M87</f>
        <v>0</v>
      </c>
      <c r="Q87" s="39">
        <v>116558820</v>
      </c>
      <c r="R87" s="24">
        <f>Q87-O87</f>
        <v>0</v>
      </c>
      <c r="S87" s="69">
        <f>Q87-F87</f>
        <v>5485420</v>
      </c>
    </row>
    <row r="88" spans="1:21" s="16" customFormat="1" ht="15" x14ac:dyDescent="0.2">
      <c r="A88" s="19" t="s">
        <v>84</v>
      </c>
      <c r="B88" s="20" t="s">
        <v>47</v>
      </c>
      <c r="C88" s="20" t="s">
        <v>14</v>
      </c>
      <c r="D88" s="9"/>
      <c r="E88" s="9"/>
      <c r="F88" s="39">
        <v>31332800</v>
      </c>
      <c r="G88" s="39">
        <v>29770645</v>
      </c>
      <c r="H88" s="24">
        <f>G88-F88</f>
        <v>-1562155</v>
      </c>
      <c r="I88" s="39">
        <v>30224040.379999999</v>
      </c>
      <c r="J88" s="24">
        <f>I88-G88</f>
        <v>453395.37999999896</v>
      </c>
      <c r="K88" s="39">
        <v>30224040.379999999</v>
      </c>
      <c r="L88" s="24">
        <f>K88-I88</f>
        <v>0</v>
      </c>
      <c r="M88" s="39">
        <v>30224040.379999999</v>
      </c>
      <c r="N88" s="24">
        <f>M88-K88</f>
        <v>0</v>
      </c>
      <c r="O88" s="23">
        <v>30224040.379999999</v>
      </c>
      <c r="P88" s="24">
        <f>O88-M88</f>
        <v>0</v>
      </c>
      <c r="Q88" s="23">
        <v>30925915.379999999</v>
      </c>
      <c r="R88" s="24">
        <f>Q88-O88</f>
        <v>701875</v>
      </c>
      <c r="S88" s="69">
        <f>Q88-F88</f>
        <v>-406884.62000000104</v>
      </c>
    </row>
    <row r="89" spans="1:21" s="62" customFormat="1" ht="28.5" x14ac:dyDescent="0.2">
      <c r="A89" s="28" t="s">
        <v>85</v>
      </c>
      <c r="B89" s="29" t="s">
        <v>25</v>
      </c>
      <c r="C89" s="29" t="s">
        <v>9</v>
      </c>
      <c r="D89" s="13">
        <f t="shared" ref="D89:Q89" si="57">SUM(D90)</f>
        <v>0</v>
      </c>
      <c r="E89" s="13">
        <f t="shared" si="57"/>
        <v>0</v>
      </c>
      <c r="F89" s="37">
        <f>F90</f>
        <v>570000000</v>
      </c>
      <c r="G89" s="37">
        <f t="shared" si="57"/>
        <v>570000000</v>
      </c>
      <c r="H89" s="38">
        <f>SUM(H90)</f>
        <v>0</v>
      </c>
      <c r="I89" s="37">
        <f t="shared" si="57"/>
        <v>570000000</v>
      </c>
      <c r="J89" s="38">
        <f>SUM(J90)</f>
        <v>0</v>
      </c>
      <c r="K89" s="37">
        <f t="shared" si="57"/>
        <v>570000000</v>
      </c>
      <c r="L89" s="38">
        <f>SUM(L90)</f>
        <v>0</v>
      </c>
      <c r="M89" s="37">
        <f t="shared" si="57"/>
        <v>570000000</v>
      </c>
      <c r="N89" s="38">
        <f>SUM(N90)</f>
        <v>0</v>
      </c>
      <c r="O89" s="37">
        <f t="shared" si="57"/>
        <v>370000000</v>
      </c>
      <c r="P89" s="38">
        <f>SUM(P90)</f>
        <v>-200000000</v>
      </c>
      <c r="Q89" s="37">
        <f t="shared" si="57"/>
        <v>360000000</v>
      </c>
      <c r="R89" s="38">
        <f>SUM(R90)</f>
        <v>-10000000</v>
      </c>
      <c r="S89" s="70">
        <f>SUM(S90)</f>
        <v>-210000000</v>
      </c>
    </row>
    <row r="90" spans="1:21" s="10" customFormat="1" ht="30" x14ac:dyDescent="0.2">
      <c r="A90" s="19" t="s">
        <v>86</v>
      </c>
      <c r="B90" s="20" t="s">
        <v>25</v>
      </c>
      <c r="C90" s="20" t="s">
        <v>8</v>
      </c>
      <c r="D90" s="17"/>
      <c r="E90" s="9"/>
      <c r="F90" s="39">
        <v>570000000</v>
      </c>
      <c r="G90" s="39">
        <v>570000000</v>
      </c>
      <c r="H90" s="24">
        <f>G90-F90</f>
        <v>0</v>
      </c>
      <c r="I90" s="39">
        <v>570000000</v>
      </c>
      <c r="J90" s="24">
        <f>I90-G90</f>
        <v>0</v>
      </c>
      <c r="K90" s="39">
        <v>570000000</v>
      </c>
      <c r="L90" s="24">
        <f>K90-I90</f>
        <v>0</v>
      </c>
      <c r="M90" s="39">
        <v>570000000</v>
      </c>
      <c r="N90" s="24">
        <f>M90-K90</f>
        <v>0</v>
      </c>
      <c r="O90" s="39">
        <v>370000000</v>
      </c>
      <c r="P90" s="24">
        <f>O90-M90</f>
        <v>-200000000</v>
      </c>
      <c r="Q90" s="39">
        <v>360000000</v>
      </c>
      <c r="R90" s="24">
        <f>Q90-O90</f>
        <v>-10000000</v>
      </c>
      <c r="S90" s="69">
        <f>Q90-F90</f>
        <v>-210000000</v>
      </c>
    </row>
    <row r="91" spans="1:21" s="62" customFormat="1" ht="42.75" x14ac:dyDescent="0.2">
      <c r="A91" s="28" t="s">
        <v>94</v>
      </c>
      <c r="B91" s="29" t="s">
        <v>37</v>
      </c>
      <c r="C91" s="29" t="s">
        <v>9</v>
      </c>
      <c r="D91" s="13">
        <f t="shared" ref="D91:O91" si="58">SUM(D92:D94)</f>
        <v>0</v>
      </c>
      <c r="E91" s="13">
        <f t="shared" si="58"/>
        <v>0</v>
      </c>
      <c r="F91" s="37">
        <f t="shared" si="58"/>
        <v>3522431619</v>
      </c>
      <c r="G91" s="37">
        <f t="shared" si="58"/>
        <v>4974990808.8400002</v>
      </c>
      <c r="H91" s="38">
        <f>SUM(H92:H94)</f>
        <v>1452559189.8399997</v>
      </c>
      <c r="I91" s="37">
        <f>SUM(I92:I94)</f>
        <v>6310491254.7600002</v>
      </c>
      <c r="J91" s="38">
        <f>SUM(J92:J94)</f>
        <v>1335500445.9200003</v>
      </c>
      <c r="K91" s="37">
        <f t="shared" si="58"/>
        <v>6310491254.7600002</v>
      </c>
      <c r="L91" s="38">
        <f>SUM(L92:L94)</f>
        <v>0</v>
      </c>
      <c r="M91" s="37">
        <f t="shared" si="58"/>
        <v>6236991254.7600002</v>
      </c>
      <c r="N91" s="38">
        <f>SUM(N92:N94)</f>
        <v>-73500000</v>
      </c>
      <c r="O91" s="37">
        <f t="shared" si="58"/>
        <v>6240516654.7700005</v>
      </c>
      <c r="P91" s="38">
        <f>SUM(P92:P94)</f>
        <v>3525400.0099999905</v>
      </c>
      <c r="Q91" s="37">
        <f>SUM(Q92:Q94)</f>
        <v>6291401967.8000002</v>
      </c>
      <c r="R91" s="38">
        <f>SUM(R92:R94)</f>
        <v>50885313.029999971</v>
      </c>
      <c r="S91" s="73">
        <f>SUM(S92:S94)</f>
        <v>2768970348.8000002</v>
      </c>
    </row>
    <row r="92" spans="1:21" s="10" customFormat="1" ht="45" x14ac:dyDescent="0.2">
      <c r="A92" s="19" t="s">
        <v>87</v>
      </c>
      <c r="B92" s="20" t="s">
        <v>37</v>
      </c>
      <c r="C92" s="20" t="s">
        <v>8</v>
      </c>
      <c r="D92" s="17"/>
      <c r="E92" s="9"/>
      <c r="F92" s="39">
        <v>1729300566</v>
      </c>
      <c r="G92" s="39">
        <v>1726583378.53</v>
      </c>
      <c r="H92" s="24">
        <f>G92-F92</f>
        <v>-2717187.4700000286</v>
      </c>
      <c r="I92" s="39">
        <v>1726583378.53</v>
      </c>
      <c r="J92" s="24">
        <f>I92-G92</f>
        <v>0</v>
      </c>
      <c r="K92" s="39">
        <v>1726583378.53</v>
      </c>
      <c r="L92" s="24">
        <f>K92-I92</f>
        <v>0</v>
      </c>
      <c r="M92" s="39">
        <v>1726583378.53</v>
      </c>
      <c r="N92" s="24">
        <f>M92-K92</f>
        <v>0</v>
      </c>
      <c r="O92" s="39">
        <v>1726583378.53</v>
      </c>
      <c r="P92" s="24">
        <f>O92-M92</f>
        <v>0</v>
      </c>
      <c r="Q92" s="39">
        <v>1726583378.53</v>
      </c>
      <c r="R92" s="24">
        <f>Q92-O92</f>
        <v>0</v>
      </c>
      <c r="S92" s="69">
        <f>Q92-F92</f>
        <v>-2717187.4700000286</v>
      </c>
    </row>
    <row r="93" spans="1:21" ht="15" x14ac:dyDescent="0.25">
      <c r="A93" s="19" t="s">
        <v>88</v>
      </c>
      <c r="B93" s="20" t="s">
        <v>37</v>
      </c>
      <c r="C93" s="20" t="s">
        <v>10</v>
      </c>
      <c r="D93" s="7"/>
      <c r="E93" s="7"/>
      <c r="F93" s="39">
        <v>1506275143</v>
      </c>
      <c r="G93" s="39">
        <v>2948992330.4699998</v>
      </c>
      <c r="H93" s="24">
        <f>G93-F93</f>
        <v>1442717187.4699998</v>
      </c>
      <c r="I93" s="39">
        <v>4039621832.8600001</v>
      </c>
      <c r="J93" s="24">
        <f>I93-G93</f>
        <v>1090629502.3900003</v>
      </c>
      <c r="K93" s="42">
        <v>4039621832.8600001</v>
      </c>
      <c r="L93" s="24">
        <f>K93-I93</f>
        <v>0</v>
      </c>
      <c r="M93" s="39">
        <v>3966121832.8600001</v>
      </c>
      <c r="N93" s="24">
        <f>M93-K93</f>
        <v>-73500000</v>
      </c>
      <c r="O93" s="23">
        <v>3966121832.8600001</v>
      </c>
      <c r="P93" s="24">
        <f>O93-M93</f>
        <v>0</v>
      </c>
      <c r="Q93" s="23">
        <v>3966121832.8600001</v>
      </c>
      <c r="R93" s="24">
        <f>Q93-O93</f>
        <v>0</v>
      </c>
      <c r="S93" s="69">
        <f>Q93-F93</f>
        <v>2459846689.8600001</v>
      </c>
    </row>
    <row r="94" spans="1:21" ht="15" x14ac:dyDescent="0.25">
      <c r="A94" s="19" t="s">
        <v>89</v>
      </c>
      <c r="B94" s="20" t="s">
        <v>37</v>
      </c>
      <c r="C94" s="20" t="s">
        <v>12</v>
      </c>
      <c r="D94" s="7"/>
      <c r="E94" s="7"/>
      <c r="F94" s="39">
        <v>286855910</v>
      </c>
      <c r="G94" s="39">
        <v>299415099.83999997</v>
      </c>
      <c r="H94" s="24">
        <f>G94-F94</f>
        <v>12559189.839999974</v>
      </c>
      <c r="I94" s="39">
        <v>544286043.37</v>
      </c>
      <c r="J94" s="24">
        <f>I94-G94</f>
        <v>244870943.53000003</v>
      </c>
      <c r="K94" s="42">
        <v>544286043.37</v>
      </c>
      <c r="L94" s="24">
        <f>K94-I94</f>
        <v>0</v>
      </c>
      <c r="M94" s="39">
        <v>544286043.37</v>
      </c>
      <c r="N94" s="24">
        <f>M94-K94</f>
        <v>0</v>
      </c>
      <c r="O94" s="39">
        <v>547811443.38</v>
      </c>
      <c r="P94" s="24">
        <f>O94-M94</f>
        <v>3525400.0099999905</v>
      </c>
      <c r="Q94" s="39">
        <v>598696756.40999997</v>
      </c>
      <c r="R94" s="24">
        <f>Q94-O94</f>
        <v>50885313.029999971</v>
      </c>
      <c r="S94" s="69">
        <f>Q94-F94</f>
        <v>311840846.40999997</v>
      </c>
    </row>
    <row r="95" spans="1:21" x14ac:dyDescent="0.2">
      <c r="F95" s="45"/>
      <c r="G95" s="45"/>
      <c r="H95" s="46"/>
      <c r="I95" s="46"/>
      <c r="J95" s="46"/>
      <c r="K95" s="46"/>
      <c r="L95" s="46"/>
      <c r="M95" s="46"/>
      <c r="N95" s="46"/>
      <c r="O95" s="45"/>
      <c r="P95" s="45"/>
      <c r="Q95" s="45"/>
      <c r="R95" s="45"/>
    </row>
    <row r="96" spans="1:21" x14ac:dyDescent="0.2">
      <c r="F96" s="68">
        <f>85455083156.15-F17</f>
        <v>0</v>
      </c>
      <c r="G96" s="68">
        <f>92846959343.51-G17</f>
        <v>0</v>
      </c>
      <c r="H96" s="68">
        <f>G96-F96</f>
        <v>0</v>
      </c>
      <c r="I96" s="68">
        <f>102177773577.75-I17</f>
        <v>0</v>
      </c>
      <c r="J96" s="68">
        <f>I96-G96</f>
        <v>0</v>
      </c>
      <c r="K96" s="68">
        <f>102177773577.75-K17</f>
        <v>0</v>
      </c>
      <c r="L96" s="68">
        <f>K96-I96</f>
        <v>0</v>
      </c>
      <c r="M96" s="68">
        <f>106068595252.77-M17</f>
        <v>0</v>
      </c>
      <c r="N96" s="68">
        <f>M96-K96</f>
        <v>0</v>
      </c>
      <c r="O96" s="68">
        <f>106797032343.81-O17</f>
        <v>0</v>
      </c>
      <c r="P96" s="68">
        <f>O96-M96</f>
        <v>0</v>
      </c>
      <c r="Q96" s="68">
        <f>106844276922.86-Q17</f>
        <v>0</v>
      </c>
      <c r="R96" s="68">
        <f>Q96-O96</f>
        <v>0</v>
      </c>
      <c r="S96" s="71">
        <f>S17-S19-S28-S31-S39-S49-S54-S57-S65-S68-S75-S81-S85-S89-S91</f>
        <v>1.0013580322265625E-5</v>
      </c>
    </row>
    <row r="97" spans="6:18" x14ac:dyDescent="0.2">
      <c r="F97" s="45"/>
      <c r="G97" s="47"/>
      <c r="H97" s="46"/>
      <c r="I97" s="46"/>
      <c r="J97" s="46"/>
      <c r="K97" s="46"/>
      <c r="L97" s="46"/>
      <c r="M97" s="46"/>
      <c r="N97" s="46"/>
      <c r="O97" s="45"/>
      <c r="P97" s="45"/>
      <c r="Q97" s="45"/>
      <c r="R97" s="45"/>
    </row>
    <row r="98" spans="6:18" x14ac:dyDescent="0.2">
      <c r="F98" s="45"/>
      <c r="G98" s="45"/>
      <c r="H98" s="46"/>
      <c r="I98" s="46"/>
      <c r="J98" s="46"/>
      <c r="K98" s="46"/>
      <c r="L98" s="46"/>
      <c r="M98" s="46"/>
      <c r="N98" s="46"/>
      <c r="O98" s="45"/>
      <c r="P98" s="45"/>
      <c r="Q98" s="45"/>
      <c r="R98" s="45"/>
    </row>
    <row r="99" spans="6:18" x14ac:dyDescent="0.2">
      <c r="F99" s="45"/>
      <c r="G99" s="45"/>
      <c r="H99" s="46"/>
      <c r="I99" s="46"/>
      <c r="J99" s="46"/>
      <c r="K99" s="46"/>
      <c r="L99" s="46"/>
      <c r="M99" s="46"/>
      <c r="N99" s="46"/>
      <c r="O99" s="45"/>
      <c r="P99" s="45"/>
      <c r="Q99" s="45"/>
      <c r="R99" s="45"/>
    </row>
    <row r="100" spans="6:18" x14ac:dyDescent="0.2">
      <c r="F100" s="45"/>
      <c r="G100" s="45"/>
      <c r="H100" s="46"/>
      <c r="I100" s="46"/>
      <c r="J100" s="46"/>
      <c r="K100" s="46"/>
      <c r="L100" s="46"/>
      <c r="M100" s="46"/>
      <c r="N100" s="46"/>
      <c r="O100" s="45"/>
      <c r="P100" s="45"/>
      <c r="Q100" s="45"/>
      <c r="R100" s="45"/>
    </row>
    <row r="101" spans="6:18" x14ac:dyDescent="0.2">
      <c r="F101" s="45"/>
      <c r="G101" s="45"/>
      <c r="H101" s="46"/>
      <c r="I101" s="46"/>
      <c r="J101" s="46"/>
      <c r="K101" s="46"/>
      <c r="L101" s="46"/>
      <c r="M101" s="46"/>
      <c r="N101" s="46"/>
      <c r="O101" s="45"/>
      <c r="P101" s="45"/>
      <c r="Q101" s="45"/>
      <c r="R101" s="45"/>
    </row>
    <row r="102" spans="6:18" x14ac:dyDescent="0.2">
      <c r="F102" s="45"/>
      <c r="G102" s="45"/>
      <c r="H102" s="46"/>
      <c r="I102" s="46"/>
      <c r="J102" s="46"/>
      <c r="K102" s="46"/>
      <c r="L102" s="46"/>
      <c r="M102" s="46"/>
      <c r="N102" s="46"/>
      <c r="O102" s="45"/>
      <c r="P102" s="45"/>
      <c r="Q102" s="45"/>
      <c r="R102" s="45"/>
    </row>
    <row r="103" spans="6:18" x14ac:dyDescent="0.2">
      <c r="F103" s="45"/>
      <c r="G103" s="45"/>
      <c r="H103" s="46"/>
      <c r="I103" s="46"/>
      <c r="J103" s="46"/>
      <c r="K103" s="46"/>
      <c r="L103" s="46"/>
      <c r="M103" s="46"/>
      <c r="N103" s="46"/>
      <c r="O103" s="45"/>
      <c r="P103" s="45"/>
      <c r="Q103" s="45"/>
      <c r="R103" s="45"/>
    </row>
    <row r="104" spans="6:18" x14ac:dyDescent="0.2">
      <c r="F104" s="45"/>
      <c r="G104" s="45"/>
      <c r="H104" s="46"/>
      <c r="I104" s="46"/>
      <c r="J104" s="46"/>
      <c r="K104" s="46"/>
      <c r="L104" s="46"/>
      <c r="M104" s="46"/>
      <c r="N104" s="46"/>
      <c r="O104" s="45"/>
      <c r="P104" s="45"/>
      <c r="Q104" s="45"/>
      <c r="R104" s="45"/>
    </row>
    <row r="105" spans="6:18" x14ac:dyDescent="0.2">
      <c r="F105" s="45"/>
      <c r="G105" s="45"/>
      <c r="H105" s="46"/>
      <c r="I105" s="46"/>
      <c r="J105" s="46"/>
      <c r="K105" s="46"/>
      <c r="L105" s="46"/>
      <c r="M105" s="46"/>
      <c r="N105" s="46"/>
      <c r="O105" s="45"/>
      <c r="P105" s="45"/>
      <c r="Q105" s="45"/>
      <c r="R105" s="45"/>
    </row>
    <row r="106" spans="6:18" x14ac:dyDescent="0.2">
      <c r="F106" s="45"/>
      <c r="G106" s="45"/>
      <c r="H106" s="46"/>
      <c r="I106" s="46"/>
      <c r="J106" s="46"/>
      <c r="K106" s="46"/>
      <c r="L106" s="46"/>
      <c r="M106" s="46"/>
      <c r="N106" s="46"/>
      <c r="O106" s="45"/>
      <c r="P106" s="45"/>
      <c r="Q106" s="45"/>
      <c r="R106" s="45"/>
    </row>
    <row r="107" spans="6:18" x14ac:dyDescent="0.2">
      <c r="F107" s="45"/>
      <c r="G107" s="45"/>
      <c r="H107" s="46"/>
      <c r="I107" s="46"/>
      <c r="J107" s="46"/>
      <c r="K107" s="46"/>
      <c r="L107" s="46"/>
      <c r="M107" s="46"/>
      <c r="N107" s="46"/>
      <c r="O107" s="45"/>
      <c r="P107" s="45"/>
      <c r="Q107" s="45"/>
      <c r="R107" s="45"/>
    </row>
    <row r="108" spans="6:18" x14ac:dyDescent="0.2">
      <c r="F108" s="45"/>
      <c r="G108" s="45"/>
      <c r="H108" s="46"/>
      <c r="I108" s="46"/>
      <c r="J108" s="46"/>
      <c r="K108" s="46"/>
      <c r="L108" s="46"/>
      <c r="M108" s="46"/>
      <c r="N108" s="46"/>
      <c r="O108" s="45"/>
      <c r="P108" s="45"/>
      <c r="Q108" s="45"/>
      <c r="R108" s="45"/>
    </row>
    <row r="109" spans="6:18" x14ac:dyDescent="0.2">
      <c r="F109" s="45"/>
      <c r="G109" s="45"/>
      <c r="H109" s="46"/>
      <c r="I109" s="46"/>
      <c r="J109" s="46"/>
      <c r="K109" s="46"/>
      <c r="L109" s="46"/>
      <c r="M109" s="46"/>
      <c r="N109" s="46"/>
      <c r="O109" s="45"/>
      <c r="P109" s="45"/>
      <c r="Q109" s="45"/>
      <c r="R109" s="45"/>
    </row>
    <row r="110" spans="6:18" x14ac:dyDescent="0.2">
      <c r="F110" s="45"/>
      <c r="G110" s="45"/>
      <c r="H110" s="46"/>
      <c r="I110" s="46"/>
      <c r="J110" s="46"/>
      <c r="K110" s="46"/>
      <c r="L110" s="46"/>
      <c r="M110" s="46"/>
      <c r="N110" s="46"/>
      <c r="O110" s="45"/>
      <c r="P110" s="45"/>
      <c r="Q110" s="45"/>
      <c r="R110" s="45"/>
    </row>
    <row r="111" spans="6:18" x14ac:dyDescent="0.2">
      <c r="F111" s="45"/>
      <c r="G111" s="45"/>
      <c r="H111" s="46"/>
      <c r="I111" s="46"/>
      <c r="J111" s="46"/>
      <c r="K111" s="46"/>
      <c r="L111" s="46"/>
      <c r="M111" s="46"/>
      <c r="N111" s="46"/>
      <c r="O111" s="45"/>
      <c r="P111" s="45"/>
      <c r="Q111" s="45"/>
      <c r="R111" s="45"/>
    </row>
    <row r="112" spans="6:18" x14ac:dyDescent="0.2">
      <c r="F112" s="45"/>
      <c r="G112" s="45"/>
      <c r="H112" s="46"/>
      <c r="I112" s="46"/>
      <c r="J112" s="46"/>
      <c r="K112" s="46"/>
      <c r="L112" s="46"/>
      <c r="M112" s="46"/>
      <c r="N112" s="46"/>
      <c r="O112" s="45"/>
      <c r="P112" s="45"/>
      <c r="Q112" s="45"/>
      <c r="R112" s="45"/>
    </row>
    <row r="113" spans="6:18" x14ac:dyDescent="0.2">
      <c r="F113" s="45"/>
      <c r="G113" s="45"/>
      <c r="H113" s="46"/>
      <c r="I113" s="46"/>
      <c r="J113" s="46"/>
      <c r="K113" s="46"/>
      <c r="L113" s="46"/>
      <c r="M113" s="46"/>
      <c r="N113" s="46"/>
      <c r="O113" s="45"/>
      <c r="P113" s="45"/>
      <c r="Q113" s="45"/>
      <c r="R113" s="45"/>
    </row>
    <row r="114" spans="6:18" x14ac:dyDescent="0.2">
      <c r="F114" s="45"/>
      <c r="G114" s="45"/>
      <c r="H114" s="46"/>
      <c r="I114" s="46"/>
      <c r="J114" s="46"/>
      <c r="K114" s="46"/>
      <c r="L114" s="46"/>
      <c r="M114" s="46"/>
      <c r="N114" s="46"/>
      <c r="O114" s="45"/>
      <c r="P114" s="45"/>
      <c r="Q114" s="45"/>
      <c r="R114" s="45"/>
    </row>
    <row r="115" spans="6:18" x14ac:dyDescent="0.2">
      <c r="F115" s="45"/>
      <c r="G115" s="45"/>
      <c r="H115" s="46"/>
      <c r="I115" s="46"/>
      <c r="J115" s="46"/>
      <c r="K115" s="46"/>
      <c r="L115" s="46"/>
      <c r="M115" s="46"/>
      <c r="N115" s="46"/>
      <c r="O115" s="45"/>
      <c r="P115" s="45"/>
      <c r="Q115" s="45"/>
      <c r="R115" s="45"/>
    </row>
    <row r="116" spans="6:18" x14ac:dyDescent="0.2">
      <c r="F116" s="45"/>
      <c r="G116" s="45"/>
      <c r="H116" s="46"/>
      <c r="I116" s="46"/>
      <c r="J116" s="46"/>
      <c r="K116" s="46"/>
      <c r="L116" s="46"/>
      <c r="M116" s="46"/>
      <c r="N116" s="46"/>
      <c r="O116" s="45"/>
      <c r="P116" s="45"/>
      <c r="Q116" s="45"/>
      <c r="R116" s="45"/>
    </row>
    <row r="117" spans="6:18" x14ac:dyDescent="0.2">
      <c r="F117" s="45"/>
      <c r="G117" s="45"/>
      <c r="H117" s="46"/>
      <c r="I117" s="46"/>
      <c r="J117" s="46"/>
      <c r="K117" s="46"/>
      <c r="L117" s="46"/>
      <c r="M117" s="46"/>
      <c r="N117" s="46"/>
      <c r="O117" s="45"/>
      <c r="P117" s="45"/>
      <c r="Q117" s="45"/>
      <c r="R117" s="45"/>
    </row>
    <row r="118" spans="6:18" x14ac:dyDescent="0.2">
      <c r="F118" s="45"/>
      <c r="G118" s="45"/>
      <c r="H118" s="46"/>
      <c r="I118" s="46"/>
      <c r="J118" s="46"/>
      <c r="K118" s="46"/>
      <c r="L118" s="46"/>
      <c r="M118" s="46"/>
      <c r="N118" s="46"/>
      <c r="O118" s="45"/>
      <c r="P118" s="45"/>
      <c r="Q118" s="45"/>
      <c r="R118" s="45"/>
    </row>
    <row r="119" spans="6:18" x14ac:dyDescent="0.2">
      <c r="F119" s="45"/>
      <c r="G119" s="45"/>
      <c r="H119" s="46"/>
      <c r="I119" s="46"/>
      <c r="J119" s="46"/>
      <c r="K119" s="46"/>
      <c r="L119" s="46"/>
      <c r="M119" s="46"/>
      <c r="N119" s="46"/>
      <c r="O119" s="45"/>
      <c r="P119" s="45"/>
      <c r="Q119" s="45"/>
      <c r="R119" s="45"/>
    </row>
    <row r="120" spans="6:18" x14ac:dyDescent="0.2">
      <c r="F120" s="45"/>
      <c r="G120" s="45"/>
      <c r="H120" s="46"/>
      <c r="I120" s="46"/>
      <c r="J120" s="46"/>
      <c r="K120" s="46"/>
      <c r="L120" s="46"/>
      <c r="M120" s="46"/>
      <c r="N120" s="46"/>
      <c r="O120" s="45"/>
      <c r="P120" s="45"/>
      <c r="Q120" s="45"/>
      <c r="R120" s="45"/>
    </row>
    <row r="121" spans="6:18" x14ac:dyDescent="0.2">
      <c r="F121" s="45"/>
      <c r="G121" s="45"/>
      <c r="H121" s="46"/>
      <c r="I121" s="46"/>
      <c r="J121" s="46"/>
      <c r="K121" s="46"/>
      <c r="L121" s="46"/>
      <c r="M121" s="46"/>
      <c r="N121" s="46"/>
      <c r="O121" s="45"/>
      <c r="P121" s="45"/>
      <c r="Q121" s="45"/>
      <c r="R121" s="45"/>
    </row>
    <row r="122" spans="6:18" x14ac:dyDescent="0.2">
      <c r="F122" s="45"/>
      <c r="G122" s="45"/>
      <c r="H122" s="46"/>
      <c r="I122" s="46"/>
      <c r="J122" s="46"/>
      <c r="K122" s="46"/>
      <c r="L122" s="46"/>
      <c r="M122" s="46"/>
      <c r="N122" s="46"/>
      <c r="O122" s="45"/>
      <c r="P122" s="45"/>
      <c r="Q122" s="45"/>
      <c r="R122" s="45"/>
    </row>
    <row r="123" spans="6:18" x14ac:dyDescent="0.2">
      <c r="F123" s="45"/>
      <c r="G123" s="45"/>
      <c r="H123" s="46"/>
      <c r="I123" s="46"/>
      <c r="J123" s="46"/>
      <c r="K123" s="46"/>
      <c r="L123" s="46"/>
      <c r="M123" s="46"/>
      <c r="N123" s="46"/>
      <c r="O123" s="45"/>
      <c r="P123" s="45"/>
      <c r="Q123" s="45"/>
      <c r="R123" s="45"/>
    </row>
    <row r="124" spans="6:18" x14ac:dyDescent="0.2">
      <c r="F124" s="45"/>
      <c r="G124" s="45"/>
      <c r="H124" s="46"/>
      <c r="I124" s="46"/>
      <c r="J124" s="46"/>
      <c r="K124" s="46"/>
      <c r="L124" s="46"/>
      <c r="M124" s="46"/>
      <c r="N124" s="46"/>
      <c r="O124" s="45"/>
      <c r="P124" s="45"/>
      <c r="Q124" s="45"/>
      <c r="R124" s="45"/>
    </row>
    <row r="125" spans="6:18" x14ac:dyDescent="0.2">
      <c r="F125" s="45"/>
      <c r="G125" s="45"/>
      <c r="H125" s="46"/>
      <c r="I125" s="46"/>
      <c r="J125" s="46"/>
      <c r="K125" s="46"/>
      <c r="L125" s="46"/>
      <c r="M125" s="46"/>
      <c r="N125" s="46"/>
      <c r="O125" s="45"/>
      <c r="P125" s="45"/>
      <c r="Q125" s="45"/>
      <c r="R125" s="45"/>
    </row>
    <row r="126" spans="6:18" x14ac:dyDescent="0.2">
      <c r="F126" s="45"/>
      <c r="G126" s="45"/>
      <c r="H126" s="46"/>
      <c r="I126" s="46"/>
      <c r="J126" s="46"/>
      <c r="K126" s="46"/>
      <c r="L126" s="46"/>
      <c r="M126" s="46"/>
      <c r="N126" s="46"/>
      <c r="O126" s="45"/>
      <c r="P126" s="45"/>
      <c r="Q126" s="45"/>
      <c r="R126" s="45"/>
    </row>
    <row r="127" spans="6:18" x14ac:dyDescent="0.2">
      <c r="F127" s="45"/>
      <c r="G127" s="45"/>
      <c r="H127" s="46"/>
      <c r="I127" s="46"/>
      <c r="J127" s="46"/>
      <c r="K127" s="46"/>
      <c r="L127" s="46"/>
      <c r="M127" s="46"/>
      <c r="N127" s="46"/>
      <c r="O127" s="45"/>
      <c r="P127" s="45"/>
      <c r="Q127" s="45"/>
      <c r="R127" s="45"/>
    </row>
    <row r="128" spans="6:18" x14ac:dyDescent="0.2">
      <c r="F128" s="45"/>
      <c r="G128" s="45"/>
      <c r="H128" s="46"/>
      <c r="I128" s="46"/>
      <c r="J128" s="46"/>
      <c r="K128" s="46"/>
      <c r="L128" s="46"/>
      <c r="M128" s="46"/>
      <c r="N128" s="46"/>
      <c r="O128" s="45"/>
      <c r="P128" s="45"/>
      <c r="Q128" s="45"/>
      <c r="R128" s="45"/>
    </row>
    <row r="129" spans="6:18" x14ac:dyDescent="0.2">
      <c r="F129" s="45"/>
      <c r="G129" s="45"/>
      <c r="H129" s="46"/>
      <c r="I129" s="46"/>
      <c r="J129" s="46"/>
      <c r="K129" s="46"/>
      <c r="L129" s="46"/>
      <c r="M129" s="46"/>
      <c r="N129" s="46"/>
      <c r="O129" s="45"/>
      <c r="P129" s="45"/>
      <c r="Q129" s="45"/>
      <c r="R129" s="45"/>
    </row>
    <row r="130" spans="6:18" x14ac:dyDescent="0.2">
      <c r="F130" s="45"/>
      <c r="G130" s="45"/>
      <c r="H130" s="46"/>
      <c r="I130" s="46"/>
      <c r="J130" s="46"/>
      <c r="K130" s="46"/>
      <c r="L130" s="46"/>
      <c r="M130" s="46"/>
      <c r="N130" s="46"/>
      <c r="O130" s="45"/>
      <c r="P130" s="45"/>
      <c r="Q130" s="45"/>
      <c r="R130" s="45"/>
    </row>
    <row r="131" spans="6:18" x14ac:dyDescent="0.2">
      <c r="F131" s="45"/>
      <c r="G131" s="45"/>
      <c r="H131" s="46"/>
      <c r="I131" s="46"/>
      <c r="J131" s="46"/>
      <c r="K131" s="46"/>
      <c r="L131" s="46"/>
      <c r="M131" s="46"/>
      <c r="N131" s="46"/>
      <c r="O131" s="45"/>
      <c r="P131" s="45"/>
      <c r="Q131" s="45"/>
      <c r="R131" s="45"/>
    </row>
    <row r="132" spans="6:18" x14ac:dyDescent="0.2">
      <c r="F132" s="45"/>
      <c r="G132" s="45"/>
      <c r="H132" s="46"/>
      <c r="I132" s="46"/>
      <c r="J132" s="46"/>
      <c r="K132" s="46"/>
      <c r="L132" s="46"/>
      <c r="M132" s="46"/>
      <c r="N132" s="46"/>
      <c r="O132" s="45"/>
      <c r="P132" s="45"/>
      <c r="Q132" s="45"/>
      <c r="R132" s="45"/>
    </row>
    <row r="133" spans="6:18" x14ac:dyDescent="0.2">
      <c r="F133" s="45"/>
      <c r="G133" s="45"/>
      <c r="H133" s="46"/>
      <c r="I133" s="46"/>
      <c r="J133" s="46"/>
      <c r="K133" s="46"/>
      <c r="L133" s="46"/>
      <c r="M133" s="46"/>
      <c r="N133" s="46"/>
      <c r="O133" s="45"/>
      <c r="P133" s="45"/>
      <c r="Q133" s="45"/>
      <c r="R133" s="45"/>
    </row>
    <row r="134" spans="6:18" x14ac:dyDescent="0.2">
      <c r="F134" s="45"/>
      <c r="G134" s="45"/>
      <c r="H134" s="46"/>
      <c r="I134" s="46"/>
      <c r="J134" s="46"/>
      <c r="K134" s="46"/>
      <c r="L134" s="46"/>
      <c r="M134" s="46"/>
      <c r="N134" s="46"/>
      <c r="O134" s="45"/>
      <c r="P134" s="45"/>
      <c r="Q134" s="45"/>
      <c r="R134" s="45"/>
    </row>
    <row r="135" spans="6:18" x14ac:dyDescent="0.2">
      <c r="F135" s="45"/>
      <c r="G135" s="45"/>
      <c r="H135" s="46"/>
      <c r="I135" s="46"/>
      <c r="J135" s="46"/>
      <c r="K135" s="46"/>
      <c r="L135" s="46"/>
      <c r="M135" s="46"/>
      <c r="N135" s="46"/>
      <c r="O135" s="45"/>
      <c r="P135" s="45"/>
      <c r="Q135" s="45"/>
      <c r="R135" s="45"/>
    </row>
    <row r="136" spans="6:18" x14ac:dyDescent="0.2">
      <c r="F136" s="45"/>
      <c r="G136" s="45"/>
      <c r="H136" s="46"/>
      <c r="I136" s="46"/>
      <c r="J136" s="46"/>
      <c r="K136" s="46"/>
      <c r="L136" s="46"/>
      <c r="M136" s="46"/>
      <c r="N136" s="46"/>
      <c r="O136" s="45"/>
      <c r="P136" s="45"/>
      <c r="Q136" s="45"/>
      <c r="R136" s="45"/>
    </row>
    <row r="137" spans="6:18" x14ac:dyDescent="0.2">
      <c r="F137" s="45"/>
      <c r="G137" s="45"/>
      <c r="H137" s="46"/>
      <c r="I137" s="46"/>
      <c r="J137" s="46"/>
      <c r="K137" s="46"/>
      <c r="L137" s="46"/>
      <c r="M137" s="46"/>
      <c r="N137" s="46"/>
      <c r="O137" s="45"/>
      <c r="P137" s="45"/>
      <c r="Q137" s="45"/>
      <c r="R137" s="45"/>
    </row>
    <row r="138" spans="6:18" x14ac:dyDescent="0.2">
      <c r="F138" s="45"/>
      <c r="G138" s="45"/>
      <c r="H138" s="46"/>
      <c r="I138" s="46"/>
      <c r="J138" s="46"/>
      <c r="K138" s="46"/>
      <c r="L138" s="46"/>
      <c r="M138" s="46"/>
      <c r="N138" s="46"/>
      <c r="O138" s="45"/>
      <c r="P138" s="45"/>
      <c r="Q138" s="45"/>
      <c r="R138" s="45"/>
    </row>
    <row r="139" spans="6:18" x14ac:dyDescent="0.2">
      <c r="F139" s="45"/>
      <c r="G139" s="45"/>
      <c r="H139" s="46"/>
      <c r="I139" s="46"/>
      <c r="J139" s="46"/>
      <c r="K139" s="46"/>
      <c r="L139" s="46"/>
      <c r="M139" s="46"/>
      <c r="N139" s="46"/>
      <c r="O139" s="45"/>
      <c r="P139" s="45"/>
      <c r="Q139" s="45"/>
      <c r="R139" s="45"/>
    </row>
    <row r="140" spans="6:18" x14ac:dyDescent="0.2">
      <c r="F140" s="45"/>
      <c r="G140" s="45"/>
      <c r="H140" s="46"/>
      <c r="I140" s="46"/>
      <c r="J140" s="46"/>
      <c r="K140" s="46"/>
      <c r="L140" s="46"/>
      <c r="M140" s="46"/>
      <c r="N140" s="46"/>
      <c r="O140" s="45"/>
      <c r="P140" s="45"/>
      <c r="Q140" s="45"/>
      <c r="R140" s="45"/>
    </row>
    <row r="141" spans="6:18" x14ac:dyDescent="0.2">
      <c r="F141" s="45"/>
      <c r="G141" s="45"/>
      <c r="H141" s="46"/>
      <c r="I141" s="46"/>
      <c r="J141" s="46"/>
      <c r="K141" s="46"/>
      <c r="L141" s="46"/>
      <c r="M141" s="46"/>
      <c r="N141" s="46"/>
      <c r="O141" s="45"/>
      <c r="P141" s="45"/>
      <c r="Q141" s="45"/>
      <c r="R141" s="45"/>
    </row>
    <row r="142" spans="6:18" x14ac:dyDescent="0.2">
      <c r="F142" s="45"/>
      <c r="G142" s="45"/>
      <c r="H142" s="46"/>
      <c r="I142" s="46"/>
      <c r="J142" s="46"/>
      <c r="K142" s="46"/>
      <c r="L142" s="46"/>
      <c r="M142" s="46"/>
      <c r="N142" s="46"/>
      <c r="O142" s="45"/>
      <c r="P142" s="45"/>
      <c r="Q142" s="45"/>
      <c r="R142" s="45"/>
    </row>
    <row r="143" spans="6:18" x14ac:dyDescent="0.2">
      <c r="F143" s="45"/>
      <c r="G143" s="45"/>
      <c r="H143" s="46"/>
      <c r="I143" s="46"/>
      <c r="J143" s="46"/>
      <c r="K143" s="46"/>
      <c r="L143" s="46"/>
      <c r="M143" s="46"/>
      <c r="N143" s="46"/>
      <c r="O143" s="45"/>
      <c r="P143" s="45"/>
      <c r="Q143" s="45"/>
      <c r="R143" s="45"/>
    </row>
    <row r="144" spans="6:18" x14ac:dyDescent="0.2">
      <c r="F144" s="45"/>
      <c r="G144" s="45"/>
      <c r="H144" s="46"/>
      <c r="I144" s="46"/>
      <c r="J144" s="46"/>
      <c r="K144" s="46"/>
      <c r="L144" s="46"/>
      <c r="M144" s="46"/>
      <c r="N144" s="46"/>
      <c r="O144" s="45"/>
      <c r="P144" s="45"/>
      <c r="Q144" s="45"/>
      <c r="R144" s="45"/>
    </row>
    <row r="145" spans="6:18" x14ac:dyDescent="0.2">
      <c r="F145" s="45"/>
      <c r="G145" s="45"/>
      <c r="H145" s="46"/>
      <c r="I145" s="46"/>
      <c r="J145" s="46"/>
      <c r="K145" s="46"/>
      <c r="L145" s="46"/>
      <c r="M145" s="46"/>
      <c r="N145" s="46"/>
      <c r="O145" s="45"/>
      <c r="P145" s="45"/>
      <c r="Q145" s="45"/>
      <c r="R145" s="45"/>
    </row>
    <row r="146" spans="6:18" x14ac:dyDescent="0.2">
      <c r="F146" s="45"/>
      <c r="G146" s="45"/>
      <c r="H146" s="46"/>
      <c r="I146" s="46"/>
      <c r="J146" s="46"/>
      <c r="K146" s="46"/>
      <c r="L146" s="46"/>
      <c r="M146" s="46"/>
      <c r="N146" s="46"/>
      <c r="O146" s="45"/>
      <c r="P146" s="45"/>
      <c r="Q146" s="45"/>
      <c r="R146" s="45"/>
    </row>
    <row r="147" spans="6:18" x14ac:dyDescent="0.2">
      <c r="F147" s="45"/>
      <c r="G147" s="45"/>
      <c r="H147" s="46"/>
      <c r="I147" s="46"/>
      <c r="J147" s="46"/>
      <c r="K147" s="46"/>
      <c r="L147" s="46"/>
      <c r="M147" s="46"/>
      <c r="N147" s="46"/>
      <c r="O147" s="45"/>
      <c r="P147" s="45"/>
      <c r="Q147" s="45"/>
      <c r="R147" s="45"/>
    </row>
    <row r="148" spans="6:18" x14ac:dyDescent="0.2">
      <c r="F148" s="45"/>
      <c r="G148" s="45"/>
      <c r="H148" s="46"/>
      <c r="I148" s="46"/>
      <c r="J148" s="46"/>
      <c r="K148" s="46"/>
      <c r="L148" s="46"/>
      <c r="M148" s="46"/>
      <c r="N148" s="46"/>
      <c r="O148" s="45"/>
      <c r="P148" s="45"/>
      <c r="Q148" s="45"/>
      <c r="R148" s="45"/>
    </row>
    <row r="149" spans="6:18" x14ac:dyDescent="0.2">
      <c r="F149" s="45"/>
      <c r="G149" s="45"/>
      <c r="H149" s="46"/>
      <c r="I149" s="46"/>
      <c r="J149" s="46"/>
      <c r="K149" s="46"/>
      <c r="L149" s="46"/>
      <c r="M149" s="46"/>
      <c r="N149" s="46"/>
      <c r="O149" s="45"/>
      <c r="P149" s="45"/>
      <c r="Q149" s="45"/>
      <c r="R149" s="45"/>
    </row>
    <row r="150" spans="6:18" x14ac:dyDescent="0.2">
      <c r="F150" s="45"/>
      <c r="G150" s="45"/>
      <c r="H150" s="46"/>
      <c r="I150" s="46"/>
      <c r="J150" s="46"/>
      <c r="K150" s="46"/>
      <c r="L150" s="46"/>
      <c r="M150" s="46"/>
      <c r="N150" s="46"/>
      <c r="O150" s="45"/>
      <c r="P150" s="45"/>
      <c r="Q150" s="45"/>
      <c r="R150" s="45"/>
    </row>
    <row r="151" spans="6:18" x14ac:dyDescent="0.2">
      <c r="F151" s="45"/>
      <c r="G151" s="45"/>
      <c r="H151" s="46"/>
      <c r="I151" s="46"/>
      <c r="J151" s="46"/>
      <c r="K151" s="46"/>
      <c r="L151" s="46"/>
      <c r="M151" s="46"/>
      <c r="N151" s="46"/>
      <c r="O151" s="45"/>
      <c r="P151" s="45"/>
      <c r="Q151" s="45"/>
      <c r="R151" s="45"/>
    </row>
    <row r="152" spans="6:18" x14ac:dyDescent="0.2">
      <c r="F152" s="45"/>
      <c r="G152" s="45"/>
      <c r="H152" s="46"/>
      <c r="I152" s="46"/>
      <c r="J152" s="46"/>
      <c r="K152" s="46"/>
      <c r="L152" s="46"/>
      <c r="M152" s="46"/>
      <c r="N152" s="46"/>
      <c r="O152" s="45"/>
      <c r="P152" s="45"/>
      <c r="Q152" s="45"/>
      <c r="R152" s="45"/>
    </row>
    <row r="153" spans="6:18" x14ac:dyDescent="0.2">
      <c r="F153" s="45"/>
      <c r="G153" s="45"/>
      <c r="H153" s="46"/>
      <c r="I153" s="46"/>
      <c r="J153" s="46"/>
      <c r="K153" s="46"/>
      <c r="L153" s="46"/>
      <c r="M153" s="46"/>
      <c r="N153" s="46"/>
      <c r="O153" s="45"/>
      <c r="P153" s="45"/>
      <c r="Q153" s="45"/>
      <c r="R153" s="45"/>
    </row>
    <row r="154" spans="6:18" x14ac:dyDescent="0.2">
      <c r="F154" s="45"/>
      <c r="G154" s="45"/>
      <c r="H154" s="46"/>
      <c r="I154" s="46"/>
      <c r="J154" s="46"/>
      <c r="K154" s="46"/>
      <c r="L154" s="46"/>
      <c r="M154" s="46"/>
      <c r="N154" s="46"/>
      <c r="O154" s="45"/>
      <c r="P154" s="45"/>
      <c r="Q154" s="45"/>
      <c r="R154" s="45"/>
    </row>
    <row r="155" spans="6:18" x14ac:dyDescent="0.2">
      <c r="F155" s="45"/>
      <c r="G155" s="45"/>
      <c r="H155" s="46"/>
      <c r="I155" s="46"/>
      <c r="J155" s="46"/>
      <c r="K155" s="46"/>
      <c r="L155" s="46"/>
      <c r="M155" s="46"/>
      <c r="N155" s="46"/>
      <c r="O155" s="45"/>
      <c r="P155" s="45"/>
      <c r="Q155" s="45"/>
      <c r="R155" s="45"/>
    </row>
    <row r="156" spans="6:18" x14ac:dyDescent="0.2">
      <c r="F156" s="45"/>
      <c r="G156" s="45"/>
      <c r="H156" s="46"/>
      <c r="I156" s="46"/>
      <c r="J156" s="46"/>
      <c r="K156" s="46"/>
      <c r="L156" s="46"/>
      <c r="M156" s="46"/>
      <c r="N156" s="46"/>
      <c r="O156" s="45"/>
      <c r="P156" s="45"/>
      <c r="Q156" s="45"/>
      <c r="R156" s="45"/>
    </row>
    <row r="157" spans="6:18" x14ac:dyDescent="0.2">
      <c r="F157" s="45"/>
      <c r="G157" s="45"/>
      <c r="H157" s="46"/>
      <c r="I157" s="46"/>
      <c r="J157" s="46"/>
      <c r="K157" s="46"/>
      <c r="L157" s="46"/>
      <c r="M157" s="46"/>
      <c r="N157" s="46"/>
      <c r="O157" s="45"/>
      <c r="P157" s="45"/>
      <c r="Q157" s="45"/>
      <c r="R157" s="45"/>
    </row>
    <row r="158" spans="6:18" x14ac:dyDescent="0.2">
      <c r="F158" s="45"/>
      <c r="G158" s="45"/>
      <c r="H158" s="46"/>
      <c r="I158" s="46"/>
      <c r="J158" s="46"/>
      <c r="K158" s="46"/>
      <c r="L158" s="46"/>
      <c r="M158" s="46"/>
      <c r="N158" s="46"/>
      <c r="O158" s="45"/>
      <c r="P158" s="45"/>
      <c r="Q158" s="45"/>
      <c r="R158" s="45"/>
    </row>
    <row r="159" spans="6:18" x14ac:dyDescent="0.2">
      <c r="F159" s="45"/>
      <c r="G159" s="45"/>
      <c r="H159" s="46"/>
      <c r="I159" s="46"/>
      <c r="J159" s="46"/>
      <c r="K159" s="46"/>
      <c r="L159" s="46"/>
      <c r="M159" s="46"/>
      <c r="N159" s="46"/>
      <c r="O159" s="45"/>
      <c r="P159" s="45"/>
      <c r="Q159" s="45"/>
      <c r="R159" s="45"/>
    </row>
    <row r="160" spans="6:18" x14ac:dyDescent="0.2">
      <c r="F160" s="45"/>
      <c r="G160" s="45"/>
      <c r="H160" s="46"/>
      <c r="I160" s="46"/>
      <c r="J160" s="46"/>
      <c r="K160" s="46"/>
      <c r="L160" s="46"/>
      <c r="M160" s="46"/>
      <c r="N160" s="46"/>
      <c r="O160" s="45"/>
      <c r="P160" s="45"/>
      <c r="Q160" s="45"/>
      <c r="R160" s="45"/>
    </row>
    <row r="161" spans="6:18" x14ac:dyDescent="0.2">
      <c r="F161" s="45"/>
      <c r="G161" s="45"/>
      <c r="H161" s="46"/>
      <c r="I161" s="46"/>
      <c r="J161" s="46"/>
      <c r="K161" s="46"/>
      <c r="L161" s="46"/>
      <c r="M161" s="46"/>
      <c r="N161" s="46"/>
      <c r="O161" s="45"/>
      <c r="P161" s="45"/>
      <c r="Q161" s="45"/>
      <c r="R161" s="45"/>
    </row>
    <row r="162" spans="6:18" x14ac:dyDescent="0.2">
      <c r="F162" s="45"/>
      <c r="G162" s="45"/>
      <c r="H162" s="46"/>
      <c r="I162" s="46"/>
      <c r="J162" s="46"/>
      <c r="K162" s="46"/>
      <c r="L162" s="46"/>
      <c r="M162" s="46"/>
      <c r="N162" s="46"/>
      <c r="O162" s="45"/>
      <c r="P162" s="45"/>
      <c r="Q162" s="45"/>
      <c r="R162" s="45"/>
    </row>
    <row r="163" spans="6:18" x14ac:dyDescent="0.2">
      <c r="F163" s="45"/>
      <c r="G163" s="45"/>
      <c r="H163" s="46"/>
      <c r="I163" s="46"/>
      <c r="J163" s="46"/>
      <c r="K163" s="46"/>
      <c r="L163" s="46"/>
      <c r="M163" s="46"/>
      <c r="N163" s="46"/>
      <c r="O163" s="45"/>
      <c r="P163" s="45"/>
      <c r="Q163" s="45"/>
      <c r="R163" s="45"/>
    </row>
    <row r="164" spans="6:18" x14ac:dyDescent="0.2">
      <c r="F164" s="45"/>
      <c r="G164" s="45"/>
      <c r="H164" s="46"/>
      <c r="I164" s="46"/>
      <c r="J164" s="46"/>
      <c r="K164" s="46"/>
      <c r="L164" s="46"/>
      <c r="M164" s="46"/>
      <c r="N164" s="46"/>
      <c r="O164" s="45"/>
      <c r="P164" s="45"/>
      <c r="Q164" s="45"/>
      <c r="R164" s="45"/>
    </row>
    <row r="165" spans="6:18" x14ac:dyDescent="0.2">
      <c r="F165" s="45"/>
      <c r="G165" s="45"/>
      <c r="H165" s="46"/>
      <c r="I165" s="46"/>
      <c r="J165" s="46"/>
      <c r="K165" s="46"/>
      <c r="L165" s="46"/>
      <c r="M165" s="46"/>
      <c r="N165" s="46"/>
      <c r="O165" s="45"/>
      <c r="P165" s="45"/>
      <c r="Q165" s="45"/>
      <c r="R165" s="45"/>
    </row>
    <row r="166" spans="6:18" x14ac:dyDescent="0.2">
      <c r="F166" s="45"/>
      <c r="G166" s="45"/>
      <c r="H166" s="46"/>
      <c r="I166" s="46"/>
      <c r="J166" s="46"/>
      <c r="K166" s="46"/>
      <c r="L166" s="46"/>
      <c r="M166" s="46"/>
      <c r="N166" s="46"/>
      <c r="O166" s="45"/>
      <c r="P166" s="45"/>
      <c r="Q166" s="45"/>
      <c r="R166" s="45"/>
    </row>
    <row r="167" spans="6:18" x14ac:dyDescent="0.2">
      <c r="F167" s="45"/>
      <c r="G167" s="45"/>
      <c r="H167" s="46"/>
      <c r="I167" s="46"/>
      <c r="J167" s="46"/>
      <c r="K167" s="46"/>
      <c r="L167" s="46"/>
      <c r="M167" s="46"/>
      <c r="N167" s="46"/>
      <c r="O167" s="45"/>
      <c r="P167" s="45"/>
      <c r="Q167" s="45"/>
      <c r="R167" s="45"/>
    </row>
    <row r="168" spans="6:18" x14ac:dyDescent="0.2">
      <c r="F168" s="45"/>
      <c r="G168" s="45"/>
      <c r="H168" s="46"/>
      <c r="I168" s="46"/>
      <c r="J168" s="46"/>
      <c r="K168" s="46"/>
      <c r="L168" s="46"/>
      <c r="M168" s="46"/>
      <c r="N168" s="46"/>
      <c r="O168" s="45"/>
      <c r="P168" s="45"/>
      <c r="Q168" s="45"/>
      <c r="R168" s="45"/>
    </row>
    <row r="169" spans="6:18" x14ac:dyDescent="0.2">
      <c r="F169" s="45"/>
      <c r="G169" s="45"/>
      <c r="H169" s="46"/>
      <c r="I169" s="46"/>
      <c r="J169" s="46"/>
      <c r="K169" s="46"/>
      <c r="L169" s="46"/>
      <c r="M169" s="46"/>
      <c r="N169" s="46"/>
      <c r="O169" s="45"/>
      <c r="P169" s="45"/>
      <c r="Q169" s="45"/>
      <c r="R169" s="45"/>
    </row>
    <row r="170" spans="6:18" x14ac:dyDescent="0.2">
      <c r="F170" s="45"/>
      <c r="G170" s="45"/>
      <c r="H170" s="46"/>
      <c r="I170" s="46"/>
      <c r="J170" s="46"/>
      <c r="K170" s="46"/>
      <c r="L170" s="46"/>
      <c r="M170" s="46"/>
      <c r="N170" s="46"/>
      <c r="O170" s="45"/>
      <c r="P170" s="45"/>
      <c r="Q170" s="45"/>
      <c r="R170" s="45"/>
    </row>
    <row r="171" spans="6:18" x14ac:dyDescent="0.2">
      <c r="F171" s="45"/>
      <c r="G171" s="45"/>
      <c r="H171" s="46"/>
      <c r="I171" s="46"/>
      <c r="J171" s="46"/>
      <c r="K171" s="46"/>
      <c r="L171" s="46"/>
      <c r="M171" s="46"/>
      <c r="N171" s="46"/>
      <c r="O171" s="45"/>
      <c r="P171" s="45"/>
      <c r="Q171" s="45"/>
      <c r="R171" s="45"/>
    </row>
    <row r="172" spans="6:18" x14ac:dyDescent="0.2">
      <c r="F172" s="45"/>
      <c r="G172" s="45"/>
      <c r="H172" s="46"/>
      <c r="I172" s="46"/>
      <c r="J172" s="46"/>
      <c r="K172" s="46"/>
      <c r="L172" s="46"/>
      <c r="M172" s="46"/>
      <c r="N172" s="46"/>
      <c r="O172" s="45"/>
      <c r="P172" s="45"/>
      <c r="Q172" s="45"/>
      <c r="R172" s="45"/>
    </row>
    <row r="173" spans="6:18" x14ac:dyDescent="0.2">
      <c r="F173" s="45"/>
      <c r="G173" s="45"/>
      <c r="H173" s="46"/>
      <c r="I173" s="46"/>
      <c r="J173" s="46"/>
      <c r="K173" s="46"/>
      <c r="L173" s="46"/>
      <c r="M173" s="46"/>
      <c r="N173" s="46"/>
      <c r="O173" s="45"/>
      <c r="P173" s="45"/>
      <c r="Q173" s="45"/>
      <c r="R173" s="45"/>
    </row>
    <row r="174" spans="6:18" x14ac:dyDescent="0.2">
      <c r="F174" s="10"/>
      <c r="G174" s="10"/>
      <c r="H174" s="26"/>
      <c r="I174" s="26"/>
      <c r="J174" s="26"/>
      <c r="K174" s="26"/>
      <c r="L174" s="26"/>
      <c r="M174" s="26"/>
      <c r="N174" s="26"/>
      <c r="O174" s="10"/>
      <c r="P174" s="10"/>
      <c r="Q174" s="10"/>
      <c r="R174" s="10"/>
    </row>
    <row r="175" spans="6:18" x14ac:dyDescent="0.2">
      <c r="F175" s="10"/>
      <c r="G175" s="10"/>
      <c r="H175" s="26"/>
      <c r="I175" s="26"/>
      <c r="J175" s="26"/>
      <c r="K175" s="26"/>
      <c r="L175" s="26"/>
      <c r="M175" s="26"/>
      <c r="N175" s="26"/>
      <c r="O175" s="10"/>
      <c r="P175" s="10"/>
      <c r="Q175" s="10"/>
      <c r="R175" s="10"/>
    </row>
    <row r="176" spans="6:18" x14ac:dyDescent="0.2">
      <c r="F176" s="10"/>
      <c r="G176" s="10"/>
      <c r="H176" s="26"/>
      <c r="I176" s="26"/>
      <c r="J176" s="26"/>
      <c r="K176" s="26"/>
      <c r="L176" s="26"/>
      <c r="M176" s="26"/>
      <c r="N176" s="26"/>
      <c r="O176" s="10"/>
      <c r="P176" s="10"/>
      <c r="Q176" s="10"/>
      <c r="R176" s="10"/>
    </row>
    <row r="177" spans="6:18" x14ac:dyDescent="0.2">
      <c r="F177" s="10"/>
      <c r="G177" s="10"/>
      <c r="H177" s="26"/>
      <c r="I177" s="26"/>
      <c r="J177" s="26"/>
      <c r="K177" s="26"/>
      <c r="L177" s="26"/>
      <c r="M177" s="26"/>
      <c r="N177" s="26"/>
      <c r="O177" s="10"/>
      <c r="P177" s="10"/>
      <c r="Q177" s="10"/>
      <c r="R177" s="10"/>
    </row>
    <row r="178" spans="6:18" x14ac:dyDescent="0.2">
      <c r="F178" s="10"/>
      <c r="G178" s="10"/>
      <c r="H178" s="26"/>
      <c r="I178" s="26"/>
      <c r="J178" s="26"/>
      <c r="K178" s="26"/>
      <c r="L178" s="26"/>
      <c r="M178" s="26"/>
      <c r="N178" s="26"/>
      <c r="O178" s="10"/>
      <c r="P178" s="10"/>
      <c r="Q178" s="10"/>
      <c r="R178" s="10"/>
    </row>
    <row r="179" spans="6:18" x14ac:dyDescent="0.2">
      <c r="F179" s="10"/>
      <c r="G179" s="10"/>
      <c r="H179" s="26"/>
      <c r="I179" s="26"/>
      <c r="J179" s="26"/>
      <c r="K179" s="26"/>
      <c r="L179" s="26"/>
      <c r="M179" s="26"/>
      <c r="N179" s="26"/>
      <c r="O179" s="10"/>
      <c r="P179" s="10"/>
      <c r="Q179" s="10"/>
      <c r="R179" s="10"/>
    </row>
    <row r="180" spans="6:18" x14ac:dyDescent="0.2">
      <c r="F180" s="10"/>
      <c r="G180" s="10"/>
      <c r="H180" s="26"/>
      <c r="I180" s="26"/>
      <c r="J180" s="26"/>
      <c r="K180" s="26"/>
      <c r="L180" s="26"/>
      <c r="M180" s="26"/>
      <c r="N180" s="26"/>
      <c r="O180" s="10"/>
      <c r="P180" s="10"/>
      <c r="Q180" s="10"/>
      <c r="R180" s="10"/>
    </row>
    <row r="181" spans="6:18" x14ac:dyDescent="0.2">
      <c r="F181" s="10"/>
      <c r="G181" s="10"/>
      <c r="H181" s="26"/>
      <c r="I181" s="26"/>
      <c r="J181" s="26"/>
      <c r="K181" s="26"/>
      <c r="L181" s="26"/>
      <c r="M181" s="26"/>
      <c r="N181" s="26"/>
      <c r="O181" s="10"/>
      <c r="P181" s="10"/>
      <c r="Q181" s="10"/>
      <c r="R181" s="10"/>
    </row>
    <row r="182" spans="6:18" x14ac:dyDescent="0.2">
      <c r="F182" s="10"/>
      <c r="G182" s="10"/>
      <c r="H182" s="26"/>
      <c r="I182" s="26"/>
      <c r="J182" s="26"/>
      <c r="K182" s="26"/>
      <c r="L182" s="26"/>
      <c r="M182" s="26"/>
      <c r="N182" s="26"/>
      <c r="O182" s="10"/>
      <c r="P182" s="10"/>
      <c r="Q182" s="10"/>
      <c r="R182" s="10"/>
    </row>
    <row r="183" spans="6:18" x14ac:dyDescent="0.2">
      <c r="F183" s="10"/>
      <c r="G183" s="10"/>
      <c r="H183" s="26"/>
      <c r="I183" s="26"/>
      <c r="J183" s="26"/>
      <c r="K183" s="26"/>
      <c r="L183" s="26"/>
      <c r="M183" s="26"/>
      <c r="N183" s="26"/>
      <c r="O183" s="10"/>
      <c r="P183" s="10"/>
      <c r="Q183" s="10"/>
      <c r="R183" s="10"/>
    </row>
    <row r="184" spans="6:18" x14ac:dyDescent="0.2">
      <c r="F184" s="10"/>
      <c r="G184" s="10"/>
      <c r="H184" s="26"/>
      <c r="I184" s="26"/>
      <c r="J184" s="26"/>
      <c r="K184" s="26"/>
      <c r="L184" s="26"/>
      <c r="M184" s="26"/>
      <c r="N184" s="26"/>
      <c r="O184" s="10"/>
      <c r="P184" s="10"/>
      <c r="Q184" s="10"/>
      <c r="R184" s="10"/>
    </row>
    <row r="185" spans="6:18" x14ac:dyDescent="0.2">
      <c r="F185" s="10"/>
      <c r="G185" s="10"/>
      <c r="H185" s="26"/>
      <c r="I185" s="26"/>
      <c r="J185" s="26"/>
      <c r="K185" s="26"/>
      <c r="L185" s="26"/>
      <c r="M185" s="26"/>
      <c r="N185" s="26"/>
      <c r="O185" s="10"/>
      <c r="P185" s="10"/>
      <c r="Q185" s="10"/>
      <c r="R185" s="10"/>
    </row>
    <row r="186" spans="6:18" x14ac:dyDescent="0.2">
      <c r="F186" s="10"/>
      <c r="G186" s="10"/>
      <c r="H186" s="26"/>
      <c r="I186" s="26"/>
      <c r="J186" s="26"/>
      <c r="K186" s="26"/>
      <c r="L186" s="26"/>
      <c r="M186" s="26"/>
      <c r="N186" s="26"/>
      <c r="O186" s="10"/>
      <c r="P186" s="10"/>
      <c r="Q186" s="10"/>
      <c r="R186" s="10"/>
    </row>
    <row r="187" spans="6:18" x14ac:dyDescent="0.2">
      <c r="F187" s="10"/>
      <c r="G187" s="10"/>
      <c r="H187" s="26"/>
      <c r="I187" s="26"/>
      <c r="J187" s="26"/>
      <c r="K187" s="26"/>
      <c r="L187" s="26"/>
      <c r="M187" s="26"/>
      <c r="N187" s="26"/>
      <c r="O187" s="10"/>
      <c r="P187" s="10"/>
      <c r="Q187" s="10"/>
      <c r="R187" s="10"/>
    </row>
    <row r="188" spans="6:18" x14ac:dyDescent="0.2">
      <c r="F188" s="10"/>
      <c r="G188" s="10"/>
      <c r="H188" s="26"/>
      <c r="I188" s="26"/>
      <c r="J188" s="26"/>
      <c r="K188" s="26"/>
      <c r="L188" s="26"/>
      <c r="M188" s="26"/>
      <c r="N188" s="26"/>
      <c r="O188" s="10"/>
      <c r="P188" s="10"/>
      <c r="Q188" s="10"/>
      <c r="R188" s="10"/>
    </row>
    <row r="189" spans="6:18" x14ac:dyDescent="0.2">
      <c r="H189" s="15"/>
      <c r="I189" s="15"/>
      <c r="J189" s="15"/>
      <c r="K189" s="15"/>
      <c r="L189" s="15"/>
      <c r="M189" s="15"/>
      <c r="N189" s="15"/>
    </row>
    <row r="190" spans="6:18" x14ac:dyDescent="0.2">
      <c r="H190" s="15"/>
      <c r="I190" s="15"/>
      <c r="J190" s="15"/>
      <c r="K190" s="15"/>
      <c r="L190" s="15"/>
      <c r="M190" s="15"/>
      <c r="N190" s="15"/>
    </row>
    <row r="191" spans="6:18" x14ac:dyDescent="0.2">
      <c r="H191" s="15"/>
      <c r="I191" s="15"/>
      <c r="J191" s="15"/>
      <c r="K191" s="15"/>
      <c r="L191" s="15"/>
      <c r="M191" s="15"/>
      <c r="N191" s="15"/>
    </row>
    <row r="192" spans="6:18" x14ac:dyDescent="0.2">
      <c r="H192" s="15"/>
      <c r="I192" s="15"/>
      <c r="J192" s="15"/>
      <c r="K192" s="15"/>
      <c r="L192" s="15"/>
      <c r="M192" s="15"/>
      <c r="N192" s="15"/>
    </row>
    <row r="193" spans="8:14" x14ac:dyDescent="0.2">
      <c r="H193" s="15"/>
      <c r="I193" s="15"/>
      <c r="J193" s="15"/>
      <c r="K193" s="15"/>
      <c r="L193" s="15"/>
      <c r="M193" s="15"/>
      <c r="N193" s="15"/>
    </row>
    <row r="194" spans="8:14" x14ac:dyDescent="0.2">
      <c r="H194" s="15"/>
      <c r="I194" s="15"/>
      <c r="J194" s="15"/>
      <c r="K194" s="15"/>
      <c r="L194" s="15"/>
      <c r="M194" s="15"/>
      <c r="N194" s="15"/>
    </row>
    <row r="195" spans="8:14" x14ac:dyDescent="0.2">
      <c r="H195" s="15"/>
      <c r="I195" s="15"/>
      <c r="J195" s="15"/>
      <c r="K195" s="15"/>
      <c r="L195" s="15"/>
      <c r="M195" s="15"/>
      <c r="N195" s="15"/>
    </row>
    <row r="196" spans="8:14" x14ac:dyDescent="0.2">
      <c r="H196" s="15"/>
      <c r="I196" s="15"/>
      <c r="J196" s="15"/>
      <c r="K196" s="15"/>
      <c r="L196" s="15"/>
      <c r="M196" s="15"/>
      <c r="N196" s="15"/>
    </row>
    <row r="197" spans="8:14" x14ac:dyDescent="0.2">
      <c r="H197" s="15"/>
      <c r="I197" s="15"/>
      <c r="J197" s="15"/>
      <c r="K197" s="15"/>
      <c r="L197" s="15"/>
      <c r="M197" s="15"/>
      <c r="N197" s="15"/>
    </row>
    <row r="198" spans="8:14" x14ac:dyDescent="0.2">
      <c r="H198" s="15"/>
      <c r="I198" s="15"/>
      <c r="J198" s="15"/>
      <c r="K198" s="15"/>
      <c r="L198" s="15"/>
      <c r="M198" s="15"/>
      <c r="N198" s="15"/>
    </row>
    <row r="199" spans="8:14" x14ac:dyDescent="0.2">
      <c r="H199" s="15"/>
      <c r="I199" s="15"/>
      <c r="J199" s="15"/>
      <c r="K199" s="15"/>
      <c r="L199" s="15"/>
      <c r="M199" s="15"/>
      <c r="N199" s="15"/>
    </row>
    <row r="200" spans="8:14" x14ac:dyDescent="0.2">
      <c r="H200" s="15"/>
      <c r="I200" s="15"/>
      <c r="J200" s="15"/>
      <c r="K200" s="15"/>
      <c r="L200" s="15"/>
      <c r="M200" s="15"/>
      <c r="N200" s="15"/>
    </row>
    <row r="201" spans="8:14" x14ac:dyDescent="0.2">
      <c r="H201" s="15"/>
      <c r="I201" s="15"/>
      <c r="J201" s="15"/>
      <c r="K201" s="15"/>
      <c r="L201" s="15"/>
      <c r="M201" s="15"/>
      <c r="N201" s="15"/>
    </row>
    <row r="202" spans="8:14" x14ac:dyDescent="0.2">
      <c r="H202" s="15"/>
      <c r="I202" s="15"/>
      <c r="J202" s="15"/>
      <c r="K202" s="15"/>
      <c r="L202" s="15"/>
      <c r="M202" s="15"/>
      <c r="N202" s="15"/>
    </row>
    <row r="203" spans="8:14" x14ac:dyDescent="0.2">
      <c r="H203" s="15"/>
      <c r="I203" s="15"/>
      <c r="J203" s="15"/>
      <c r="K203" s="15"/>
      <c r="L203" s="15"/>
      <c r="M203" s="15"/>
      <c r="N203" s="15"/>
    </row>
    <row r="204" spans="8:14" x14ac:dyDescent="0.2">
      <c r="H204" s="15"/>
      <c r="I204" s="15"/>
      <c r="J204" s="15"/>
      <c r="K204" s="15"/>
      <c r="L204" s="15"/>
      <c r="M204" s="15"/>
      <c r="N204" s="15"/>
    </row>
    <row r="205" spans="8:14" x14ac:dyDescent="0.2">
      <c r="H205" s="15"/>
      <c r="I205" s="15"/>
      <c r="J205" s="15"/>
      <c r="K205" s="15"/>
      <c r="L205" s="15"/>
      <c r="M205" s="15"/>
      <c r="N205" s="15"/>
    </row>
    <row r="206" spans="8:14" x14ac:dyDescent="0.2">
      <c r="H206" s="15"/>
      <c r="I206" s="15"/>
      <c r="J206" s="15"/>
      <c r="K206" s="15"/>
      <c r="L206" s="15"/>
      <c r="M206" s="15"/>
      <c r="N206" s="15"/>
    </row>
    <row r="207" spans="8:14" x14ac:dyDescent="0.2">
      <c r="H207" s="15"/>
      <c r="I207" s="15"/>
      <c r="J207" s="15"/>
      <c r="K207" s="15"/>
      <c r="L207" s="15"/>
      <c r="M207" s="15"/>
      <c r="N207" s="15"/>
    </row>
    <row r="208" spans="8:14" x14ac:dyDescent="0.2">
      <c r="H208" s="15"/>
      <c r="I208" s="15"/>
      <c r="J208" s="15"/>
      <c r="K208" s="15"/>
      <c r="L208" s="15"/>
      <c r="M208" s="15"/>
      <c r="N208" s="15"/>
    </row>
    <row r="209" spans="8:14" x14ac:dyDescent="0.2">
      <c r="H209" s="15"/>
      <c r="I209" s="15"/>
      <c r="J209" s="15"/>
      <c r="K209" s="15"/>
      <c r="L209" s="15"/>
      <c r="M209" s="15"/>
      <c r="N209" s="15"/>
    </row>
    <row r="210" spans="8:14" x14ac:dyDescent="0.2">
      <c r="H210" s="15"/>
      <c r="I210" s="15"/>
      <c r="J210" s="15"/>
      <c r="K210" s="15"/>
      <c r="L210" s="15"/>
      <c r="M210" s="15"/>
      <c r="N210" s="15"/>
    </row>
    <row r="211" spans="8:14" x14ac:dyDescent="0.2">
      <c r="H211" s="15"/>
      <c r="I211" s="15"/>
      <c r="J211" s="15"/>
      <c r="K211" s="15"/>
      <c r="L211" s="15"/>
      <c r="M211" s="15"/>
      <c r="N211" s="15"/>
    </row>
    <row r="212" spans="8:14" x14ac:dyDescent="0.2">
      <c r="H212" s="15"/>
      <c r="I212" s="15"/>
      <c r="J212" s="15"/>
      <c r="K212" s="15"/>
      <c r="L212" s="15"/>
      <c r="M212" s="15"/>
      <c r="N212" s="15"/>
    </row>
    <row r="213" spans="8:14" x14ac:dyDescent="0.2">
      <c r="H213" s="15"/>
      <c r="I213" s="15"/>
      <c r="J213" s="15"/>
      <c r="K213" s="15"/>
      <c r="L213" s="15"/>
      <c r="M213" s="15"/>
      <c r="N213" s="15"/>
    </row>
    <row r="214" spans="8:14" x14ac:dyDescent="0.2">
      <c r="H214" s="15"/>
      <c r="I214" s="15"/>
      <c r="J214" s="15"/>
      <c r="K214" s="15"/>
      <c r="L214" s="15"/>
      <c r="M214" s="15"/>
      <c r="N214" s="15"/>
    </row>
    <row r="215" spans="8:14" x14ac:dyDescent="0.2">
      <c r="H215" s="15"/>
      <c r="I215" s="15"/>
      <c r="J215" s="15"/>
      <c r="K215" s="15"/>
      <c r="L215" s="15"/>
      <c r="M215" s="15"/>
      <c r="N215" s="15"/>
    </row>
    <row r="216" spans="8:14" x14ac:dyDescent="0.2">
      <c r="H216" s="15"/>
      <c r="I216" s="15"/>
      <c r="J216" s="15"/>
      <c r="K216" s="15"/>
      <c r="L216" s="15"/>
      <c r="M216" s="15"/>
      <c r="N216" s="15"/>
    </row>
    <row r="217" spans="8:14" x14ac:dyDescent="0.2">
      <c r="H217" s="15"/>
      <c r="I217" s="15"/>
      <c r="J217" s="15"/>
      <c r="K217" s="15"/>
      <c r="L217" s="15"/>
      <c r="M217" s="15"/>
      <c r="N217" s="15"/>
    </row>
    <row r="218" spans="8:14" x14ac:dyDescent="0.2">
      <c r="H218" s="15"/>
      <c r="I218" s="15"/>
      <c r="J218" s="15"/>
      <c r="K218" s="15"/>
      <c r="L218" s="15"/>
      <c r="M218" s="15"/>
      <c r="N218" s="15"/>
    </row>
    <row r="219" spans="8:14" x14ac:dyDescent="0.2">
      <c r="H219" s="15"/>
      <c r="I219" s="15"/>
      <c r="J219" s="15"/>
      <c r="K219" s="15"/>
      <c r="L219" s="15"/>
      <c r="M219" s="15"/>
      <c r="N219" s="15"/>
    </row>
    <row r="220" spans="8:14" x14ac:dyDescent="0.2">
      <c r="H220" s="15"/>
      <c r="I220" s="15"/>
      <c r="J220" s="15"/>
      <c r="K220" s="15"/>
      <c r="L220" s="15"/>
      <c r="M220" s="15"/>
      <c r="N220" s="15"/>
    </row>
    <row r="221" spans="8:14" x14ac:dyDescent="0.2">
      <c r="H221" s="15"/>
      <c r="I221" s="15"/>
      <c r="J221" s="15"/>
      <c r="K221" s="15"/>
      <c r="L221" s="15"/>
      <c r="M221" s="15"/>
      <c r="N221" s="15"/>
    </row>
    <row r="222" spans="8:14" x14ac:dyDescent="0.2">
      <c r="H222" s="15"/>
      <c r="I222" s="15"/>
      <c r="J222" s="15"/>
      <c r="K222" s="15"/>
      <c r="L222" s="15"/>
      <c r="M222" s="15"/>
      <c r="N222" s="15"/>
    </row>
    <row r="223" spans="8:14" x14ac:dyDescent="0.2">
      <c r="H223" s="15"/>
      <c r="I223" s="15"/>
      <c r="J223" s="15"/>
      <c r="K223" s="15"/>
      <c r="L223" s="15"/>
      <c r="M223" s="15"/>
      <c r="N223" s="15"/>
    </row>
    <row r="224" spans="8:14" x14ac:dyDescent="0.2">
      <c r="H224" s="15"/>
      <c r="I224" s="15"/>
      <c r="J224" s="15"/>
      <c r="K224" s="15"/>
      <c r="L224" s="15"/>
      <c r="M224" s="15"/>
      <c r="N224" s="15"/>
    </row>
    <row r="225" spans="8:14" x14ac:dyDescent="0.2">
      <c r="H225" s="15"/>
      <c r="I225" s="15"/>
      <c r="J225" s="15"/>
      <c r="K225" s="15"/>
      <c r="L225" s="15"/>
      <c r="M225" s="15"/>
      <c r="N225" s="15"/>
    </row>
    <row r="226" spans="8:14" x14ac:dyDescent="0.2">
      <c r="H226" s="15"/>
      <c r="I226" s="15"/>
      <c r="J226" s="15"/>
      <c r="K226" s="15"/>
      <c r="L226" s="15"/>
      <c r="M226" s="15"/>
      <c r="N226" s="15"/>
    </row>
    <row r="227" spans="8:14" x14ac:dyDescent="0.2">
      <c r="H227" s="15"/>
      <c r="I227" s="15"/>
      <c r="J227" s="15"/>
      <c r="K227" s="15"/>
      <c r="L227" s="15"/>
      <c r="M227" s="15"/>
      <c r="N227" s="15"/>
    </row>
    <row r="228" spans="8:14" x14ac:dyDescent="0.2">
      <c r="H228" s="15"/>
      <c r="I228" s="15"/>
      <c r="J228" s="15"/>
      <c r="K228" s="15"/>
      <c r="L228" s="15"/>
      <c r="M228" s="15"/>
      <c r="N228" s="15"/>
    </row>
    <row r="229" spans="8:14" x14ac:dyDescent="0.2">
      <c r="H229" s="15"/>
      <c r="I229" s="15"/>
      <c r="J229" s="15"/>
      <c r="K229" s="15"/>
      <c r="L229" s="15"/>
      <c r="M229" s="15"/>
      <c r="N229" s="15"/>
    </row>
    <row r="230" spans="8:14" x14ac:dyDescent="0.2">
      <c r="H230" s="15"/>
      <c r="I230" s="15"/>
      <c r="J230" s="15"/>
      <c r="K230" s="15"/>
      <c r="L230" s="15"/>
      <c r="M230" s="15"/>
      <c r="N230" s="15"/>
    </row>
    <row r="231" spans="8:14" x14ac:dyDescent="0.2">
      <c r="H231" s="15"/>
      <c r="I231" s="15"/>
      <c r="J231" s="15"/>
      <c r="K231" s="15"/>
      <c r="L231" s="15"/>
      <c r="M231" s="15"/>
      <c r="N231" s="15"/>
    </row>
    <row r="232" spans="8:14" x14ac:dyDescent="0.2">
      <c r="H232" s="15"/>
      <c r="I232" s="15"/>
      <c r="J232" s="15"/>
      <c r="K232" s="15"/>
      <c r="L232" s="15"/>
      <c r="M232" s="15"/>
      <c r="N232" s="15"/>
    </row>
    <row r="233" spans="8:14" x14ac:dyDescent="0.2">
      <c r="H233" s="15"/>
      <c r="I233" s="15"/>
      <c r="J233" s="15"/>
      <c r="K233" s="15"/>
      <c r="L233" s="15"/>
      <c r="M233" s="15"/>
      <c r="N233" s="15"/>
    </row>
    <row r="234" spans="8:14" x14ac:dyDescent="0.2">
      <c r="H234" s="15"/>
      <c r="I234" s="15"/>
      <c r="J234" s="15"/>
      <c r="K234" s="15"/>
      <c r="L234" s="15"/>
      <c r="M234" s="15"/>
      <c r="N234" s="15"/>
    </row>
    <row r="235" spans="8:14" x14ac:dyDescent="0.2">
      <c r="H235" s="15"/>
      <c r="I235" s="15"/>
      <c r="J235" s="15"/>
      <c r="K235" s="15"/>
      <c r="L235" s="15"/>
      <c r="M235" s="15"/>
      <c r="N235" s="15"/>
    </row>
    <row r="236" spans="8:14" x14ac:dyDescent="0.2">
      <c r="H236" s="15"/>
      <c r="I236" s="15"/>
      <c r="J236" s="15"/>
      <c r="K236" s="15"/>
      <c r="L236" s="15"/>
      <c r="M236" s="15"/>
      <c r="N236" s="15"/>
    </row>
    <row r="237" spans="8:14" x14ac:dyDescent="0.2">
      <c r="H237" s="15"/>
      <c r="I237" s="15"/>
      <c r="J237" s="15"/>
      <c r="K237" s="15"/>
      <c r="L237" s="15"/>
      <c r="M237" s="15"/>
      <c r="N237" s="15"/>
    </row>
    <row r="238" spans="8:14" x14ac:dyDescent="0.2">
      <c r="H238" s="15"/>
      <c r="I238" s="15"/>
      <c r="J238" s="15"/>
      <c r="K238" s="15"/>
      <c r="L238" s="15"/>
      <c r="M238" s="15"/>
      <c r="N238" s="15"/>
    </row>
    <row r="239" spans="8:14" x14ac:dyDescent="0.2">
      <c r="H239" s="15"/>
      <c r="I239" s="15"/>
      <c r="J239" s="15"/>
      <c r="K239" s="15"/>
      <c r="L239" s="15"/>
      <c r="M239" s="15"/>
      <c r="N239" s="15"/>
    </row>
    <row r="240" spans="8:14" x14ac:dyDescent="0.2">
      <c r="H240" s="15"/>
      <c r="I240" s="15"/>
      <c r="J240" s="15"/>
      <c r="K240" s="15"/>
      <c r="L240" s="15"/>
      <c r="M240" s="15"/>
      <c r="N240" s="15"/>
    </row>
    <row r="241" spans="8:14" x14ac:dyDescent="0.2">
      <c r="H241" s="15"/>
      <c r="I241" s="15"/>
      <c r="J241" s="15"/>
      <c r="K241" s="15"/>
      <c r="L241" s="15"/>
      <c r="M241" s="15"/>
      <c r="N241" s="15"/>
    </row>
    <row r="242" spans="8:14" x14ac:dyDescent="0.2">
      <c r="H242" s="15"/>
      <c r="I242" s="15"/>
      <c r="J242" s="15"/>
      <c r="K242" s="15"/>
      <c r="L242" s="15"/>
      <c r="M242" s="15"/>
      <c r="N242" s="15"/>
    </row>
    <row r="243" spans="8:14" x14ac:dyDescent="0.2">
      <c r="H243" s="15"/>
      <c r="I243" s="15"/>
      <c r="J243" s="15"/>
      <c r="K243" s="15"/>
      <c r="L243" s="15"/>
      <c r="M243" s="15"/>
      <c r="N243" s="15"/>
    </row>
    <row r="244" spans="8:14" x14ac:dyDescent="0.2">
      <c r="H244" s="15"/>
      <c r="I244" s="15"/>
      <c r="J244" s="15"/>
      <c r="K244" s="15"/>
      <c r="L244" s="15"/>
      <c r="M244" s="15"/>
      <c r="N244" s="15"/>
    </row>
    <row r="245" spans="8:14" x14ac:dyDescent="0.2">
      <c r="H245" s="15"/>
      <c r="I245" s="15"/>
      <c r="J245" s="15"/>
      <c r="K245" s="15"/>
      <c r="L245" s="15"/>
      <c r="M245" s="15"/>
      <c r="N245" s="15"/>
    </row>
    <row r="246" spans="8:14" x14ac:dyDescent="0.2">
      <c r="H246" s="15"/>
      <c r="I246" s="15"/>
      <c r="J246" s="15"/>
      <c r="K246" s="15"/>
      <c r="L246" s="15"/>
      <c r="M246" s="15"/>
      <c r="N246" s="15"/>
    </row>
    <row r="247" spans="8:14" x14ac:dyDescent="0.2">
      <c r="H247" s="15"/>
      <c r="I247" s="15"/>
      <c r="J247" s="15"/>
      <c r="K247" s="15"/>
      <c r="L247" s="15"/>
      <c r="M247" s="15"/>
      <c r="N247" s="15"/>
    </row>
    <row r="248" spans="8:14" x14ac:dyDescent="0.2">
      <c r="H248" s="15"/>
      <c r="I248" s="15"/>
      <c r="J248" s="15"/>
      <c r="K248" s="15"/>
      <c r="L248" s="15"/>
      <c r="M248" s="15"/>
      <c r="N248" s="15"/>
    </row>
    <row r="249" spans="8:14" x14ac:dyDescent="0.2">
      <c r="H249" s="15"/>
      <c r="I249" s="15"/>
      <c r="J249" s="15"/>
      <c r="K249" s="15"/>
      <c r="L249" s="15"/>
      <c r="M249" s="15"/>
      <c r="N249" s="15"/>
    </row>
    <row r="250" spans="8:14" x14ac:dyDescent="0.2">
      <c r="H250" s="15"/>
      <c r="I250" s="15"/>
      <c r="J250" s="15"/>
      <c r="K250" s="15"/>
      <c r="L250" s="15"/>
      <c r="M250" s="15"/>
      <c r="N250" s="15"/>
    </row>
    <row r="251" spans="8:14" x14ac:dyDescent="0.2">
      <c r="H251" s="15"/>
      <c r="I251" s="15"/>
      <c r="J251" s="15"/>
      <c r="K251" s="15"/>
      <c r="L251" s="15"/>
      <c r="M251" s="15"/>
      <c r="N251" s="15"/>
    </row>
    <row r="252" spans="8:14" x14ac:dyDescent="0.2">
      <c r="H252" s="15"/>
      <c r="I252" s="15"/>
      <c r="J252" s="15"/>
      <c r="K252" s="15"/>
      <c r="L252" s="15"/>
      <c r="M252" s="15"/>
      <c r="N252" s="15"/>
    </row>
    <row r="253" spans="8:14" x14ac:dyDescent="0.2">
      <c r="H253" s="15"/>
      <c r="I253" s="15"/>
      <c r="J253" s="15"/>
      <c r="K253" s="15"/>
      <c r="L253" s="15"/>
      <c r="M253" s="15"/>
      <c r="N253" s="15"/>
    </row>
    <row r="254" spans="8:14" x14ac:dyDescent="0.2">
      <c r="H254" s="15"/>
      <c r="I254" s="15"/>
      <c r="J254" s="15"/>
      <c r="K254" s="15"/>
      <c r="L254" s="15"/>
      <c r="M254" s="15"/>
      <c r="N254" s="15"/>
    </row>
    <row r="255" spans="8:14" x14ac:dyDescent="0.2">
      <c r="H255" s="15"/>
      <c r="I255" s="15"/>
      <c r="J255" s="15"/>
      <c r="K255" s="15"/>
      <c r="L255" s="15"/>
      <c r="M255" s="15"/>
      <c r="N255" s="15"/>
    </row>
    <row r="256" spans="8:14" x14ac:dyDescent="0.2">
      <c r="H256" s="15"/>
      <c r="I256" s="15"/>
      <c r="J256" s="15"/>
      <c r="K256" s="15"/>
      <c r="L256" s="15"/>
      <c r="M256" s="15"/>
      <c r="N256" s="15"/>
    </row>
    <row r="257" spans="8:14" x14ac:dyDescent="0.2">
      <c r="H257" s="15"/>
      <c r="I257" s="15"/>
      <c r="J257" s="15"/>
      <c r="K257" s="15"/>
      <c r="L257" s="15"/>
      <c r="M257" s="15"/>
      <c r="N257" s="15"/>
    </row>
    <row r="258" spans="8:14" x14ac:dyDescent="0.2">
      <c r="H258" s="15"/>
      <c r="I258" s="15"/>
      <c r="J258" s="15"/>
      <c r="K258" s="15"/>
      <c r="L258" s="15"/>
      <c r="M258" s="15"/>
      <c r="N258" s="15"/>
    </row>
    <row r="259" spans="8:14" x14ac:dyDescent="0.2">
      <c r="H259" s="15"/>
      <c r="I259" s="15"/>
      <c r="J259" s="15"/>
      <c r="K259" s="15"/>
      <c r="L259" s="15"/>
      <c r="M259" s="15"/>
      <c r="N259" s="15"/>
    </row>
    <row r="260" spans="8:14" x14ac:dyDescent="0.2">
      <c r="H260" s="15"/>
      <c r="I260" s="15"/>
      <c r="J260" s="15"/>
      <c r="K260" s="15"/>
      <c r="L260" s="15"/>
      <c r="M260" s="15"/>
      <c r="N260" s="15"/>
    </row>
    <row r="261" spans="8:14" x14ac:dyDescent="0.2">
      <c r="H261" s="15"/>
      <c r="I261" s="15"/>
      <c r="J261" s="15"/>
      <c r="K261" s="15"/>
      <c r="L261" s="15"/>
      <c r="M261" s="15"/>
      <c r="N261" s="15"/>
    </row>
    <row r="262" spans="8:14" x14ac:dyDescent="0.2">
      <c r="H262" s="15"/>
      <c r="I262" s="15"/>
      <c r="J262" s="15"/>
      <c r="K262" s="15"/>
      <c r="L262" s="15"/>
      <c r="M262" s="15"/>
      <c r="N262" s="15"/>
    </row>
    <row r="263" spans="8:14" x14ac:dyDescent="0.2">
      <c r="H263" s="15"/>
      <c r="I263" s="15"/>
      <c r="J263" s="15"/>
      <c r="K263" s="15"/>
      <c r="L263" s="15"/>
      <c r="M263" s="15"/>
      <c r="N263" s="15"/>
    </row>
    <row r="264" spans="8:14" x14ac:dyDescent="0.2">
      <c r="H264" s="15"/>
      <c r="I264" s="15"/>
      <c r="J264" s="15"/>
      <c r="K264" s="15"/>
      <c r="L264" s="15"/>
      <c r="M264" s="15"/>
      <c r="N264" s="15"/>
    </row>
    <row r="265" spans="8:14" x14ac:dyDescent="0.2">
      <c r="H265" s="15"/>
      <c r="I265" s="15"/>
      <c r="J265" s="15"/>
      <c r="K265" s="15"/>
      <c r="L265" s="15"/>
      <c r="M265" s="15"/>
      <c r="N265" s="15"/>
    </row>
    <row r="266" spans="8:14" x14ac:dyDescent="0.2">
      <c r="H266" s="15"/>
      <c r="I266" s="15"/>
      <c r="J266" s="15"/>
      <c r="K266" s="15"/>
      <c r="L266" s="15"/>
      <c r="M266" s="15"/>
      <c r="N266" s="15"/>
    </row>
    <row r="267" spans="8:14" x14ac:dyDescent="0.2">
      <c r="H267" s="15"/>
      <c r="I267" s="15"/>
      <c r="J267" s="15"/>
      <c r="K267" s="15"/>
      <c r="L267" s="15"/>
      <c r="M267" s="15"/>
      <c r="N267" s="15"/>
    </row>
    <row r="268" spans="8:14" x14ac:dyDescent="0.2">
      <c r="H268" s="15"/>
      <c r="I268" s="15"/>
      <c r="J268" s="15"/>
      <c r="K268" s="15"/>
      <c r="L268" s="15"/>
      <c r="M268" s="15"/>
      <c r="N268" s="15"/>
    </row>
    <row r="269" spans="8:14" x14ac:dyDescent="0.2">
      <c r="H269" s="15"/>
      <c r="I269" s="15"/>
      <c r="J269" s="15"/>
      <c r="K269" s="15"/>
      <c r="L269" s="15"/>
      <c r="M269" s="15"/>
      <c r="N269" s="15"/>
    </row>
    <row r="270" spans="8:14" x14ac:dyDescent="0.2">
      <c r="H270" s="15"/>
      <c r="I270" s="15"/>
      <c r="J270" s="15"/>
      <c r="K270" s="15"/>
      <c r="L270" s="15"/>
      <c r="M270" s="15"/>
      <c r="N270" s="15"/>
    </row>
    <row r="271" spans="8:14" x14ac:dyDescent="0.2">
      <c r="H271" s="15"/>
      <c r="I271" s="15"/>
      <c r="J271" s="15"/>
      <c r="K271" s="15"/>
      <c r="L271" s="15"/>
      <c r="M271" s="15"/>
      <c r="N271" s="15"/>
    </row>
    <row r="272" spans="8:14" x14ac:dyDescent="0.2">
      <c r="H272" s="15"/>
      <c r="I272" s="15"/>
      <c r="J272" s="15"/>
      <c r="K272" s="15"/>
      <c r="L272" s="15"/>
      <c r="M272" s="15"/>
      <c r="N272" s="15"/>
    </row>
    <row r="273" spans="8:14" x14ac:dyDescent="0.2">
      <c r="H273" s="15"/>
      <c r="I273" s="15"/>
      <c r="J273" s="15"/>
      <c r="K273" s="15"/>
      <c r="L273" s="15"/>
      <c r="M273" s="15"/>
      <c r="N273" s="15"/>
    </row>
    <row r="274" spans="8:14" x14ac:dyDescent="0.2">
      <c r="H274" s="15"/>
      <c r="I274" s="15"/>
      <c r="J274" s="15"/>
      <c r="K274" s="15"/>
      <c r="L274" s="15"/>
      <c r="M274" s="15"/>
      <c r="N274" s="15"/>
    </row>
    <row r="275" spans="8:14" x14ac:dyDescent="0.2">
      <c r="H275" s="15"/>
      <c r="I275" s="15"/>
      <c r="J275" s="15"/>
      <c r="K275" s="15"/>
      <c r="L275" s="15"/>
      <c r="M275" s="15"/>
      <c r="N275" s="15"/>
    </row>
    <row r="276" spans="8:14" x14ac:dyDescent="0.2">
      <c r="H276" s="15"/>
      <c r="I276" s="15"/>
      <c r="J276" s="15"/>
      <c r="K276" s="15"/>
      <c r="L276" s="15"/>
      <c r="M276" s="15"/>
      <c r="N276" s="15"/>
    </row>
    <row r="277" spans="8:14" x14ac:dyDescent="0.2">
      <c r="H277" s="15"/>
      <c r="I277" s="15"/>
      <c r="J277" s="15"/>
      <c r="K277" s="15"/>
      <c r="L277" s="15"/>
      <c r="M277" s="15"/>
      <c r="N277" s="15"/>
    </row>
    <row r="278" spans="8:14" x14ac:dyDescent="0.2">
      <c r="H278" s="15"/>
      <c r="I278" s="15"/>
      <c r="J278" s="15"/>
      <c r="K278" s="15"/>
      <c r="L278" s="15"/>
      <c r="M278" s="15"/>
      <c r="N278" s="15"/>
    </row>
    <row r="279" spans="8:14" x14ac:dyDescent="0.2">
      <c r="H279" s="15"/>
      <c r="I279" s="15"/>
      <c r="J279" s="15"/>
      <c r="K279" s="15"/>
      <c r="L279" s="15"/>
      <c r="M279" s="15"/>
      <c r="N279" s="15"/>
    </row>
    <row r="280" spans="8:14" x14ac:dyDescent="0.2">
      <c r="H280" s="15"/>
      <c r="I280" s="15"/>
      <c r="J280" s="15"/>
      <c r="K280" s="15"/>
      <c r="L280" s="15"/>
      <c r="M280" s="15"/>
      <c r="N280" s="15"/>
    </row>
    <row r="281" spans="8:14" x14ac:dyDescent="0.2">
      <c r="H281" s="15"/>
      <c r="I281" s="15"/>
      <c r="J281" s="15"/>
      <c r="K281" s="15"/>
      <c r="L281" s="15"/>
      <c r="M281" s="15"/>
      <c r="N281" s="15"/>
    </row>
    <row r="282" spans="8:14" x14ac:dyDescent="0.2">
      <c r="H282" s="15"/>
      <c r="I282" s="15"/>
      <c r="J282" s="15"/>
      <c r="K282" s="15"/>
      <c r="L282" s="15"/>
      <c r="M282" s="15"/>
      <c r="N282" s="15"/>
    </row>
    <row r="283" spans="8:14" x14ac:dyDescent="0.2">
      <c r="H283" s="15"/>
      <c r="I283" s="15"/>
      <c r="J283" s="15"/>
      <c r="K283" s="15"/>
      <c r="L283" s="15"/>
      <c r="M283" s="15"/>
      <c r="N283" s="15"/>
    </row>
    <row r="284" spans="8:14" x14ac:dyDescent="0.2">
      <c r="H284" s="15"/>
      <c r="I284" s="15"/>
      <c r="J284" s="15"/>
      <c r="K284" s="15"/>
      <c r="L284" s="15"/>
      <c r="M284" s="15"/>
      <c r="N284" s="15"/>
    </row>
    <row r="285" spans="8:14" x14ac:dyDescent="0.2">
      <c r="H285" s="15"/>
      <c r="I285" s="15"/>
      <c r="J285" s="15"/>
      <c r="K285" s="15"/>
      <c r="L285" s="15"/>
      <c r="M285" s="15"/>
      <c r="N285" s="15"/>
    </row>
    <row r="286" spans="8:14" x14ac:dyDescent="0.2">
      <c r="H286" s="15"/>
      <c r="I286" s="15"/>
      <c r="J286" s="15"/>
      <c r="K286" s="15"/>
      <c r="L286" s="15"/>
      <c r="M286" s="15"/>
      <c r="N286" s="15"/>
    </row>
    <row r="287" spans="8:14" x14ac:dyDescent="0.2">
      <c r="H287" s="15"/>
      <c r="I287" s="15"/>
      <c r="J287" s="15"/>
      <c r="K287" s="15"/>
      <c r="L287" s="15"/>
      <c r="M287" s="15"/>
      <c r="N287" s="15"/>
    </row>
    <row r="288" spans="8:14" x14ac:dyDescent="0.2">
      <c r="H288" s="15"/>
      <c r="I288" s="15"/>
      <c r="J288" s="15"/>
      <c r="K288" s="15"/>
      <c r="L288" s="15"/>
      <c r="M288" s="15"/>
      <c r="N288" s="15"/>
    </row>
    <row r="289" spans="8:14" x14ac:dyDescent="0.2">
      <c r="H289" s="15"/>
      <c r="I289" s="15"/>
      <c r="J289" s="15"/>
      <c r="K289" s="15"/>
      <c r="L289" s="15"/>
      <c r="M289" s="15"/>
      <c r="N289" s="15"/>
    </row>
    <row r="290" spans="8:14" x14ac:dyDescent="0.2">
      <c r="H290" s="15"/>
      <c r="I290" s="15"/>
      <c r="J290" s="15"/>
      <c r="K290" s="15"/>
      <c r="L290" s="15"/>
      <c r="M290" s="15"/>
      <c r="N290" s="15"/>
    </row>
    <row r="291" spans="8:14" x14ac:dyDescent="0.2">
      <c r="H291" s="15"/>
      <c r="I291" s="15"/>
      <c r="J291" s="15"/>
      <c r="K291" s="15"/>
      <c r="L291" s="15"/>
      <c r="M291" s="15"/>
      <c r="N291" s="15"/>
    </row>
    <row r="292" spans="8:14" x14ac:dyDescent="0.2">
      <c r="H292" s="15"/>
      <c r="I292" s="15"/>
      <c r="J292" s="15"/>
      <c r="K292" s="15"/>
      <c r="L292" s="15"/>
      <c r="M292" s="15"/>
      <c r="N292" s="15"/>
    </row>
    <row r="293" spans="8:14" x14ac:dyDescent="0.2">
      <c r="H293" s="15"/>
      <c r="I293" s="15"/>
      <c r="J293" s="15"/>
      <c r="K293" s="15"/>
      <c r="L293" s="15"/>
      <c r="M293" s="15"/>
      <c r="N293" s="15"/>
    </row>
    <row r="294" spans="8:14" x14ac:dyDescent="0.2">
      <c r="H294" s="15"/>
      <c r="I294" s="15"/>
      <c r="J294" s="15"/>
      <c r="K294" s="15"/>
      <c r="L294" s="15"/>
      <c r="M294" s="15"/>
      <c r="N294" s="15"/>
    </row>
    <row r="295" spans="8:14" x14ac:dyDescent="0.2">
      <c r="H295" s="15"/>
      <c r="I295" s="15"/>
      <c r="J295" s="15"/>
      <c r="K295" s="15"/>
      <c r="L295" s="15"/>
      <c r="M295" s="15"/>
      <c r="N295" s="15"/>
    </row>
    <row r="296" spans="8:14" x14ac:dyDescent="0.2">
      <c r="H296" s="15"/>
      <c r="I296" s="15"/>
      <c r="J296" s="15"/>
      <c r="K296" s="15"/>
      <c r="L296" s="15"/>
      <c r="M296" s="15"/>
      <c r="N296" s="15"/>
    </row>
    <row r="297" spans="8:14" x14ac:dyDescent="0.2">
      <c r="H297" s="15"/>
      <c r="I297" s="15"/>
      <c r="J297" s="15"/>
      <c r="K297" s="15"/>
      <c r="L297" s="15"/>
      <c r="M297" s="15"/>
      <c r="N297" s="15"/>
    </row>
    <row r="298" spans="8:14" x14ac:dyDescent="0.2">
      <c r="H298" s="15"/>
      <c r="I298" s="15"/>
      <c r="J298" s="15"/>
      <c r="K298" s="15"/>
      <c r="L298" s="15"/>
      <c r="M298" s="15"/>
      <c r="N298" s="15"/>
    </row>
    <row r="299" spans="8:14" x14ac:dyDescent="0.2">
      <c r="H299" s="15"/>
      <c r="I299" s="15"/>
      <c r="J299" s="15"/>
      <c r="K299" s="15"/>
      <c r="L299" s="15"/>
      <c r="M299" s="15"/>
      <c r="N299" s="15"/>
    </row>
    <row r="300" spans="8:14" x14ac:dyDescent="0.2">
      <c r="H300" s="15"/>
      <c r="I300" s="15"/>
      <c r="J300" s="15"/>
      <c r="K300" s="15"/>
      <c r="L300" s="15"/>
      <c r="M300" s="15"/>
      <c r="N300" s="15"/>
    </row>
    <row r="301" spans="8:14" x14ac:dyDescent="0.2">
      <c r="H301" s="15"/>
      <c r="I301" s="15"/>
      <c r="J301" s="15"/>
      <c r="K301" s="15"/>
      <c r="L301" s="15"/>
      <c r="M301" s="15"/>
      <c r="N301" s="15"/>
    </row>
    <row r="302" spans="8:14" x14ac:dyDescent="0.2">
      <c r="H302" s="15"/>
      <c r="I302" s="15"/>
      <c r="J302" s="15"/>
      <c r="K302" s="15"/>
      <c r="L302" s="15"/>
      <c r="M302" s="15"/>
      <c r="N302" s="15"/>
    </row>
    <row r="303" spans="8:14" x14ac:dyDescent="0.2">
      <c r="H303" s="15"/>
      <c r="I303" s="15"/>
      <c r="J303" s="15"/>
      <c r="K303" s="15"/>
      <c r="L303" s="15"/>
      <c r="M303" s="15"/>
      <c r="N303" s="15"/>
    </row>
    <row r="304" spans="8:14" x14ac:dyDescent="0.2">
      <c r="H304" s="15"/>
      <c r="I304" s="15"/>
      <c r="J304" s="15"/>
      <c r="K304" s="15"/>
      <c r="L304" s="15"/>
      <c r="M304" s="15"/>
      <c r="N304" s="15"/>
    </row>
    <row r="305" spans="8:14" x14ac:dyDescent="0.2">
      <c r="H305" s="15"/>
      <c r="I305" s="15"/>
      <c r="J305" s="15"/>
      <c r="K305" s="15"/>
      <c r="L305" s="15"/>
      <c r="M305" s="15"/>
      <c r="N305" s="15"/>
    </row>
    <row r="306" spans="8:14" x14ac:dyDescent="0.2">
      <c r="H306" s="15"/>
      <c r="I306" s="15"/>
      <c r="J306" s="15"/>
      <c r="K306" s="15"/>
      <c r="L306" s="15"/>
      <c r="M306" s="15"/>
      <c r="N306" s="15"/>
    </row>
    <row r="307" spans="8:14" x14ac:dyDescent="0.2">
      <c r="H307" s="15"/>
      <c r="I307" s="15"/>
      <c r="J307" s="15"/>
      <c r="K307" s="15"/>
      <c r="L307" s="15"/>
      <c r="M307" s="15"/>
      <c r="N307" s="15"/>
    </row>
    <row r="308" spans="8:14" x14ac:dyDescent="0.2">
      <c r="H308" s="15"/>
      <c r="I308" s="15"/>
      <c r="J308" s="15"/>
      <c r="K308" s="15"/>
      <c r="L308" s="15"/>
      <c r="M308" s="15"/>
      <c r="N308" s="15"/>
    </row>
    <row r="309" spans="8:14" x14ac:dyDescent="0.2">
      <c r="H309" s="15"/>
      <c r="I309" s="15"/>
      <c r="J309" s="15"/>
      <c r="K309" s="15"/>
      <c r="L309" s="15"/>
      <c r="M309" s="15"/>
      <c r="N309" s="15"/>
    </row>
    <row r="310" spans="8:14" x14ac:dyDescent="0.2">
      <c r="H310" s="15"/>
      <c r="I310" s="15"/>
      <c r="J310" s="15"/>
      <c r="K310" s="15"/>
      <c r="L310" s="15"/>
      <c r="M310" s="15"/>
      <c r="N310" s="15"/>
    </row>
    <row r="311" spans="8:14" x14ac:dyDescent="0.2">
      <c r="H311" s="15"/>
      <c r="I311" s="15"/>
      <c r="J311" s="15"/>
      <c r="K311" s="15"/>
      <c r="L311" s="15"/>
      <c r="M311" s="15"/>
      <c r="N311" s="15"/>
    </row>
    <row r="312" spans="8:14" x14ac:dyDescent="0.2">
      <c r="H312" s="15"/>
      <c r="I312" s="15"/>
      <c r="J312" s="15"/>
      <c r="K312" s="15"/>
      <c r="L312" s="15"/>
      <c r="M312" s="15"/>
      <c r="N312" s="15"/>
    </row>
    <row r="313" spans="8:14" x14ac:dyDescent="0.2">
      <c r="H313" s="15"/>
      <c r="I313" s="15"/>
      <c r="J313" s="15"/>
      <c r="K313" s="15"/>
      <c r="L313" s="15"/>
      <c r="M313" s="15"/>
      <c r="N313" s="15"/>
    </row>
    <row r="314" spans="8:14" x14ac:dyDescent="0.2">
      <c r="H314" s="15"/>
      <c r="I314" s="15"/>
      <c r="J314" s="15"/>
      <c r="K314" s="15"/>
      <c r="L314" s="15"/>
      <c r="M314" s="15"/>
      <c r="N314" s="15"/>
    </row>
    <row r="315" spans="8:14" x14ac:dyDescent="0.2">
      <c r="H315" s="15"/>
      <c r="I315" s="15"/>
      <c r="J315" s="15"/>
      <c r="K315" s="15"/>
      <c r="L315" s="15"/>
      <c r="M315" s="15"/>
      <c r="N315" s="15"/>
    </row>
    <row r="316" spans="8:14" x14ac:dyDescent="0.2">
      <c r="H316" s="15"/>
      <c r="I316" s="15"/>
      <c r="J316" s="15"/>
      <c r="K316" s="15"/>
      <c r="L316" s="15"/>
      <c r="M316" s="15"/>
      <c r="N316" s="15"/>
    </row>
    <row r="317" spans="8:14" x14ac:dyDescent="0.2">
      <c r="H317" s="15"/>
      <c r="I317" s="15"/>
      <c r="J317" s="15"/>
      <c r="K317" s="15"/>
      <c r="L317" s="15"/>
      <c r="M317" s="15"/>
      <c r="N317" s="15"/>
    </row>
    <row r="318" spans="8:14" x14ac:dyDescent="0.2">
      <c r="H318" s="15"/>
      <c r="I318" s="15"/>
      <c r="J318" s="15"/>
      <c r="K318" s="15"/>
      <c r="L318" s="15"/>
      <c r="M318" s="15"/>
      <c r="N318" s="15"/>
    </row>
    <row r="319" spans="8:14" x14ac:dyDescent="0.2">
      <c r="H319" s="15"/>
      <c r="I319" s="15"/>
      <c r="J319" s="15"/>
      <c r="K319" s="15"/>
      <c r="L319" s="15"/>
      <c r="M319" s="15"/>
      <c r="N319" s="15"/>
    </row>
    <row r="320" spans="8:14" x14ac:dyDescent="0.2">
      <c r="H320" s="15"/>
      <c r="I320" s="15"/>
      <c r="J320" s="15"/>
      <c r="K320" s="15"/>
      <c r="L320" s="15"/>
      <c r="M320" s="15"/>
      <c r="N320" s="15"/>
    </row>
    <row r="321" spans="8:14" x14ac:dyDescent="0.2">
      <c r="H321" s="15"/>
      <c r="I321" s="15"/>
      <c r="J321" s="15"/>
      <c r="K321" s="15"/>
      <c r="L321" s="15"/>
      <c r="M321" s="15"/>
      <c r="N321" s="15"/>
    </row>
    <row r="322" spans="8:14" x14ac:dyDescent="0.2">
      <c r="H322" s="15"/>
      <c r="I322" s="15"/>
      <c r="J322" s="15"/>
      <c r="K322" s="15"/>
      <c r="L322" s="15"/>
      <c r="M322" s="15"/>
      <c r="N322" s="15"/>
    </row>
    <row r="323" spans="8:14" x14ac:dyDescent="0.2">
      <c r="H323" s="15"/>
      <c r="I323" s="15"/>
      <c r="J323" s="15"/>
      <c r="K323" s="15"/>
      <c r="L323" s="15"/>
      <c r="M323" s="15"/>
      <c r="N323" s="15"/>
    </row>
    <row r="324" spans="8:14" x14ac:dyDescent="0.2">
      <c r="H324" s="15"/>
      <c r="I324" s="15"/>
      <c r="J324" s="15"/>
      <c r="K324" s="15"/>
      <c r="L324" s="15"/>
      <c r="M324" s="15"/>
      <c r="N324" s="15"/>
    </row>
    <row r="325" spans="8:14" x14ac:dyDescent="0.2">
      <c r="H325" s="15"/>
      <c r="I325" s="15"/>
      <c r="J325" s="15"/>
      <c r="K325" s="15"/>
      <c r="L325" s="15"/>
      <c r="M325" s="15"/>
      <c r="N325" s="15"/>
    </row>
    <row r="326" spans="8:14" x14ac:dyDescent="0.2">
      <c r="H326" s="15"/>
      <c r="I326" s="15"/>
      <c r="J326" s="15"/>
      <c r="K326" s="15"/>
      <c r="L326" s="15"/>
      <c r="M326" s="15"/>
      <c r="N326" s="15"/>
    </row>
    <row r="327" spans="8:14" x14ac:dyDescent="0.2">
      <c r="H327" s="15"/>
      <c r="I327" s="15"/>
      <c r="J327" s="15"/>
      <c r="K327" s="15"/>
      <c r="L327" s="15"/>
      <c r="M327" s="15"/>
      <c r="N327" s="15"/>
    </row>
    <row r="328" spans="8:14" x14ac:dyDescent="0.2">
      <c r="H328" s="15"/>
      <c r="I328" s="15"/>
      <c r="J328" s="15"/>
      <c r="K328" s="15"/>
      <c r="L328" s="15"/>
      <c r="M328" s="15"/>
      <c r="N328" s="15"/>
    </row>
    <row r="329" spans="8:14" x14ac:dyDescent="0.2">
      <c r="H329" s="15"/>
      <c r="I329" s="15"/>
      <c r="J329" s="15"/>
      <c r="K329" s="15"/>
      <c r="L329" s="15"/>
      <c r="M329" s="15"/>
      <c r="N329" s="15"/>
    </row>
    <row r="330" spans="8:14" x14ac:dyDescent="0.2">
      <c r="H330" s="15"/>
      <c r="I330" s="15"/>
      <c r="J330" s="15"/>
      <c r="K330" s="15"/>
      <c r="L330" s="15"/>
      <c r="M330" s="15"/>
      <c r="N330" s="15"/>
    </row>
    <row r="331" spans="8:14" x14ac:dyDescent="0.2">
      <c r="H331" s="15"/>
      <c r="I331" s="15"/>
      <c r="J331" s="15"/>
      <c r="K331" s="15"/>
      <c r="L331" s="15"/>
      <c r="M331" s="15"/>
      <c r="N331" s="15"/>
    </row>
    <row r="332" spans="8:14" x14ac:dyDescent="0.2">
      <c r="H332" s="15"/>
      <c r="I332" s="15"/>
      <c r="J332" s="15"/>
      <c r="K332" s="15"/>
      <c r="L332" s="15"/>
      <c r="M332" s="15"/>
      <c r="N332" s="15"/>
    </row>
    <row r="333" spans="8:14" x14ac:dyDescent="0.2">
      <c r="H333" s="15"/>
      <c r="I333" s="15"/>
      <c r="J333" s="15"/>
      <c r="K333" s="15"/>
      <c r="L333" s="15"/>
      <c r="M333" s="15"/>
      <c r="N333" s="15"/>
    </row>
    <row r="334" spans="8:14" x14ac:dyDescent="0.2">
      <c r="H334" s="15"/>
      <c r="I334" s="15"/>
      <c r="J334" s="15"/>
      <c r="K334" s="15"/>
      <c r="L334" s="15"/>
      <c r="M334" s="15"/>
      <c r="N334" s="15"/>
    </row>
    <row r="335" spans="8:14" x14ac:dyDescent="0.2">
      <c r="H335" s="15"/>
      <c r="I335" s="15"/>
      <c r="J335" s="15"/>
      <c r="K335" s="15"/>
      <c r="L335" s="15"/>
      <c r="M335" s="15"/>
      <c r="N335" s="15"/>
    </row>
    <row r="336" spans="8:14" x14ac:dyDescent="0.2">
      <c r="H336" s="15"/>
      <c r="I336" s="15"/>
      <c r="J336" s="15"/>
      <c r="K336" s="15"/>
      <c r="L336" s="15"/>
      <c r="M336" s="15"/>
      <c r="N336" s="15"/>
    </row>
    <row r="337" spans="8:14" x14ac:dyDescent="0.2">
      <c r="H337" s="15"/>
      <c r="I337" s="15"/>
      <c r="J337" s="15"/>
      <c r="K337" s="15"/>
      <c r="L337" s="15"/>
      <c r="M337" s="15"/>
      <c r="N337" s="15"/>
    </row>
    <row r="338" spans="8:14" x14ac:dyDescent="0.2">
      <c r="H338" s="15"/>
      <c r="I338" s="15"/>
      <c r="J338" s="15"/>
      <c r="K338" s="15"/>
      <c r="L338" s="15"/>
      <c r="M338" s="15"/>
      <c r="N338" s="15"/>
    </row>
    <row r="339" spans="8:14" x14ac:dyDescent="0.2">
      <c r="H339" s="15"/>
      <c r="I339" s="15"/>
      <c r="J339" s="15"/>
      <c r="K339" s="15"/>
      <c r="L339" s="15"/>
      <c r="M339" s="15"/>
      <c r="N339" s="15"/>
    </row>
    <row r="340" spans="8:14" x14ac:dyDescent="0.2">
      <c r="H340" s="15"/>
      <c r="I340" s="15"/>
      <c r="J340" s="15"/>
      <c r="K340" s="15"/>
      <c r="L340" s="15"/>
      <c r="M340" s="15"/>
      <c r="N340" s="15"/>
    </row>
    <row r="341" spans="8:14" x14ac:dyDescent="0.2">
      <c r="H341" s="15"/>
      <c r="I341" s="15"/>
      <c r="J341" s="15"/>
      <c r="K341" s="15"/>
      <c r="L341" s="15"/>
      <c r="M341" s="15"/>
      <c r="N341" s="15"/>
    </row>
    <row r="342" spans="8:14" x14ac:dyDescent="0.2">
      <c r="H342" s="15"/>
      <c r="I342" s="15"/>
      <c r="J342" s="15"/>
      <c r="K342" s="15"/>
      <c r="L342" s="15"/>
      <c r="M342" s="15"/>
      <c r="N342" s="15"/>
    </row>
    <row r="343" spans="8:14" x14ac:dyDescent="0.2">
      <c r="H343" s="15"/>
      <c r="I343" s="15"/>
      <c r="J343" s="15"/>
      <c r="K343" s="15"/>
      <c r="L343" s="15"/>
      <c r="M343" s="15"/>
      <c r="N343" s="15"/>
    </row>
    <row r="344" spans="8:14" x14ac:dyDescent="0.2">
      <c r="H344" s="15"/>
      <c r="I344" s="15"/>
      <c r="J344" s="15"/>
      <c r="K344" s="15"/>
      <c r="L344" s="15"/>
      <c r="M344" s="15"/>
      <c r="N344" s="15"/>
    </row>
    <row r="345" spans="8:14" x14ac:dyDescent="0.2">
      <c r="H345" s="15"/>
      <c r="I345" s="15"/>
      <c r="J345" s="15"/>
      <c r="K345" s="15"/>
      <c r="L345" s="15"/>
      <c r="M345" s="15"/>
      <c r="N345" s="15"/>
    </row>
    <row r="346" spans="8:14" x14ac:dyDescent="0.2">
      <c r="H346" s="15"/>
      <c r="I346" s="15"/>
      <c r="J346" s="15"/>
      <c r="K346" s="15"/>
      <c r="L346" s="15"/>
      <c r="M346" s="15"/>
      <c r="N346" s="15"/>
    </row>
    <row r="347" spans="8:14" x14ac:dyDescent="0.2">
      <c r="H347" s="15"/>
      <c r="I347" s="15"/>
      <c r="J347" s="15"/>
      <c r="K347" s="15"/>
      <c r="L347" s="15"/>
      <c r="M347" s="15"/>
      <c r="N347" s="15"/>
    </row>
    <row r="348" spans="8:14" x14ac:dyDescent="0.2">
      <c r="H348" s="15"/>
      <c r="I348" s="15"/>
      <c r="J348" s="15"/>
      <c r="K348" s="15"/>
      <c r="L348" s="15"/>
      <c r="M348" s="15"/>
      <c r="N348" s="15"/>
    </row>
    <row r="349" spans="8:14" x14ac:dyDescent="0.2">
      <c r="H349" s="15"/>
      <c r="I349" s="15"/>
      <c r="J349" s="15"/>
      <c r="K349" s="15"/>
      <c r="L349" s="15"/>
      <c r="M349" s="15"/>
      <c r="N349" s="15"/>
    </row>
    <row r="350" spans="8:14" x14ac:dyDescent="0.2">
      <c r="H350" s="15"/>
      <c r="I350" s="15"/>
      <c r="J350" s="15"/>
      <c r="K350" s="15"/>
      <c r="L350" s="15"/>
      <c r="M350" s="15"/>
      <c r="N350" s="15"/>
    </row>
    <row r="351" spans="8:14" x14ac:dyDescent="0.2">
      <c r="H351" s="15"/>
      <c r="I351" s="15"/>
      <c r="J351" s="15"/>
      <c r="K351" s="15"/>
      <c r="L351" s="15"/>
      <c r="M351" s="15"/>
      <c r="N351" s="15"/>
    </row>
    <row r="352" spans="8:14" x14ac:dyDescent="0.2">
      <c r="H352" s="15"/>
      <c r="I352" s="15"/>
      <c r="J352" s="15"/>
      <c r="K352" s="15"/>
      <c r="L352" s="15"/>
      <c r="M352" s="15"/>
      <c r="N352" s="15"/>
    </row>
    <row r="353" spans="8:14" x14ac:dyDescent="0.2">
      <c r="H353" s="15"/>
      <c r="I353" s="15"/>
      <c r="J353" s="15"/>
      <c r="K353" s="15"/>
      <c r="L353" s="15"/>
      <c r="M353" s="15"/>
      <c r="N353" s="15"/>
    </row>
    <row r="354" spans="8:14" x14ac:dyDescent="0.2">
      <c r="H354" s="15"/>
      <c r="I354" s="15"/>
      <c r="J354" s="15"/>
      <c r="K354" s="15"/>
      <c r="L354" s="15"/>
      <c r="M354" s="15"/>
      <c r="N354" s="15"/>
    </row>
    <row r="355" spans="8:14" x14ac:dyDescent="0.2">
      <c r="H355" s="15"/>
      <c r="I355" s="15"/>
      <c r="J355" s="15"/>
      <c r="K355" s="15"/>
      <c r="L355" s="15"/>
      <c r="M355" s="15"/>
      <c r="N355" s="15"/>
    </row>
    <row r="356" spans="8:14" x14ac:dyDescent="0.2">
      <c r="H356" s="15"/>
      <c r="I356" s="15"/>
      <c r="J356" s="15"/>
      <c r="K356" s="15"/>
      <c r="L356" s="15"/>
      <c r="M356" s="15"/>
      <c r="N356" s="15"/>
    </row>
    <row r="357" spans="8:14" x14ac:dyDescent="0.2">
      <c r="H357" s="15"/>
      <c r="I357" s="15"/>
      <c r="J357" s="15"/>
      <c r="K357" s="15"/>
      <c r="L357" s="15"/>
      <c r="M357" s="15"/>
      <c r="N357" s="15"/>
    </row>
    <row r="358" spans="8:14" x14ac:dyDescent="0.2">
      <c r="H358" s="15"/>
      <c r="I358" s="15"/>
      <c r="J358" s="15"/>
      <c r="K358" s="15"/>
      <c r="L358" s="15"/>
      <c r="M358" s="15"/>
      <c r="N358" s="15"/>
    </row>
    <row r="359" spans="8:14" x14ac:dyDescent="0.2">
      <c r="H359" s="15"/>
      <c r="I359" s="15"/>
      <c r="J359" s="15"/>
      <c r="K359" s="15"/>
      <c r="L359" s="15"/>
      <c r="M359" s="15"/>
      <c r="N359" s="15"/>
    </row>
    <row r="360" spans="8:14" x14ac:dyDescent="0.2">
      <c r="H360" s="15"/>
      <c r="I360" s="15"/>
      <c r="J360" s="15"/>
      <c r="K360" s="15"/>
      <c r="L360" s="15"/>
      <c r="M360" s="15"/>
      <c r="N360" s="15"/>
    </row>
    <row r="361" spans="8:14" x14ac:dyDescent="0.2">
      <c r="H361" s="15"/>
      <c r="I361" s="15"/>
      <c r="J361" s="15"/>
      <c r="K361" s="15"/>
      <c r="L361" s="15"/>
      <c r="M361" s="15"/>
      <c r="N361" s="15"/>
    </row>
    <row r="362" spans="8:14" x14ac:dyDescent="0.2">
      <c r="H362" s="15"/>
      <c r="I362" s="15"/>
      <c r="J362" s="15"/>
      <c r="K362" s="15"/>
      <c r="L362" s="15"/>
      <c r="M362" s="15"/>
      <c r="N362" s="15"/>
    </row>
    <row r="363" spans="8:14" x14ac:dyDescent="0.2">
      <c r="H363" s="15"/>
      <c r="I363" s="15"/>
      <c r="J363" s="15"/>
      <c r="K363" s="15"/>
      <c r="L363" s="15"/>
      <c r="M363" s="15"/>
      <c r="N363" s="15"/>
    </row>
    <row r="364" spans="8:14" x14ac:dyDescent="0.2">
      <c r="H364" s="15"/>
      <c r="I364" s="15"/>
      <c r="J364" s="15"/>
      <c r="K364" s="15"/>
      <c r="L364" s="15"/>
      <c r="M364" s="15"/>
      <c r="N364" s="15"/>
    </row>
    <row r="365" spans="8:14" x14ac:dyDescent="0.2">
      <c r="H365" s="15"/>
      <c r="I365" s="15"/>
      <c r="J365" s="15"/>
      <c r="K365" s="15"/>
      <c r="L365" s="15"/>
      <c r="M365" s="15"/>
      <c r="N365" s="15"/>
    </row>
    <row r="366" spans="8:14" x14ac:dyDescent="0.2">
      <c r="H366" s="15"/>
      <c r="I366" s="15"/>
      <c r="J366" s="15"/>
      <c r="K366" s="15"/>
      <c r="L366" s="15"/>
      <c r="M366" s="15"/>
      <c r="N366" s="15"/>
    </row>
    <row r="367" spans="8:14" x14ac:dyDescent="0.2">
      <c r="H367" s="15"/>
      <c r="I367" s="15"/>
      <c r="J367" s="15"/>
      <c r="K367" s="15"/>
      <c r="L367" s="15"/>
      <c r="M367" s="15"/>
      <c r="N367" s="15"/>
    </row>
    <row r="368" spans="8:14" x14ac:dyDescent="0.2">
      <c r="H368" s="15"/>
      <c r="I368" s="15"/>
      <c r="J368" s="15"/>
      <c r="K368" s="15"/>
      <c r="L368" s="15"/>
      <c r="M368" s="15"/>
      <c r="N368" s="15"/>
    </row>
    <row r="369" spans="8:14" x14ac:dyDescent="0.2">
      <c r="H369" s="15"/>
      <c r="I369" s="15"/>
      <c r="J369" s="15"/>
      <c r="K369" s="15"/>
      <c r="L369" s="15"/>
      <c r="M369" s="15"/>
      <c r="N369" s="15"/>
    </row>
    <row r="370" spans="8:14" x14ac:dyDescent="0.2">
      <c r="H370" s="15"/>
      <c r="I370" s="15"/>
      <c r="J370" s="15"/>
      <c r="K370" s="15"/>
      <c r="L370" s="15"/>
      <c r="M370" s="15"/>
      <c r="N370" s="15"/>
    </row>
    <row r="371" spans="8:14" x14ac:dyDescent="0.2">
      <c r="H371" s="15"/>
      <c r="I371" s="15"/>
      <c r="J371" s="15"/>
      <c r="K371" s="15"/>
      <c r="L371" s="15"/>
      <c r="M371" s="15"/>
      <c r="N371" s="15"/>
    </row>
    <row r="372" spans="8:14" x14ac:dyDescent="0.2">
      <c r="H372" s="15"/>
      <c r="I372" s="15"/>
      <c r="J372" s="15"/>
      <c r="K372" s="15"/>
      <c r="L372" s="15"/>
      <c r="M372" s="15"/>
      <c r="N372" s="15"/>
    </row>
    <row r="373" spans="8:14" x14ac:dyDescent="0.2">
      <c r="H373" s="15"/>
      <c r="I373" s="15"/>
      <c r="J373" s="15"/>
      <c r="K373" s="15"/>
      <c r="L373" s="15"/>
      <c r="M373" s="15"/>
      <c r="N373" s="15"/>
    </row>
    <row r="374" spans="8:14" x14ac:dyDescent="0.2">
      <c r="H374" s="15"/>
      <c r="I374" s="15"/>
      <c r="J374" s="15"/>
      <c r="K374" s="15"/>
      <c r="L374" s="15"/>
      <c r="M374" s="15"/>
      <c r="N374" s="15"/>
    </row>
    <row r="375" spans="8:14" x14ac:dyDescent="0.2">
      <c r="H375" s="15"/>
      <c r="I375" s="15"/>
      <c r="J375" s="15"/>
      <c r="K375" s="15"/>
      <c r="L375" s="15"/>
      <c r="M375" s="15"/>
      <c r="N375" s="15"/>
    </row>
    <row r="376" spans="8:14" x14ac:dyDescent="0.2">
      <c r="H376" s="15"/>
      <c r="I376" s="15"/>
      <c r="J376" s="15"/>
      <c r="K376" s="15"/>
      <c r="L376" s="15"/>
      <c r="M376" s="15"/>
      <c r="N376" s="15"/>
    </row>
    <row r="377" spans="8:14" x14ac:dyDescent="0.2">
      <c r="H377" s="15"/>
      <c r="I377" s="15"/>
      <c r="J377" s="15"/>
      <c r="K377" s="15"/>
      <c r="L377" s="15"/>
      <c r="M377" s="15"/>
      <c r="N377" s="15"/>
    </row>
    <row r="378" spans="8:14" x14ac:dyDescent="0.2">
      <c r="H378" s="15"/>
      <c r="I378" s="15"/>
      <c r="J378" s="15"/>
      <c r="K378" s="15"/>
      <c r="L378" s="15"/>
      <c r="M378" s="15"/>
      <c r="N378" s="15"/>
    </row>
    <row r="379" spans="8:14" x14ac:dyDescent="0.2">
      <c r="H379" s="15"/>
      <c r="I379" s="15"/>
      <c r="J379" s="15"/>
      <c r="K379" s="15"/>
      <c r="L379" s="15"/>
      <c r="M379" s="15"/>
      <c r="N379" s="15"/>
    </row>
    <row r="380" spans="8:14" x14ac:dyDescent="0.2">
      <c r="H380" s="15"/>
      <c r="I380" s="15"/>
      <c r="J380" s="15"/>
      <c r="K380" s="15"/>
      <c r="L380" s="15"/>
      <c r="M380" s="15"/>
      <c r="N380" s="15"/>
    </row>
    <row r="381" spans="8:14" x14ac:dyDescent="0.2">
      <c r="H381" s="15"/>
      <c r="I381" s="15"/>
      <c r="J381" s="15"/>
      <c r="K381" s="15"/>
      <c r="L381" s="15"/>
      <c r="M381" s="15"/>
      <c r="N381" s="15"/>
    </row>
    <row r="382" spans="8:14" x14ac:dyDescent="0.2">
      <c r="H382" s="15"/>
      <c r="I382" s="15"/>
      <c r="J382" s="15"/>
      <c r="K382" s="15"/>
      <c r="L382" s="15"/>
      <c r="M382" s="15"/>
      <c r="N382" s="15"/>
    </row>
    <row r="383" spans="8:14" x14ac:dyDescent="0.2">
      <c r="H383" s="15"/>
      <c r="I383" s="15"/>
      <c r="J383" s="15"/>
      <c r="K383" s="15"/>
      <c r="L383" s="15"/>
      <c r="M383" s="15"/>
      <c r="N383" s="15"/>
    </row>
    <row r="384" spans="8:14" x14ac:dyDescent="0.2">
      <c r="H384" s="15"/>
      <c r="I384" s="15"/>
      <c r="J384" s="15"/>
      <c r="K384" s="15"/>
      <c r="L384" s="15"/>
      <c r="M384" s="15"/>
      <c r="N384" s="15"/>
    </row>
    <row r="385" spans="8:14" x14ac:dyDescent="0.2">
      <c r="H385" s="15"/>
      <c r="I385" s="15"/>
      <c r="J385" s="15"/>
      <c r="K385" s="15"/>
      <c r="L385" s="15"/>
      <c r="M385" s="15"/>
      <c r="N385" s="15"/>
    </row>
    <row r="386" spans="8:14" x14ac:dyDescent="0.2">
      <c r="H386" s="15"/>
      <c r="I386" s="15"/>
      <c r="J386" s="15"/>
      <c r="K386" s="15"/>
      <c r="L386" s="15"/>
      <c r="M386" s="15"/>
      <c r="N386" s="15"/>
    </row>
    <row r="387" spans="8:14" x14ac:dyDescent="0.2">
      <c r="H387" s="15"/>
      <c r="I387" s="15"/>
      <c r="J387" s="15"/>
      <c r="K387" s="15"/>
      <c r="L387" s="15"/>
      <c r="M387" s="15"/>
      <c r="N387" s="15"/>
    </row>
    <row r="388" spans="8:14" x14ac:dyDescent="0.2">
      <c r="H388" s="15"/>
      <c r="I388" s="15"/>
      <c r="J388" s="15"/>
      <c r="K388" s="15"/>
      <c r="L388" s="15"/>
      <c r="M388" s="15"/>
      <c r="N388" s="15"/>
    </row>
    <row r="389" spans="8:14" x14ac:dyDescent="0.2">
      <c r="H389" s="15"/>
      <c r="I389" s="15"/>
      <c r="J389" s="15"/>
      <c r="K389" s="15"/>
      <c r="L389" s="15"/>
      <c r="M389" s="15"/>
      <c r="N389" s="15"/>
    </row>
    <row r="390" spans="8:14" x14ac:dyDescent="0.2">
      <c r="H390" s="15"/>
      <c r="I390" s="15"/>
      <c r="J390" s="15"/>
      <c r="K390" s="15"/>
      <c r="L390" s="15"/>
      <c r="M390" s="15"/>
      <c r="N390" s="15"/>
    </row>
    <row r="391" spans="8:14" x14ac:dyDescent="0.2">
      <c r="H391" s="15"/>
      <c r="I391" s="15"/>
      <c r="J391" s="15"/>
      <c r="K391" s="15"/>
      <c r="L391" s="15"/>
      <c r="M391" s="15"/>
      <c r="N391" s="15"/>
    </row>
    <row r="392" spans="8:14" x14ac:dyDescent="0.2">
      <c r="H392" s="15"/>
      <c r="I392" s="15"/>
      <c r="J392" s="15"/>
      <c r="K392" s="15"/>
      <c r="L392" s="15"/>
      <c r="M392" s="15"/>
      <c r="N392" s="15"/>
    </row>
    <row r="393" spans="8:14" x14ac:dyDescent="0.2">
      <c r="H393" s="15"/>
      <c r="I393" s="15"/>
      <c r="J393" s="15"/>
      <c r="K393" s="15"/>
      <c r="L393" s="15"/>
      <c r="M393" s="15"/>
      <c r="N393" s="15"/>
    </row>
    <row r="394" spans="8:14" x14ac:dyDescent="0.2">
      <c r="H394" s="15"/>
      <c r="I394" s="15"/>
      <c r="J394" s="15"/>
      <c r="K394" s="15"/>
      <c r="L394" s="15"/>
      <c r="M394" s="15"/>
      <c r="N394" s="15"/>
    </row>
    <row r="395" spans="8:14" x14ac:dyDescent="0.2">
      <c r="H395" s="15"/>
      <c r="I395" s="15"/>
      <c r="J395" s="15"/>
      <c r="K395" s="15"/>
      <c r="L395" s="15"/>
      <c r="M395" s="15"/>
      <c r="N395" s="15"/>
    </row>
    <row r="396" spans="8:14" x14ac:dyDescent="0.2">
      <c r="H396" s="15"/>
      <c r="I396" s="15"/>
      <c r="J396" s="15"/>
      <c r="K396" s="15"/>
      <c r="L396" s="15"/>
      <c r="M396" s="15"/>
      <c r="N396" s="15"/>
    </row>
    <row r="397" spans="8:14" x14ac:dyDescent="0.2">
      <c r="H397" s="15"/>
      <c r="I397" s="15"/>
      <c r="J397" s="15"/>
      <c r="K397" s="15"/>
      <c r="L397" s="15"/>
      <c r="M397" s="15"/>
      <c r="N397" s="15"/>
    </row>
    <row r="398" spans="8:14" x14ac:dyDescent="0.2">
      <c r="H398" s="15"/>
      <c r="I398" s="15"/>
      <c r="J398" s="15"/>
      <c r="K398" s="15"/>
      <c r="L398" s="15"/>
      <c r="M398" s="15"/>
      <c r="N398" s="15"/>
    </row>
    <row r="399" spans="8:14" x14ac:dyDescent="0.2">
      <c r="H399" s="15"/>
      <c r="I399" s="15"/>
      <c r="J399" s="15"/>
      <c r="K399" s="15"/>
      <c r="L399" s="15"/>
      <c r="M399" s="15"/>
      <c r="N399" s="15"/>
    </row>
    <row r="400" spans="8:14" x14ac:dyDescent="0.2">
      <c r="H400" s="15"/>
      <c r="I400" s="15"/>
      <c r="J400" s="15"/>
      <c r="K400" s="15"/>
      <c r="L400" s="15"/>
      <c r="M400" s="15"/>
      <c r="N400" s="15"/>
    </row>
    <row r="401" spans="8:14" x14ac:dyDescent="0.2">
      <c r="H401" s="15"/>
      <c r="I401" s="15"/>
      <c r="J401" s="15"/>
      <c r="K401" s="15"/>
      <c r="L401" s="15"/>
      <c r="M401" s="15"/>
      <c r="N401" s="15"/>
    </row>
    <row r="402" spans="8:14" x14ac:dyDescent="0.2">
      <c r="H402" s="15"/>
      <c r="I402" s="15"/>
      <c r="J402" s="15"/>
      <c r="K402" s="15"/>
      <c r="L402" s="15"/>
      <c r="M402" s="15"/>
      <c r="N402" s="15"/>
    </row>
    <row r="403" spans="8:14" x14ac:dyDescent="0.2">
      <c r="H403" s="15"/>
      <c r="I403" s="15"/>
      <c r="J403" s="15"/>
      <c r="K403" s="15"/>
      <c r="L403" s="15"/>
      <c r="M403" s="15"/>
      <c r="N403" s="15"/>
    </row>
    <row r="404" spans="8:14" x14ac:dyDescent="0.2">
      <c r="H404" s="15"/>
      <c r="I404" s="15"/>
      <c r="J404" s="15"/>
      <c r="K404" s="15"/>
      <c r="L404" s="15"/>
      <c r="M404" s="15"/>
      <c r="N404" s="15"/>
    </row>
    <row r="405" spans="8:14" x14ac:dyDescent="0.2">
      <c r="H405" s="15"/>
      <c r="I405" s="15"/>
      <c r="J405" s="15"/>
      <c r="K405" s="15"/>
      <c r="L405" s="15"/>
      <c r="M405" s="15"/>
      <c r="N405" s="15"/>
    </row>
    <row r="406" spans="8:14" x14ac:dyDescent="0.2">
      <c r="H406" s="15"/>
      <c r="I406" s="15"/>
      <c r="J406" s="15"/>
      <c r="K406" s="15"/>
      <c r="L406" s="15"/>
      <c r="M406" s="15"/>
      <c r="N406" s="15"/>
    </row>
    <row r="407" spans="8:14" x14ac:dyDescent="0.2">
      <c r="H407" s="15"/>
      <c r="I407" s="15"/>
      <c r="J407" s="15"/>
      <c r="K407" s="15"/>
      <c r="L407" s="15"/>
      <c r="M407" s="15"/>
      <c r="N407" s="15"/>
    </row>
    <row r="408" spans="8:14" x14ac:dyDescent="0.2">
      <c r="H408" s="15"/>
      <c r="I408" s="15"/>
      <c r="J408" s="15"/>
      <c r="K408" s="15"/>
      <c r="L408" s="15"/>
      <c r="M408" s="15"/>
      <c r="N408" s="15"/>
    </row>
    <row r="409" spans="8:14" x14ac:dyDescent="0.2">
      <c r="H409" s="15"/>
      <c r="I409" s="15"/>
      <c r="J409" s="15"/>
      <c r="K409" s="15"/>
      <c r="L409" s="15"/>
      <c r="M409" s="15"/>
      <c r="N409" s="15"/>
    </row>
    <row r="410" spans="8:14" x14ac:dyDescent="0.2">
      <c r="H410" s="15"/>
      <c r="I410" s="15"/>
      <c r="J410" s="15"/>
      <c r="K410" s="15"/>
      <c r="L410" s="15"/>
      <c r="M410" s="15"/>
      <c r="N410" s="15"/>
    </row>
    <row r="411" spans="8:14" x14ac:dyDescent="0.2">
      <c r="H411" s="15"/>
      <c r="I411" s="15"/>
      <c r="J411" s="15"/>
      <c r="K411" s="15"/>
      <c r="L411" s="15"/>
      <c r="M411" s="15"/>
      <c r="N411" s="15"/>
    </row>
    <row r="412" spans="8:14" x14ac:dyDescent="0.2">
      <c r="H412" s="15"/>
      <c r="I412" s="15"/>
      <c r="J412" s="15"/>
      <c r="K412" s="15"/>
      <c r="L412" s="15"/>
      <c r="M412" s="15"/>
      <c r="N412" s="15"/>
    </row>
    <row r="413" spans="8:14" x14ac:dyDescent="0.2">
      <c r="H413" s="15"/>
      <c r="I413" s="15"/>
      <c r="J413" s="15"/>
      <c r="K413" s="15"/>
      <c r="L413" s="15"/>
      <c r="M413" s="15"/>
      <c r="N413" s="15"/>
    </row>
    <row r="414" spans="8:14" x14ac:dyDescent="0.2">
      <c r="H414" s="15"/>
      <c r="I414" s="15"/>
      <c r="J414" s="15"/>
      <c r="K414" s="15"/>
      <c r="L414" s="15"/>
      <c r="M414" s="15"/>
      <c r="N414" s="15"/>
    </row>
    <row r="415" spans="8:14" x14ac:dyDescent="0.2">
      <c r="H415" s="15"/>
      <c r="I415" s="15"/>
      <c r="J415" s="15"/>
      <c r="K415" s="15"/>
      <c r="L415" s="15"/>
      <c r="M415" s="15"/>
      <c r="N415" s="15"/>
    </row>
    <row r="416" spans="8:14" x14ac:dyDescent="0.2">
      <c r="H416" s="15"/>
      <c r="I416" s="15"/>
      <c r="J416" s="15"/>
      <c r="K416" s="15"/>
      <c r="L416" s="15"/>
      <c r="M416" s="15"/>
      <c r="N416" s="15"/>
    </row>
    <row r="417" spans="8:14" x14ac:dyDescent="0.2">
      <c r="H417" s="15"/>
      <c r="I417" s="15"/>
      <c r="J417" s="15"/>
      <c r="K417" s="15"/>
      <c r="L417" s="15"/>
      <c r="M417" s="15"/>
      <c r="N417" s="15"/>
    </row>
    <row r="418" spans="8:14" x14ac:dyDescent="0.2">
      <c r="H418" s="15"/>
      <c r="I418" s="15"/>
      <c r="J418" s="15"/>
      <c r="K418" s="15"/>
      <c r="L418" s="15"/>
      <c r="M418" s="15"/>
      <c r="N418" s="15"/>
    </row>
    <row r="419" spans="8:14" x14ac:dyDescent="0.2">
      <c r="H419" s="15"/>
      <c r="I419" s="15"/>
      <c r="J419" s="15"/>
      <c r="K419" s="15"/>
      <c r="L419" s="15"/>
      <c r="M419" s="15"/>
      <c r="N419" s="15"/>
    </row>
    <row r="420" spans="8:14" x14ac:dyDescent="0.2">
      <c r="H420" s="15"/>
      <c r="I420" s="15"/>
      <c r="J420" s="15"/>
      <c r="K420" s="15"/>
      <c r="L420" s="15"/>
      <c r="M420" s="15"/>
      <c r="N420" s="15"/>
    </row>
    <row r="421" spans="8:14" x14ac:dyDescent="0.2">
      <c r="H421" s="15"/>
      <c r="I421" s="15"/>
      <c r="J421" s="15"/>
      <c r="K421" s="15"/>
      <c r="L421" s="15"/>
      <c r="M421" s="15"/>
      <c r="N421" s="15"/>
    </row>
    <row r="422" spans="8:14" x14ac:dyDescent="0.2">
      <c r="H422" s="15"/>
      <c r="I422" s="15"/>
      <c r="J422" s="15"/>
      <c r="K422" s="15"/>
      <c r="L422" s="15"/>
      <c r="M422" s="15"/>
      <c r="N422" s="15"/>
    </row>
    <row r="423" spans="8:14" x14ac:dyDescent="0.2">
      <c r="H423" s="15"/>
      <c r="I423" s="15"/>
      <c r="J423" s="15"/>
      <c r="K423" s="15"/>
      <c r="L423" s="15"/>
      <c r="M423" s="15"/>
      <c r="N423" s="15"/>
    </row>
    <row r="424" spans="8:14" x14ac:dyDescent="0.2">
      <c r="H424" s="15"/>
      <c r="I424" s="15"/>
      <c r="J424" s="15"/>
      <c r="K424" s="15"/>
      <c r="L424" s="15"/>
      <c r="M424" s="15"/>
      <c r="N424" s="15"/>
    </row>
    <row r="425" spans="8:14" x14ac:dyDescent="0.2">
      <c r="H425" s="15"/>
      <c r="I425" s="15"/>
      <c r="J425" s="15"/>
      <c r="K425" s="15"/>
      <c r="L425" s="15"/>
      <c r="M425" s="15"/>
      <c r="N425" s="15"/>
    </row>
    <row r="426" spans="8:14" x14ac:dyDescent="0.2">
      <c r="H426" s="15"/>
      <c r="I426" s="15"/>
      <c r="J426" s="15"/>
      <c r="K426" s="15"/>
      <c r="L426" s="15"/>
      <c r="M426" s="15"/>
      <c r="N426" s="15"/>
    </row>
    <row r="427" spans="8:14" x14ac:dyDescent="0.2">
      <c r="H427" s="15"/>
      <c r="I427" s="15"/>
      <c r="J427" s="15"/>
      <c r="K427" s="15"/>
      <c r="L427" s="15"/>
      <c r="M427" s="15"/>
      <c r="N427" s="15"/>
    </row>
    <row r="428" spans="8:14" x14ac:dyDescent="0.2">
      <c r="H428" s="15"/>
      <c r="I428" s="15"/>
      <c r="J428" s="15"/>
      <c r="K428" s="15"/>
      <c r="L428" s="15"/>
      <c r="M428" s="15"/>
      <c r="N428" s="15"/>
    </row>
    <row r="429" spans="8:14" x14ac:dyDescent="0.2">
      <c r="H429" s="15"/>
      <c r="I429" s="15"/>
      <c r="J429" s="15"/>
      <c r="K429" s="15"/>
      <c r="L429" s="15"/>
      <c r="M429" s="15"/>
      <c r="N429" s="15"/>
    </row>
    <row r="430" spans="8:14" x14ac:dyDescent="0.2">
      <c r="H430" s="15"/>
      <c r="I430" s="15"/>
      <c r="J430" s="15"/>
      <c r="K430" s="15"/>
      <c r="L430" s="15"/>
      <c r="M430" s="15"/>
      <c r="N430" s="15"/>
    </row>
    <row r="431" spans="8:14" x14ac:dyDescent="0.2">
      <c r="H431" s="15"/>
      <c r="I431" s="15"/>
      <c r="J431" s="15"/>
      <c r="K431" s="15"/>
      <c r="L431" s="15"/>
      <c r="M431" s="15"/>
      <c r="N431" s="15"/>
    </row>
    <row r="432" spans="8:14" x14ac:dyDescent="0.2">
      <c r="H432" s="15"/>
      <c r="I432" s="15"/>
      <c r="J432" s="15"/>
      <c r="K432" s="15"/>
      <c r="L432" s="15"/>
      <c r="M432" s="15"/>
      <c r="N432" s="15"/>
    </row>
    <row r="433" spans="8:14" x14ac:dyDescent="0.2">
      <c r="H433" s="15"/>
      <c r="I433" s="15"/>
      <c r="J433" s="15"/>
      <c r="K433" s="15"/>
      <c r="L433" s="15"/>
      <c r="M433" s="15"/>
      <c r="N433" s="15"/>
    </row>
    <row r="434" spans="8:14" x14ac:dyDescent="0.2">
      <c r="H434" s="15"/>
      <c r="I434" s="15"/>
      <c r="J434" s="15"/>
      <c r="K434" s="15"/>
      <c r="L434" s="15"/>
      <c r="M434" s="15"/>
      <c r="N434" s="15"/>
    </row>
    <row r="435" spans="8:14" x14ac:dyDescent="0.2">
      <c r="H435" s="15"/>
      <c r="I435" s="15"/>
      <c r="J435" s="15"/>
      <c r="K435" s="15"/>
      <c r="L435" s="15"/>
      <c r="M435" s="15"/>
      <c r="N435" s="15"/>
    </row>
    <row r="436" spans="8:14" x14ac:dyDescent="0.2">
      <c r="H436" s="15"/>
      <c r="I436" s="15"/>
      <c r="J436" s="15"/>
      <c r="K436" s="15"/>
      <c r="L436" s="15"/>
      <c r="M436" s="15"/>
      <c r="N436" s="15"/>
    </row>
    <row r="437" spans="8:14" x14ac:dyDescent="0.2">
      <c r="H437" s="15"/>
      <c r="I437" s="15"/>
      <c r="J437" s="15"/>
      <c r="K437" s="15"/>
      <c r="L437" s="15"/>
      <c r="M437" s="15"/>
      <c r="N437" s="15"/>
    </row>
    <row r="438" spans="8:14" x14ac:dyDescent="0.2">
      <c r="H438" s="15"/>
      <c r="I438" s="15"/>
      <c r="J438" s="15"/>
      <c r="K438" s="15"/>
      <c r="L438" s="15"/>
      <c r="M438" s="15"/>
      <c r="N438" s="15"/>
    </row>
    <row r="439" spans="8:14" x14ac:dyDescent="0.2">
      <c r="H439" s="15"/>
      <c r="I439" s="15"/>
      <c r="J439" s="15"/>
      <c r="K439" s="15"/>
      <c r="L439" s="15"/>
      <c r="M439" s="15"/>
      <c r="N439" s="15"/>
    </row>
    <row r="440" spans="8:14" x14ac:dyDescent="0.2">
      <c r="H440" s="15"/>
      <c r="I440" s="15"/>
      <c r="J440" s="15"/>
      <c r="K440" s="15"/>
      <c r="L440" s="15"/>
      <c r="M440" s="15"/>
      <c r="N440" s="15"/>
    </row>
    <row r="441" spans="8:14" x14ac:dyDescent="0.2">
      <c r="H441" s="15"/>
      <c r="I441" s="15"/>
      <c r="J441" s="15"/>
      <c r="K441" s="15"/>
      <c r="L441" s="15"/>
      <c r="M441" s="15"/>
      <c r="N441" s="15"/>
    </row>
    <row r="442" spans="8:14" x14ac:dyDescent="0.2">
      <c r="H442" s="15"/>
      <c r="I442" s="15"/>
      <c r="J442" s="15"/>
      <c r="K442" s="15"/>
      <c r="L442" s="15"/>
      <c r="M442" s="15"/>
      <c r="N442" s="15"/>
    </row>
    <row r="443" spans="8:14" x14ac:dyDescent="0.2">
      <c r="H443" s="15"/>
      <c r="I443" s="15"/>
      <c r="J443" s="15"/>
      <c r="K443" s="15"/>
      <c r="L443" s="15"/>
      <c r="M443" s="15"/>
      <c r="N443" s="15"/>
    </row>
    <row r="444" spans="8:14" x14ac:dyDescent="0.2">
      <c r="H444" s="15"/>
      <c r="I444" s="15"/>
      <c r="J444" s="15"/>
      <c r="K444" s="15"/>
      <c r="L444" s="15"/>
      <c r="M444" s="15"/>
      <c r="N444" s="15"/>
    </row>
    <row r="445" spans="8:14" x14ac:dyDescent="0.2">
      <c r="H445" s="15"/>
      <c r="I445" s="15"/>
      <c r="J445" s="15"/>
      <c r="K445" s="15"/>
      <c r="L445" s="15"/>
      <c r="M445" s="15"/>
      <c r="N445" s="15"/>
    </row>
    <row r="446" spans="8:14" x14ac:dyDescent="0.2">
      <c r="H446" s="15"/>
      <c r="I446" s="15"/>
      <c r="J446" s="15"/>
      <c r="K446" s="15"/>
      <c r="L446" s="15"/>
      <c r="M446" s="15"/>
      <c r="N446" s="15"/>
    </row>
    <row r="447" spans="8:14" x14ac:dyDescent="0.2">
      <c r="H447" s="15"/>
      <c r="I447" s="15"/>
      <c r="J447" s="15"/>
      <c r="K447" s="15"/>
      <c r="L447" s="15"/>
      <c r="M447" s="15"/>
      <c r="N447" s="15"/>
    </row>
    <row r="448" spans="8:14" x14ac:dyDescent="0.2">
      <c r="H448" s="15"/>
      <c r="I448" s="15"/>
      <c r="J448" s="15"/>
      <c r="K448" s="15"/>
      <c r="L448" s="15"/>
      <c r="M448" s="15"/>
      <c r="N448" s="15"/>
    </row>
    <row r="449" spans="8:14" x14ac:dyDescent="0.2">
      <c r="H449" s="15"/>
      <c r="I449" s="15"/>
      <c r="J449" s="15"/>
      <c r="K449" s="15"/>
      <c r="L449" s="15"/>
      <c r="M449" s="15"/>
      <c r="N449" s="15"/>
    </row>
    <row r="450" spans="8:14" x14ac:dyDescent="0.2">
      <c r="H450" s="15"/>
      <c r="I450" s="15"/>
      <c r="J450" s="15"/>
      <c r="K450" s="15"/>
      <c r="L450" s="15"/>
      <c r="M450" s="15"/>
      <c r="N450" s="15"/>
    </row>
    <row r="451" spans="8:14" x14ac:dyDescent="0.2">
      <c r="H451" s="15"/>
      <c r="I451" s="15"/>
      <c r="J451" s="15"/>
      <c r="K451" s="15"/>
      <c r="L451" s="15"/>
      <c r="M451" s="15"/>
      <c r="N451" s="15"/>
    </row>
    <row r="452" spans="8:14" x14ac:dyDescent="0.2">
      <c r="H452" s="15"/>
      <c r="I452" s="15"/>
      <c r="J452" s="15"/>
      <c r="K452" s="15"/>
      <c r="L452" s="15"/>
      <c r="M452" s="15"/>
      <c r="N452" s="15"/>
    </row>
    <row r="453" spans="8:14" x14ac:dyDescent="0.2">
      <c r="H453" s="15"/>
      <c r="I453" s="15"/>
      <c r="J453" s="15"/>
      <c r="K453" s="15"/>
      <c r="L453" s="15"/>
      <c r="M453" s="15"/>
      <c r="N453" s="15"/>
    </row>
    <row r="454" spans="8:14" x14ac:dyDescent="0.2">
      <c r="H454" s="15"/>
      <c r="I454" s="15"/>
      <c r="J454" s="15"/>
      <c r="K454" s="15"/>
      <c r="L454" s="15"/>
      <c r="M454" s="15"/>
      <c r="N454" s="15"/>
    </row>
    <row r="455" spans="8:14" x14ac:dyDescent="0.2">
      <c r="H455" s="15"/>
      <c r="I455" s="15"/>
      <c r="J455" s="15"/>
      <c r="K455" s="15"/>
      <c r="L455" s="15"/>
      <c r="M455" s="15"/>
      <c r="N455" s="15"/>
    </row>
    <row r="456" spans="8:14" x14ac:dyDescent="0.2">
      <c r="H456" s="15"/>
      <c r="I456" s="15"/>
      <c r="J456" s="15"/>
      <c r="K456" s="15"/>
      <c r="L456" s="15"/>
      <c r="M456" s="15"/>
      <c r="N456" s="15"/>
    </row>
    <row r="457" spans="8:14" x14ac:dyDescent="0.2">
      <c r="H457" s="15"/>
      <c r="I457" s="15"/>
      <c r="J457" s="15"/>
      <c r="K457" s="15"/>
      <c r="L457" s="15"/>
      <c r="M457" s="15"/>
      <c r="N457" s="15"/>
    </row>
    <row r="458" spans="8:14" x14ac:dyDescent="0.2">
      <c r="H458" s="15"/>
      <c r="I458" s="15"/>
      <c r="J458" s="15"/>
      <c r="K458" s="15"/>
      <c r="L458" s="15"/>
      <c r="M458" s="15"/>
      <c r="N458" s="15"/>
    </row>
    <row r="459" spans="8:14" x14ac:dyDescent="0.2">
      <c r="H459" s="15"/>
      <c r="I459" s="15"/>
      <c r="J459" s="15"/>
      <c r="K459" s="15"/>
      <c r="L459" s="15"/>
      <c r="M459" s="15"/>
      <c r="N459" s="15"/>
    </row>
    <row r="460" spans="8:14" x14ac:dyDescent="0.2">
      <c r="H460" s="15"/>
      <c r="I460" s="15"/>
      <c r="J460" s="15"/>
      <c r="K460" s="15"/>
      <c r="L460" s="15"/>
      <c r="M460" s="15"/>
      <c r="N460" s="15"/>
    </row>
    <row r="461" spans="8:14" x14ac:dyDescent="0.2">
      <c r="H461" s="15"/>
      <c r="I461" s="15"/>
      <c r="J461" s="15"/>
      <c r="K461" s="15"/>
      <c r="L461" s="15"/>
      <c r="M461" s="15"/>
      <c r="N461" s="15"/>
    </row>
    <row r="462" spans="8:14" x14ac:dyDescent="0.2">
      <c r="H462" s="15"/>
      <c r="I462" s="15"/>
      <c r="J462" s="15"/>
      <c r="K462" s="15"/>
      <c r="L462" s="15"/>
      <c r="M462" s="15"/>
      <c r="N462" s="15"/>
    </row>
    <row r="463" spans="8:14" x14ac:dyDescent="0.2">
      <c r="H463" s="15"/>
      <c r="I463" s="15"/>
      <c r="J463" s="15"/>
      <c r="K463" s="15"/>
      <c r="L463" s="15"/>
      <c r="M463" s="15"/>
      <c r="N463" s="15"/>
    </row>
    <row r="464" spans="8:14" x14ac:dyDescent="0.2">
      <c r="H464" s="15"/>
      <c r="I464" s="15"/>
      <c r="J464" s="15"/>
      <c r="K464" s="15"/>
      <c r="L464" s="15"/>
      <c r="M464" s="15"/>
      <c r="N464" s="15"/>
    </row>
    <row r="465" spans="8:14" x14ac:dyDescent="0.2">
      <c r="H465" s="15"/>
      <c r="I465" s="15"/>
      <c r="J465" s="15"/>
      <c r="K465" s="15"/>
      <c r="L465" s="15"/>
      <c r="M465" s="15"/>
      <c r="N465" s="15"/>
    </row>
    <row r="466" spans="8:14" x14ac:dyDescent="0.2">
      <c r="H466" s="15"/>
      <c r="I466" s="15"/>
      <c r="J466" s="15"/>
      <c r="K466" s="15"/>
      <c r="L466" s="15"/>
      <c r="M466" s="15"/>
      <c r="N466" s="15"/>
    </row>
    <row r="467" spans="8:14" x14ac:dyDescent="0.2">
      <c r="H467" s="15"/>
      <c r="I467" s="15"/>
      <c r="J467" s="15"/>
      <c r="K467" s="15"/>
      <c r="L467" s="15"/>
      <c r="M467" s="15"/>
      <c r="N467" s="15"/>
    </row>
    <row r="468" spans="8:14" x14ac:dyDescent="0.2">
      <c r="H468" s="15"/>
      <c r="I468" s="15"/>
      <c r="J468" s="15"/>
      <c r="K468" s="15"/>
      <c r="L468" s="15"/>
      <c r="M468" s="15"/>
      <c r="N468" s="15"/>
    </row>
    <row r="469" spans="8:14" x14ac:dyDescent="0.2">
      <c r="H469" s="15"/>
      <c r="I469" s="15"/>
      <c r="J469" s="15"/>
      <c r="K469" s="15"/>
      <c r="L469" s="15"/>
      <c r="M469" s="15"/>
      <c r="N469" s="15"/>
    </row>
    <row r="470" spans="8:14" x14ac:dyDescent="0.2">
      <c r="H470" s="15"/>
      <c r="I470" s="15"/>
      <c r="J470" s="15"/>
      <c r="K470" s="15"/>
      <c r="L470" s="15"/>
      <c r="M470" s="15"/>
      <c r="N470" s="15"/>
    </row>
    <row r="471" spans="8:14" x14ac:dyDescent="0.2">
      <c r="H471" s="15"/>
      <c r="I471" s="15"/>
      <c r="J471" s="15"/>
      <c r="K471" s="15"/>
      <c r="L471" s="15"/>
      <c r="M471" s="15"/>
      <c r="N471" s="15"/>
    </row>
    <row r="472" spans="8:14" x14ac:dyDescent="0.2">
      <c r="H472" s="15"/>
      <c r="I472" s="15"/>
      <c r="J472" s="15"/>
      <c r="K472" s="15"/>
      <c r="L472" s="15"/>
      <c r="M472" s="15"/>
      <c r="N472" s="15"/>
    </row>
    <row r="473" spans="8:14" x14ac:dyDescent="0.2">
      <c r="H473" s="15"/>
      <c r="I473" s="15"/>
      <c r="J473" s="15"/>
      <c r="K473" s="15"/>
      <c r="L473" s="15"/>
      <c r="M473" s="15"/>
      <c r="N473" s="15"/>
    </row>
    <row r="474" spans="8:14" x14ac:dyDescent="0.2">
      <c r="H474" s="15"/>
      <c r="I474" s="15"/>
      <c r="J474" s="15"/>
      <c r="K474" s="15"/>
      <c r="L474" s="15"/>
      <c r="M474" s="15"/>
      <c r="N474" s="15"/>
    </row>
    <row r="475" spans="8:14" x14ac:dyDescent="0.2">
      <c r="H475" s="15"/>
      <c r="I475" s="15"/>
      <c r="J475" s="15"/>
      <c r="K475" s="15"/>
      <c r="L475" s="15"/>
      <c r="M475" s="15"/>
      <c r="N475" s="15"/>
    </row>
    <row r="476" spans="8:14" x14ac:dyDescent="0.2">
      <c r="H476" s="15"/>
      <c r="I476" s="15"/>
      <c r="J476" s="15"/>
      <c r="K476" s="15"/>
      <c r="L476" s="15"/>
      <c r="M476" s="15"/>
      <c r="N476" s="15"/>
    </row>
    <row r="477" spans="8:14" x14ac:dyDescent="0.2">
      <c r="H477" s="15"/>
      <c r="I477" s="15"/>
      <c r="J477" s="15"/>
      <c r="K477" s="15"/>
      <c r="L477" s="15"/>
      <c r="M477" s="15"/>
      <c r="N477" s="15"/>
    </row>
    <row r="478" spans="8:14" x14ac:dyDescent="0.2">
      <c r="H478" s="15"/>
      <c r="I478" s="15"/>
      <c r="J478" s="15"/>
      <c r="K478" s="15"/>
      <c r="L478" s="15"/>
      <c r="M478" s="15"/>
      <c r="N478" s="15"/>
    </row>
    <row r="479" spans="8:14" x14ac:dyDescent="0.2">
      <c r="H479" s="15"/>
      <c r="I479" s="15"/>
      <c r="J479" s="15"/>
      <c r="K479" s="15"/>
      <c r="L479" s="15"/>
      <c r="M479" s="15"/>
      <c r="N479" s="15"/>
    </row>
    <row r="480" spans="8:14" x14ac:dyDescent="0.2">
      <c r="H480" s="15"/>
      <c r="I480" s="15"/>
      <c r="J480" s="15"/>
      <c r="K480" s="15"/>
      <c r="L480" s="15"/>
      <c r="M480" s="15"/>
      <c r="N480" s="15"/>
    </row>
    <row r="481" spans="8:14" x14ac:dyDescent="0.2">
      <c r="H481" s="15"/>
      <c r="I481" s="15"/>
      <c r="J481" s="15"/>
      <c r="K481" s="15"/>
      <c r="L481" s="15"/>
      <c r="M481" s="15"/>
      <c r="N481" s="15"/>
    </row>
    <row r="482" spans="8:14" x14ac:dyDescent="0.2">
      <c r="H482" s="15"/>
      <c r="I482" s="15"/>
      <c r="J482" s="15"/>
      <c r="K482" s="15"/>
      <c r="L482" s="15"/>
      <c r="M482" s="15"/>
      <c r="N482" s="15"/>
    </row>
    <row r="483" spans="8:14" x14ac:dyDescent="0.2">
      <c r="H483" s="15"/>
      <c r="I483" s="15"/>
      <c r="J483" s="15"/>
      <c r="K483" s="15"/>
      <c r="L483" s="15"/>
      <c r="M483" s="15"/>
      <c r="N483" s="15"/>
    </row>
    <row r="484" spans="8:14" x14ac:dyDescent="0.2">
      <c r="H484" s="15"/>
      <c r="I484" s="15"/>
      <c r="J484" s="15"/>
      <c r="K484" s="15"/>
      <c r="L484" s="15"/>
      <c r="M484" s="15"/>
      <c r="N484" s="15"/>
    </row>
    <row r="485" spans="8:14" x14ac:dyDescent="0.2">
      <c r="H485" s="15"/>
      <c r="I485" s="15"/>
      <c r="J485" s="15"/>
      <c r="K485" s="15"/>
      <c r="L485" s="15"/>
      <c r="M485" s="15"/>
      <c r="N485" s="15"/>
    </row>
    <row r="486" spans="8:14" x14ac:dyDescent="0.2">
      <c r="H486" s="15"/>
      <c r="I486" s="15"/>
      <c r="J486" s="15"/>
      <c r="K486" s="15"/>
      <c r="L486" s="15"/>
      <c r="M486" s="15"/>
      <c r="N486" s="15"/>
    </row>
    <row r="487" spans="8:14" x14ac:dyDescent="0.2">
      <c r="H487" s="15"/>
      <c r="I487" s="15"/>
      <c r="J487" s="15"/>
      <c r="K487" s="15"/>
      <c r="L487" s="15"/>
      <c r="M487" s="15"/>
      <c r="N487" s="15"/>
    </row>
    <row r="488" spans="8:14" x14ac:dyDescent="0.2">
      <c r="H488" s="15"/>
      <c r="I488" s="15"/>
      <c r="J488" s="15"/>
      <c r="K488" s="15"/>
      <c r="L488" s="15"/>
      <c r="M488" s="15"/>
      <c r="N488" s="15"/>
    </row>
    <row r="489" spans="8:14" x14ac:dyDescent="0.2">
      <c r="H489" s="15"/>
      <c r="I489" s="15"/>
      <c r="J489" s="15"/>
      <c r="K489" s="15"/>
      <c r="L489" s="15"/>
      <c r="M489" s="15"/>
      <c r="N489" s="15"/>
    </row>
    <row r="490" spans="8:14" x14ac:dyDescent="0.2">
      <c r="H490" s="15"/>
      <c r="I490" s="15"/>
      <c r="J490" s="15"/>
      <c r="K490" s="15"/>
      <c r="L490" s="15"/>
      <c r="M490" s="15"/>
      <c r="N490" s="15"/>
    </row>
    <row r="491" spans="8:14" x14ac:dyDescent="0.2">
      <c r="H491" s="15"/>
      <c r="I491" s="15"/>
      <c r="J491" s="15"/>
      <c r="K491" s="15"/>
      <c r="L491" s="15"/>
      <c r="M491" s="15"/>
      <c r="N491" s="15"/>
    </row>
    <row r="492" spans="8:14" x14ac:dyDescent="0.2">
      <c r="H492" s="15"/>
      <c r="I492" s="15"/>
      <c r="J492" s="15"/>
      <c r="K492" s="15"/>
      <c r="L492" s="15"/>
      <c r="M492" s="15"/>
      <c r="N492" s="15"/>
    </row>
    <row r="493" spans="8:14" x14ac:dyDescent="0.2">
      <c r="H493" s="15"/>
      <c r="I493" s="15"/>
      <c r="J493" s="15"/>
      <c r="K493" s="15"/>
      <c r="L493" s="15"/>
      <c r="M493" s="15"/>
      <c r="N493" s="15"/>
    </row>
    <row r="494" spans="8:14" x14ac:dyDescent="0.2">
      <c r="H494" s="15"/>
      <c r="I494" s="15"/>
      <c r="J494" s="15"/>
      <c r="K494" s="15"/>
      <c r="L494" s="15"/>
      <c r="M494" s="15"/>
      <c r="N494" s="15"/>
    </row>
    <row r="495" spans="8:14" x14ac:dyDescent="0.2">
      <c r="H495" s="15"/>
      <c r="I495" s="15"/>
      <c r="J495" s="15"/>
      <c r="K495" s="15"/>
      <c r="L495" s="15"/>
      <c r="M495" s="15"/>
      <c r="N495" s="15"/>
    </row>
    <row r="496" spans="8:14" x14ac:dyDescent="0.2">
      <c r="H496" s="15"/>
      <c r="I496" s="15"/>
      <c r="J496" s="15"/>
      <c r="K496" s="15"/>
      <c r="L496" s="15"/>
      <c r="M496" s="15"/>
      <c r="N496" s="15"/>
    </row>
    <row r="497" spans="8:14" x14ac:dyDescent="0.2">
      <c r="H497" s="15"/>
      <c r="I497" s="15"/>
      <c r="J497" s="15"/>
      <c r="K497" s="15"/>
      <c r="L497" s="15"/>
      <c r="M497" s="15"/>
      <c r="N497" s="15"/>
    </row>
    <row r="498" spans="8:14" x14ac:dyDescent="0.2">
      <c r="H498" s="15"/>
      <c r="I498" s="15"/>
      <c r="J498" s="15"/>
      <c r="K498" s="15"/>
      <c r="L498" s="15"/>
      <c r="M498" s="15"/>
      <c r="N498" s="15"/>
    </row>
    <row r="499" spans="8:14" x14ac:dyDescent="0.2">
      <c r="H499" s="15"/>
      <c r="I499" s="15"/>
      <c r="J499" s="15"/>
      <c r="K499" s="15"/>
      <c r="L499" s="15"/>
      <c r="M499" s="15"/>
      <c r="N499" s="15"/>
    </row>
    <row r="500" spans="8:14" x14ac:dyDescent="0.2">
      <c r="H500" s="15"/>
      <c r="I500" s="15"/>
      <c r="J500" s="15"/>
      <c r="K500" s="15"/>
      <c r="L500" s="15"/>
      <c r="M500" s="15"/>
      <c r="N500" s="15"/>
    </row>
    <row r="501" spans="8:14" x14ac:dyDescent="0.2">
      <c r="H501" s="15"/>
      <c r="I501" s="15"/>
      <c r="J501" s="15"/>
      <c r="K501" s="15"/>
      <c r="L501" s="15"/>
      <c r="M501" s="15"/>
      <c r="N501" s="15"/>
    </row>
    <row r="502" spans="8:14" x14ac:dyDescent="0.2">
      <c r="H502" s="15"/>
      <c r="I502" s="15"/>
      <c r="J502" s="15"/>
      <c r="K502" s="15"/>
      <c r="L502" s="15"/>
      <c r="M502" s="15"/>
      <c r="N502" s="15"/>
    </row>
    <row r="503" spans="8:14" x14ac:dyDescent="0.2">
      <c r="H503" s="15"/>
      <c r="I503" s="15"/>
      <c r="J503" s="15"/>
      <c r="K503" s="15"/>
      <c r="L503" s="15"/>
      <c r="M503" s="15"/>
      <c r="N503" s="15"/>
    </row>
    <row r="504" spans="8:14" x14ac:dyDescent="0.2">
      <c r="H504" s="15"/>
      <c r="I504" s="15"/>
      <c r="J504" s="15"/>
      <c r="K504" s="15"/>
      <c r="L504" s="15"/>
      <c r="M504" s="15"/>
      <c r="N504" s="15"/>
    </row>
    <row r="505" spans="8:14" x14ac:dyDescent="0.2">
      <c r="H505" s="15"/>
      <c r="I505" s="15"/>
      <c r="J505" s="15"/>
      <c r="K505" s="15"/>
      <c r="L505" s="15"/>
      <c r="M505" s="15"/>
      <c r="N505" s="15"/>
    </row>
    <row r="506" spans="8:14" x14ac:dyDescent="0.2">
      <c r="H506" s="15"/>
      <c r="I506" s="15"/>
      <c r="J506" s="15"/>
      <c r="K506" s="15"/>
      <c r="L506" s="15"/>
      <c r="M506" s="15"/>
      <c r="N506" s="15"/>
    </row>
    <row r="507" spans="8:14" x14ac:dyDescent="0.2">
      <c r="H507" s="15"/>
      <c r="I507" s="15"/>
      <c r="J507" s="15"/>
      <c r="K507" s="15"/>
      <c r="L507" s="15"/>
      <c r="M507" s="15"/>
      <c r="N507" s="15"/>
    </row>
    <row r="508" spans="8:14" x14ac:dyDescent="0.2">
      <c r="H508" s="15"/>
      <c r="I508" s="15"/>
      <c r="J508" s="15"/>
      <c r="K508" s="15"/>
      <c r="L508" s="15"/>
      <c r="M508" s="15"/>
      <c r="N508" s="15"/>
    </row>
    <row r="509" spans="8:14" x14ac:dyDescent="0.2">
      <c r="H509" s="15"/>
      <c r="I509" s="15"/>
      <c r="J509" s="15"/>
      <c r="K509" s="15"/>
      <c r="L509" s="15"/>
      <c r="M509" s="15"/>
      <c r="N509" s="15"/>
    </row>
    <row r="510" spans="8:14" x14ac:dyDescent="0.2">
      <c r="H510" s="15"/>
      <c r="I510" s="15"/>
      <c r="J510" s="15"/>
      <c r="K510" s="15"/>
      <c r="L510" s="15"/>
      <c r="M510" s="15"/>
      <c r="N510" s="15"/>
    </row>
    <row r="511" spans="8:14" x14ac:dyDescent="0.2">
      <c r="H511" s="15"/>
      <c r="I511" s="15"/>
      <c r="J511" s="15"/>
      <c r="K511" s="15"/>
      <c r="L511" s="15"/>
      <c r="M511" s="15"/>
      <c r="N511" s="15"/>
    </row>
    <row r="512" spans="8:14" x14ac:dyDescent="0.2">
      <c r="H512" s="15"/>
      <c r="I512" s="15"/>
      <c r="J512" s="15"/>
      <c r="K512" s="15"/>
      <c r="L512" s="15"/>
      <c r="M512" s="15"/>
      <c r="N512" s="15"/>
    </row>
    <row r="513" spans="8:14" x14ac:dyDescent="0.2">
      <c r="H513" s="15"/>
      <c r="I513" s="15"/>
      <c r="J513" s="15"/>
      <c r="K513" s="15"/>
      <c r="L513" s="15"/>
      <c r="M513" s="15"/>
      <c r="N513" s="15"/>
    </row>
    <row r="514" spans="8:14" x14ac:dyDescent="0.2">
      <c r="H514" s="15"/>
      <c r="I514" s="15"/>
      <c r="J514" s="15"/>
      <c r="K514" s="15"/>
      <c r="L514" s="15"/>
      <c r="M514" s="15"/>
      <c r="N514" s="15"/>
    </row>
    <row r="515" spans="8:14" x14ac:dyDescent="0.2">
      <c r="H515" s="15"/>
      <c r="I515" s="15"/>
      <c r="J515" s="15"/>
      <c r="K515" s="15"/>
      <c r="L515" s="15"/>
      <c r="M515" s="15"/>
      <c r="N515" s="15"/>
    </row>
    <row r="516" spans="8:14" x14ac:dyDescent="0.2">
      <c r="H516" s="15"/>
      <c r="I516" s="15"/>
      <c r="J516" s="15"/>
      <c r="K516" s="15"/>
      <c r="L516" s="15"/>
      <c r="M516" s="15"/>
      <c r="N516" s="15"/>
    </row>
    <row r="517" spans="8:14" x14ac:dyDescent="0.2">
      <c r="H517" s="15"/>
      <c r="I517" s="15"/>
      <c r="J517" s="15"/>
      <c r="K517" s="15"/>
      <c r="L517" s="15"/>
      <c r="M517" s="15"/>
      <c r="N517" s="15"/>
    </row>
    <row r="518" spans="8:14" x14ac:dyDescent="0.2">
      <c r="H518" s="15"/>
      <c r="I518" s="15"/>
      <c r="J518" s="15"/>
      <c r="K518" s="15"/>
      <c r="L518" s="15"/>
      <c r="M518" s="15"/>
      <c r="N518" s="15"/>
    </row>
    <row r="519" spans="8:14" x14ac:dyDescent="0.2">
      <c r="H519" s="15"/>
      <c r="I519" s="15"/>
      <c r="J519" s="15"/>
      <c r="K519" s="15"/>
      <c r="L519" s="15"/>
      <c r="M519" s="15"/>
      <c r="N519" s="15"/>
    </row>
    <row r="520" spans="8:14" x14ac:dyDescent="0.2">
      <c r="H520" s="15"/>
      <c r="I520" s="15"/>
      <c r="J520" s="15"/>
      <c r="K520" s="15"/>
      <c r="L520" s="15"/>
      <c r="M520" s="15"/>
      <c r="N520" s="15"/>
    </row>
    <row r="521" spans="8:14" x14ac:dyDescent="0.2">
      <c r="H521" s="15"/>
      <c r="I521" s="15"/>
      <c r="J521" s="15"/>
      <c r="K521" s="15"/>
      <c r="L521" s="15"/>
      <c r="M521" s="15"/>
      <c r="N521" s="15"/>
    </row>
    <row r="522" spans="8:14" x14ac:dyDescent="0.2">
      <c r="H522" s="15"/>
      <c r="I522" s="15"/>
      <c r="J522" s="15"/>
      <c r="K522" s="15"/>
      <c r="L522" s="15"/>
      <c r="M522" s="15"/>
      <c r="N522" s="15"/>
    </row>
    <row r="523" spans="8:14" x14ac:dyDescent="0.2">
      <c r="H523" s="15"/>
      <c r="I523" s="15"/>
      <c r="J523" s="15"/>
      <c r="K523" s="15"/>
      <c r="L523" s="15"/>
      <c r="M523" s="15"/>
      <c r="N523" s="15"/>
    </row>
    <row r="524" spans="8:14" x14ac:dyDescent="0.2">
      <c r="H524" s="15"/>
      <c r="I524" s="15"/>
      <c r="J524" s="15"/>
      <c r="K524" s="15"/>
      <c r="L524" s="15"/>
      <c r="M524" s="15"/>
      <c r="N524" s="15"/>
    </row>
    <row r="525" spans="8:14" x14ac:dyDescent="0.2">
      <c r="H525" s="15"/>
      <c r="I525" s="15"/>
      <c r="J525" s="15"/>
      <c r="K525" s="15"/>
      <c r="L525" s="15"/>
      <c r="M525" s="15"/>
      <c r="N525" s="15"/>
    </row>
    <row r="526" spans="8:14" x14ac:dyDescent="0.2">
      <c r="H526" s="15"/>
      <c r="I526" s="15"/>
      <c r="J526" s="15"/>
      <c r="K526" s="15"/>
      <c r="L526" s="15"/>
      <c r="M526" s="15"/>
      <c r="N526" s="15"/>
    </row>
    <row r="527" spans="8:14" x14ac:dyDescent="0.2">
      <c r="H527" s="15"/>
      <c r="I527" s="15"/>
      <c r="J527" s="15"/>
      <c r="K527" s="15"/>
      <c r="L527" s="15"/>
      <c r="M527" s="15"/>
      <c r="N527" s="15"/>
    </row>
    <row r="528" spans="8:14" x14ac:dyDescent="0.2">
      <c r="H528" s="15"/>
      <c r="I528" s="15"/>
      <c r="J528" s="15"/>
      <c r="K528" s="15"/>
      <c r="L528" s="15"/>
      <c r="M528" s="15"/>
      <c r="N528" s="15"/>
    </row>
    <row r="529" spans="8:14" x14ac:dyDescent="0.2">
      <c r="H529" s="15"/>
      <c r="I529" s="15"/>
      <c r="J529" s="15"/>
      <c r="K529" s="15"/>
      <c r="L529" s="15"/>
      <c r="M529" s="15"/>
      <c r="N529" s="15"/>
    </row>
    <row r="530" spans="8:14" x14ac:dyDescent="0.2">
      <c r="H530" s="15"/>
      <c r="I530" s="15"/>
      <c r="J530" s="15"/>
      <c r="K530" s="15"/>
      <c r="L530" s="15"/>
      <c r="M530" s="15"/>
      <c r="N530" s="15"/>
    </row>
    <row r="531" spans="8:14" x14ac:dyDescent="0.2">
      <c r="H531" s="15"/>
      <c r="I531" s="15"/>
      <c r="J531" s="15"/>
      <c r="K531" s="15"/>
      <c r="L531" s="15"/>
      <c r="M531" s="15"/>
      <c r="N531" s="15"/>
    </row>
    <row r="532" spans="8:14" x14ac:dyDescent="0.2">
      <c r="H532" s="15"/>
      <c r="I532" s="15"/>
      <c r="J532" s="15"/>
      <c r="K532" s="15"/>
      <c r="L532" s="15"/>
      <c r="M532" s="15"/>
      <c r="N532" s="15"/>
    </row>
    <row r="533" spans="8:14" x14ac:dyDescent="0.2">
      <c r="H533" s="15"/>
      <c r="I533" s="15"/>
      <c r="J533" s="15"/>
      <c r="K533" s="15"/>
      <c r="L533" s="15"/>
      <c r="M533" s="15"/>
      <c r="N533" s="15"/>
    </row>
    <row r="534" spans="8:14" x14ac:dyDescent="0.2">
      <c r="H534" s="15"/>
      <c r="I534" s="15"/>
      <c r="J534" s="15"/>
      <c r="K534" s="15"/>
      <c r="L534" s="15"/>
      <c r="M534" s="15"/>
      <c r="N534" s="15"/>
    </row>
    <row r="535" spans="8:14" x14ac:dyDescent="0.2">
      <c r="H535" s="15"/>
      <c r="I535" s="15"/>
      <c r="J535" s="15"/>
      <c r="K535" s="15"/>
      <c r="L535" s="15"/>
      <c r="M535" s="15"/>
      <c r="N535" s="15"/>
    </row>
    <row r="536" spans="8:14" x14ac:dyDescent="0.2">
      <c r="H536" s="15"/>
      <c r="I536" s="15"/>
      <c r="J536" s="15"/>
      <c r="K536" s="15"/>
      <c r="L536" s="15"/>
      <c r="M536" s="15"/>
      <c r="N536" s="15"/>
    </row>
    <row r="537" spans="8:14" x14ac:dyDescent="0.2">
      <c r="H537" s="15"/>
      <c r="I537" s="15"/>
      <c r="J537" s="15"/>
      <c r="K537" s="15"/>
      <c r="L537" s="15"/>
      <c r="M537" s="15"/>
      <c r="N537" s="15"/>
    </row>
    <row r="538" spans="8:14" x14ac:dyDescent="0.2">
      <c r="H538" s="15"/>
      <c r="I538" s="15"/>
      <c r="J538" s="15"/>
      <c r="K538" s="15"/>
      <c r="L538" s="15"/>
      <c r="M538" s="15"/>
      <c r="N538" s="15"/>
    </row>
    <row r="539" spans="8:14" x14ac:dyDescent="0.2">
      <c r="H539" s="15"/>
      <c r="I539" s="15"/>
      <c r="J539" s="15"/>
      <c r="K539" s="15"/>
      <c r="L539" s="15"/>
      <c r="M539" s="15"/>
      <c r="N539" s="15"/>
    </row>
    <row r="540" spans="8:14" x14ac:dyDescent="0.2">
      <c r="H540" s="15"/>
      <c r="I540" s="15"/>
      <c r="J540" s="15"/>
      <c r="K540" s="15"/>
      <c r="L540" s="15"/>
      <c r="M540" s="15"/>
      <c r="N540" s="15"/>
    </row>
    <row r="541" spans="8:14" x14ac:dyDescent="0.2">
      <c r="H541" s="15"/>
      <c r="I541" s="15"/>
      <c r="J541" s="15"/>
      <c r="K541" s="15"/>
      <c r="L541" s="15"/>
      <c r="M541" s="15"/>
      <c r="N541" s="15"/>
    </row>
    <row r="542" spans="8:14" x14ac:dyDescent="0.2">
      <c r="H542" s="15"/>
      <c r="I542" s="15"/>
      <c r="J542" s="15"/>
      <c r="K542" s="15"/>
      <c r="L542" s="15"/>
      <c r="M542" s="15"/>
      <c r="N542" s="15"/>
    </row>
    <row r="543" spans="8:14" x14ac:dyDescent="0.2">
      <c r="H543" s="15"/>
      <c r="I543" s="15"/>
      <c r="J543" s="15"/>
      <c r="K543" s="15"/>
      <c r="L543" s="15"/>
      <c r="M543" s="15"/>
      <c r="N543" s="15"/>
    </row>
    <row r="544" spans="8:14" x14ac:dyDescent="0.2">
      <c r="H544" s="15"/>
      <c r="I544" s="15"/>
      <c r="J544" s="15"/>
      <c r="K544" s="15"/>
      <c r="L544" s="15"/>
      <c r="M544" s="15"/>
      <c r="N544" s="15"/>
    </row>
    <row r="545" spans="8:14" x14ac:dyDescent="0.2">
      <c r="H545" s="15"/>
      <c r="I545" s="15"/>
      <c r="J545" s="15"/>
      <c r="K545" s="15"/>
      <c r="L545" s="15"/>
      <c r="M545" s="15"/>
      <c r="N545" s="15"/>
    </row>
    <row r="546" spans="8:14" x14ac:dyDescent="0.2">
      <c r="H546" s="15"/>
      <c r="I546" s="15"/>
      <c r="J546" s="15"/>
      <c r="K546" s="15"/>
      <c r="L546" s="15"/>
      <c r="M546" s="15"/>
      <c r="N546" s="15"/>
    </row>
    <row r="547" spans="8:14" x14ac:dyDescent="0.2">
      <c r="H547" s="15"/>
      <c r="I547" s="15"/>
      <c r="J547" s="15"/>
      <c r="K547" s="15"/>
      <c r="L547" s="15"/>
      <c r="M547" s="15"/>
      <c r="N547" s="15"/>
    </row>
    <row r="548" spans="8:14" x14ac:dyDescent="0.2">
      <c r="H548" s="15"/>
      <c r="I548" s="15"/>
      <c r="J548" s="15"/>
      <c r="K548" s="15"/>
      <c r="L548" s="15"/>
      <c r="M548" s="15"/>
      <c r="N548" s="15"/>
    </row>
    <row r="549" spans="8:14" x14ac:dyDescent="0.2">
      <c r="H549" s="15"/>
      <c r="I549" s="15"/>
      <c r="J549" s="15"/>
      <c r="K549" s="15"/>
      <c r="L549" s="15"/>
      <c r="M549" s="15"/>
      <c r="N549" s="15"/>
    </row>
    <row r="550" spans="8:14" x14ac:dyDescent="0.2">
      <c r="H550" s="15"/>
      <c r="I550" s="15"/>
      <c r="J550" s="15"/>
      <c r="K550" s="15"/>
      <c r="L550" s="15"/>
      <c r="M550" s="15"/>
      <c r="N550" s="15"/>
    </row>
    <row r="551" spans="8:14" x14ac:dyDescent="0.2">
      <c r="H551" s="15"/>
      <c r="I551" s="15"/>
      <c r="J551" s="15"/>
      <c r="K551" s="15"/>
      <c r="L551" s="15"/>
      <c r="M551" s="15"/>
      <c r="N551" s="15"/>
    </row>
    <row r="552" spans="8:14" x14ac:dyDescent="0.2">
      <c r="H552" s="15"/>
      <c r="I552" s="15"/>
      <c r="J552" s="15"/>
      <c r="K552" s="15"/>
      <c r="L552" s="15"/>
      <c r="M552" s="15"/>
      <c r="N552" s="15"/>
    </row>
    <row r="553" spans="8:14" x14ac:dyDescent="0.2">
      <c r="H553" s="15"/>
      <c r="I553" s="15"/>
      <c r="J553" s="15"/>
      <c r="K553" s="15"/>
      <c r="L553" s="15"/>
      <c r="M553" s="15"/>
      <c r="N553" s="15"/>
    </row>
    <row r="554" spans="8:14" x14ac:dyDescent="0.2">
      <c r="H554" s="15"/>
      <c r="I554" s="15"/>
      <c r="J554" s="15"/>
      <c r="K554" s="15"/>
      <c r="L554" s="15"/>
      <c r="M554" s="15"/>
      <c r="N554" s="15"/>
    </row>
    <row r="555" spans="8:14" x14ac:dyDescent="0.2">
      <c r="H555" s="15"/>
      <c r="I555" s="15"/>
      <c r="J555" s="15"/>
      <c r="K555" s="15"/>
      <c r="L555" s="15"/>
      <c r="M555" s="15"/>
      <c r="N555" s="15"/>
    </row>
    <row r="556" spans="8:14" x14ac:dyDescent="0.2">
      <c r="H556" s="15"/>
      <c r="I556" s="15"/>
      <c r="J556" s="15"/>
      <c r="K556" s="15"/>
      <c r="L556" s="15"/>
      <c r="M556" s="15"/>
      <c r="N556" s="15"/>
    </row>
    <row r="557" spans="8:14" x14ac:dyDescent="0.2">
      <c r="H557" s="15"/>
      <c r="I557" s="15"/>
      <c r="J557" s="15"/>
      <c r="K557" s="15"/>
      <c r="L557" s="15"/>
      <c r="M557" s="15"/>
      <c r="N557" s="15"/>
    </row>
    <row r="558" spans="8:14" x14ac:dyDescent="0.2">
      <c r="H558" s="15"/>
      <c r="I558" s="15"/>
      <c r="J558" s="15"/>
      <c r="K558" s="15"/>
      <c r="L558" s="15"/>
      <c r="M558" s="15"/>
      <c r="N558" s="15"/>
    </row>
    <row r="559" spans="8:14" x14ac:dyDescent="0.2">
      <c r="H559" s="15"/>
      <c r="I559" s="15"/>
      <c r="J559" s="15"/>
      <c r="K559" s="15"/>
      <c r="L559" s="15"/>
      <c r="M559" s="15"/>
      <c r="N559" s="15"/>
    </row>
    <row r="560" spans="8:14" x14ac:dyDescent="0.2">
      <c r="H560" s="15"/>
      <c r="I560" s="15"/>
      <c r="J560" s="15"/>
      <c r="K560" s="15"/>
      <c r="L560" s="15"/>
      <c r="M560" s="15"/>
      <c r="N560" s="15"/>
    </row>
    <row r="561" spans="8:14" x14ac:dyDescent="0.2">
      <c r="H561" s="15"/>
      <c r="I561" s="15"/>
      <c r="J561" s="15"/>
      <c r="K561" s="15"/>
      <c r="L561" s="15"/>
      <c r="M561" s="15"/>
      <c r="N561" s="15"/>
    </row>
    <row r="562" spans="8:14" x14ac:dyDescent="0.2">
      <c r="H562" s="15"/>
      <c r="I562" s="15"/>
      <c r="J562" s="15"/>
      <c r="K562" s="15"/>
      <c r="L562" s="15"/>
      <c r="M562" s="15"/>
      <c r="N562" s="15"/>
    </row>
    <row r="563" spans="8:14" x14ac:dyDescent="0.2">
      <c r="H563" s="15"/>
      <c r="I563" s="15"/>
      <c r="J563" s="15"/>
      <c r="K563" s="15"/>
      <c r="L563" s="15"/>
      <c r="M563" s="15"/>
      <c r="N563" s="15"/>
    </row>
    <row r="564" spans="8:14" x14ac:dyDescent="0.2">
      <c r="H564" s="15"/>
      <c r="I564" s="15"/>
      <c r="J564" s="15"/>
      <c r="K564" s="15"/>
      <c r="L564" s="15"/>
      <c r="M564" s="15"/>
      <c r="N564" s="15"/>
    </row>
    <row r="565" spans="8:14" x14ac:dyDescent="0.2">
      <c r="H565" s="15"/>
      <c r="I565" s="15"/>
      <c r="J565" s="15"/>
      <c r="K565" s="15"/>
      <c r="L565" s="15"/>
      <c r="M565" s="15"/>
      <c r="N565" s="15"/>
    </row>
    <row r="566" spans="8:14" x14ac:dyDescent="0.2">
      <c r="H566" s="15"/>
      <c r="I566" s="15"/>
      <c r="J566" s="15"/>
      <c r="K566" s="15"/>
      <c r="L566" s="15"/>
      <c r="M566" s="15"/>
      <c r="N566" s="15"/>
    </row>
    <row r="567" spans="8:14" x14ac:dyDescent="0.2">
      <c r="H567" s="15"/>
      <c r="I567" s="15"/>
      <c r="J567" s="15"/>
      <c r="K567" s="15"/>
      <c r="L567" s="15"/>
      <c r="M567" s="15"/>
      <c r="N567" s="15"/>
    </row>
    <row r="568" spans="8:14" x14ac:dyDescent="0.2">
      <c r="H568" s="15"/>
      <c r="I568" s="15"/>
      <c r="J568" s="15"/>
      <c r="K568" s="15"/>
      <c r="L568" s="15"/>
      <c r="M568" s="15"/>
      <c r="N568" s="15"/>
    </row>
    <row r="569" spans="8:14" x14ac:dyDescent="0.2">
      <c r="H569" s="15"/>
      <c r="I569" s="15"/>
      <c r="J569" s="15"/>
      <c r="K569" s="15"/>
      <c r="L569" s="15"/>
      <c r="M569" s="15"/>
      <c r="N569" s="15"/>
    </row>
    <row r="570" spans="8:14" x14ac:dyDescent="0.2">
      <c r="H570" s="15"/>
      <c r="I570" s="15"/>
      <c r="J570" s="15"/>
      <c r="K570" s="15"/>
      <c r="L570" s="15"/>
      <c r="M570" s="15"/>
      <c r="N570" s="15"/>
    </row>
    <row r="571" spans="8:14" x14ac:dyDescent="0.2">
      <c r="H571" s="15"/>
      <c r="I571" s="15"/>
      <c r="J571" s="15"/>
      <c r="K571" s="15"/>
      <c r="L571" s="15"/>
      <c r="M571" s="15"/>
      <c r="N571" s="15"/>
    </row>
    <row r="572" spans="8:14" x14ac:dyDescent="0.2">
      <c r="H572" s="15"/>
      <c r="I572" s="15"/>
      <c r="J572" s="15"/>
      <c r="K572" s="15"/>
      <c r="L572" s="15"/>
      <c r="M572" s="15"/>
      <c r="N572" s="15"/>
    </row>
    <row r="573" spans="8:14" x14ac:dyDescent="0.2">
      <c r="H573" s="15"/>
      <c r="I573" s="15"/>
      <c r="J573" s="15"/>
      <c r="K573" s="15"/>
      <c r="L573" s="15"/>
      <c r="M573" s="15"/>
      <c r="N573" s="15"/>
    </row>
    <row r="574" spans="8:14" x14ac:dyDescent="0.2">
      <c r="H574" s="15"/>
      <c r="I574" s="15"/>
      <c r="J574" s="15"/>
      <c r="K574" s="15"/>
      <c r="L574" s="15"/>
      <c r="M574" s="15"/>
      <c r="N574" s="15"/>
    </row>
    <row r="575" spans="8:14" x14ac:dyDescent="0.2">
      <c r="H575" s="15"/>
      <c r="I575" s="15"/>
      <c r="J575" s="15"/>
      <c r="K575" s="15"/>
      <c r="L575" s="15"/>
      <c r="M575" s="15"/>
      <c r="N575" s="15"/>
    </row>
    <row r="576" spans="8:14" x14ac:dyDescent="0.2">
      <c r="H576" s="15"/>
      <c r="I576" s="15"/>
      <c r="J576" s="15"/>
      <c r="K576" s="15"/>
      <c r="L576" s="15"/>
      <c r="M576" s="15"/>
      <c r="N576" s="15"/>
    </row>
    <row r="577" spans="8:14" x14ac:dyDescent="0.2">
      <c r="H577" s="15"/>
      <c r="I577" s="15"/>
      <c r="J577" s="15"/>
      <c r="K577" s="15"/>
      <c r="L577" s="15"/>
      <c r="M577" s="15"/>
      <c r="N577" s="15"/>
    </row>
    <row r="578" spans="8:14" x14ac:dyDescent="0.2">
      <c r="H578" s="15"/>
      <c r="I578" s="15"/>
      <c r="J578" s="15"/>
      <c r="K578" s="15"/>
      <c r="L578" s="15"/>
      <c r="M578" s="15"/>
      <c r="N578" s="15"/>
    </row>
    <row r="579" spans="8:14" x14ac:dyDescent="0.2">
      <c r="H579" s="15"/>
      <c r="I579" s="15"/>
      <c r="J579" s="15"/>
      <c r="K579" s="15"/>
      <c r="L579" s="15"/>
      <c r="M579" s="15"/>
      <c r="N579" s="15"/>
    </row>
    <row r="580" spans="8:14" x14ac:dyDescent="0.2">
      <c r="H580" s="15"/>
      <c r="I580" s="15"/>
      <c r="J580" s="15"/>
      <c r="K580" s="15"/>
      <c r="L580" s="15"/>
      <c r="M580" s="15"/>
      <c r="N580" s="15"/>
    </row>
    <row r="581" spans="8:14" x14ac:dyDescent="0.2">
      <c r="H581" s="15"/>
      <c r="I581" s="15"/>
      <c r="J581" s="15"/>
      <c r="K581" s="15"/>
      <c r="L581" s="15"/>
      <c r="M581" s="15"/>
      <c r="N581" s="15"/>
    </row>
    <row r="582" spans="8:14" x14ac:dyDescent="0.2">
      <c r="H582" s="15"/>
      <c r="I582" s="15"/>
      <c r="J582" s="15"/>
      <c r="K582" s="15"/>
      <c r="L582" s="15"/>
      <c r="M582" s="15"/>
      <c r="N582" s="15"/>
    </row>
    <row r="583" spans="8:14" x14ac:dyDescent="0.2">
      <c r="H583" s="15"/>
      <c r="I583" s="15"/>
      <c r="J583" s="15"/>
      <c r="K583" s="15"/>
      <c r="L583" s="15"/>
      <c r="M583" s="15"/>
      <c r="N583" s="15"/>
    </row>
    <row r="584" spans="8:14" x14ac:dyDescent="0.2">
      <c r="H584" s="15"/>
      <c r="I584" s="15"/>
      <c r="J584" s="15"/>
      <c r="K584" s="15"/>
      <c r="L584" s="15"/>
      <c r="M584" s="15"/>
      <c r="N584" s="15"/>
    </row>
    <row r="585" spans="8:14" x14ac:dyDescent="0.2">
      <c r="H585" s="15"/>
      <c r="I585" s="15"/>
      <c r="J585" s="15"/>
      <c r="K585" s="15"/>
      <c r="L585" s="15"/>
      <c r="M585" s="15"/>
      <c r="N585" s="15"/>
    </row>
    <row r="586" spans="8:14" x14ac:dyDescent="0.2">
      <c r="H586" s="15"/>
      <c r="I586" s="15"/>
      <c r="J586" s="15"/>
      <c r="K586" s="15"/>
      <c r="L586" s="15"/>
      <c r="M586" s="15"/>
      <c r="N586" s="15"/>
    </row>
    <row r="587" spans="8:14" x14ac:dyDescent="0.2">
      <c r="H587" s="15"/>
      <c r="I587" s="15"/>
      <c r="J587" s="15"/>
      <c r="K587" s="15"/>
      <c r="L587" s="15"/>
      <c r="M587" s="15"/>
      <c r="N587" s="15"/>
    </row>
    <row r="588" spans="8:14" x14ac:dyDescent="0.2">
      <c r="H588" s="15"/>
      <c r="I588" s="15"/>
      <c r="J588" s="15"/>
      <c r="K588" s="15"/>
      <c r="L588" s="15"/>
      <c r="M588" s="15"/>
      <c r="N588" s="15"/>
    </row>
    <row r="589" spans="8:14" x14ac:dyDescent="0.2">
      <c r="H589" s="15"/>
      <c r="I589" s="15"/>
      <c r="J589" s="15"/>
      <c r="K589" s="15"/>
      <c r="L589" s="15"/>
      <c r="M589" s="15"/>
      <c r="N589" s="15"/>
    </row>
    <row r="590" spans="8:14" x14ac:dyDescent="0.2">
      <c r="H590" s="15"/>
      <c r="I590" s="15"/>
      <c r="J590" s="15"/>
      <c r="K590" s="15"/>
      <c r="L590" s="15"/>
      <c r="M590" s="15"/>
      <c r="N590" s="15"/>
    </row>
    <row r="591" spans="8:14" x14ac:dyDescent="0.2">
      <c r="H591" s="15"/>
      <c r="I591" s="15"/>
      <c r="J591" s="15"/>
      <c r="K591" s="15"/>
      <c r="L591" s="15"/>
      <c r="M591" s="15"/>
      <c r="N591" s="15"/>
    </row>
    <row r="592" spans="8:14" x14ac:dyDescent="0.2">
      <c r="H592" s="15"/>
      <c r="I592" s="15"/>
      <c r="J592" s="15"/>
      <c r="K592" s="15"/>
      <c r="L592" s="15"/>
      <c r="M592" s="15"/>
      <c r="N592" s="15"/>
    </row>
    <row r="593" spans="8:14" x14ac:dyDescent="0.2">
      <c r="H593" s="15"/>
      <c r="I593" s="15"/>
      <c r="J593" s="15"/>
      <c r="K593" s="15"/>
      <c r="L593" s="15"/>
      <c r="M593" s="15"/>
      <c r="N593" s="15"/>
    </row>
    <row r="594" spans="8:14" x14ac:dyDescent="0.2">
      <c r="H594" s="15"/>
      <c r="I594" s="15"/>
      <c r="J594" s="15"/>
      <c r="K594" s="15"/>
      <c r="L594" s="15"/>
      <c r="M594" s="15"/>
      <c r="N594" s="15"/>
    </row>
    <row r="595" spans="8:14" x14ac:dyDescent="0.2">
      <c r="H595" s="15"/>
      <c r="I595" s="15"/>
      <c r="J595" s="15"/>
      <c r="K595" s="15"/>
      <c r="L595" s="15"/>
      <c r="M595" s="15"/>
      <c r="N595" s="15"/>
    </row>
    <row r="596" spans="8:14" x14ac:dyDescent="0.2">
      <c r="H596" s="15"/>
      <c r="I596" s="15"/>
      <c r="J596" s="15"/>
      <c r="K596" s="15"/>
      <c r="L596" s="15"/>
      <c r="M596" s="15"/>
      <c r="N596" s="15"/>
    </row>
    <row r="597" spans="8:14" x14ac:dyDescent="0.2">
      <c r="H597" s="15"/>
      <c r="I597" s="15"/>
      <c r="J597" s="15"/>
      <c r="K597" s="15"/>
      <c r="L597" s="15"/>
      <c r="M597" s="15"/>
      <c r="N597" s="15"/>
    </row>
    <row r="598" spans="8:14" x14ac:dyDescent="0.2">
      <c r="H598" s="15"/>
      <c r="I598" s="15"/>
      <c r="J598" s="15"/>
      <c r="K598" s="15"/>
      <c r="L598" s="15"/>
      <c r="M598" s="15"/>
      <c r="N598" s="15"/>
    </row>
    <row r="599" spans="8:14" x14ac:dyDescent="0.2">
      <c r="H599" s="15"/>
      <c r="I599" s="15"/>
      <c r="J599" s="15"/>
      <c r="K599" s="15"/>
      <c r="L599" s="15"/>
      <c r="M599" s="15"/>
      <c r="N599" s="15"/>
    </row>
    <row r="600" spans="8:14" x14ac:dyDescent="0.2">
      <c r="H600" s="15"/>
      <c r="I600" s="15"/>
      <c r="J600" s="15"/>
      <c r="K600" s="15"/>
      <c r="L600" s="15"/>
      <c r="M600" s="15"/>
      <c r="N600" s="15"/>
    </row>
    <row r="601" spans="8:14" x14ac:dyDescent="0.2">
      <c r="H601" s="15"/>
      <c r="I601" s="15"/>
      <c r="J601" s="15"/>
      <c r="K601" s="15"/>
      <c r="L601" s="15"/>
      <c r="M601" s="15"/>
      <c r="N601" s="15"/>
    </row>
    <row r="602" spans="8:14" x14ac:dyDescent="0.2">
      <c r="H602" s="15"/>
      <c r="I602" s="15"/>
      <c r="J602" s="15"/>
      <c r="K602" s="15"/>
      <c r="L602" s="15"/>
      <c r="M602" s="15"/>
      <c r="N602" s="15"/>
    </row>
    <row r="603" spans="8:14" x14ac:dyDescent="0.2">
      <c r="H603" s="15"/>
      <c r="I603" s="15"/>
      <c r="J603" s="15"/>
      <c r="K603" s="15"/>
      <c r="L603" s="15"/>
      <c r="M603" s="15"/>
      <c r="N603" s="15"/>
    </row>
    <row r="604" spans="8:14" x14ac:dyDescent="0.2">
      <c r="H604" s="15"/>
      <c r="I604" s="15"/>
      <c r="J604" s="15"/>
      <c r="K604" s="15"/>
      <c r="L604" s="15"/>
      <c r="M604" s="15"/>
      <c r="N604" s="15"/>
    </row>
    <row r="605" spans="8:14" x14ac:dyDescent="0.2">
      <c r="H605" s="15"/>
      <c r="I605" s="15"/>
      <c r="J605" s="15"/>
      <c r="K605" s="15"/>
      <c r="L605" s="15"/>
      <c r="M605" s="15"/>
      <c r="N605" s="15"/>
    </row>
    <row r="606" spans="8:14" x14ac:dyDescent="0.2">
      <c r="H606" s="15"/>
      <c r="I606" s="15"/>
      <c r="J606" s="15"/>
      <c r="K606" s="15"/>
      <c r="L606" s="15"/>
      <c r="M606" s="15"/>
      <c r="N606" s="15"/>
    </row>
    <row r="607" spans="8:14" x14ac:dyDescent="0.2">
      <c r="H607" s="15"/>
      <c r="I607" s="15"/>
      <c r="J607" s="15"/>
      <c r="K607" s="15"/>
      <c r="L607" s="15"/>
      <c r="M607" s="15"/>
      <c r="N607" s="15"/>
    </row>
    <row r="608" spans="8:14" x14ac:dyDescent="0.2">
      <c r="H608" s="15"/>
      <c r="I608" s="15"/>
      <c r="J608" s="15"/>
      <c r="K608" s="15"/>
      <c r="L608" s="15"/>
      <c r="M608" s="15"/>
      <c r="N608" s="15"/>
    </row>
    <row r="609" spans="8:14" x14ac:dyDescent="0.2">
      <c r="H609" s="15"/>
      <c r="I609" s="15"/>
      <c r="J609" s="15"/>
      <c r="K609" s="15"/>
      <c r="L609" s="15"/>
      <c r="M609" s="15"/>
      <c r="N609" s="15"/>
    </row>
    <row r="610" spans="8:14" x14ac:dyDescent="0.2">
      <c r="H610" s="15"/>
      <c r="I610" s="15"/>
      <c r="J610" s="15"/>
      <c r="K610" s="15"/>
      <c r="L610" s="15"/>
      <c r="M610" s="15"/>
      <c r="N610" s="15"/>
    </row>
    <row r="611" spans="8:14" x14ac:dyDescent="0.2">
      <c r="H611" s="15"/>
      <c r="I611" s="15"/>
      <c r="J611" s="15"/>
      <c r="K611" s="15"/>
      <c r="L611" s="15"/>
      <c r="M611" s="15"/>
      <c r="N611" s="15"/>
    </row>
    <row r="612" spans="8:14" x14ac:dyDescent="0.2">
      <c r="H612" s="15"/>
      <c r="I612" s="15"/>
      <c r="J612" s="15"/>
      <c r="K612" s="15"/>
      <c r="L612" s="15"/>
      <c r="M612" s="15"/>
      <c r="N612" s="15"/>
    </row>
    <row r="613" spans="8:14" x14ac:dyDescent="0.2">
      <c r="H613" s="15"/>
      <c r="I613" s="15"/>
      <c r="J613" s="15"/>
      <c r="K613" s="15"/>
      <c r="L613" s="15"/>
      <c r="M613" s="15"/>
      <c r="N613" s="15"/>
    </row>
    <row r="614" spans="8:14" x14ac:dyDescent="0.2">
      <c r="H614" s="15"/>
      <c r="I614" s="15"/>
      <c r="J614" s="15"/>
      <c r="K614" s="15"/>
      <c r="L614" s="15"/>
      <c r="M614" s="15"/>
      <c r="N614" s="15"/>
    </row>
    <row r="615" spans="8:14" x14ac:dyDescent="0.2">
      <c r="H615" s="15"/>
      <c r="I615" s="15"/>
      <c r="J615" s="15"/>
      <c r="K615" s="15"/>
      <c r="L615" s="15"/>
      <c r="M615" s="15"/>
      <c r="N615" s="15"/>
    </row>
    <row r="616" spans="8:14" x14ac:dyDescent="0.2">
      <c r="H616" s="15"/>
      <c r="I616" s="15"/>
      <c r="J616" s="15"/>
      <c r="K616" s="15"/>
      <c r="L616" s="15"/>
      <c r="M616" s="15"/>
      <c r="N616" s="15"/>
    </row>
    <row r="617" spans="8:14" x14ac:dyDescent="0.2">
      <c r="H617" s="15"/>
      <c r="I617" s="15"/>
      <c r="J617" s="15"/>
      <c r="K617" s="15"/>
      <c r="L617" s="15"/>
      <c r="M617" s="15"/>
      <c r="N617" s="15"/>
    </row>
    <row r="618" spans="8:14" x14ac:dyDescent="0.2">
      <c r="H618" s="15"/>
      <c r="I618" s="15"/>
      <c r="J618" s="15"/>
      <c r="K618" s="15"/>
      <c r="L618" s="15"/>
      <c r="M618" s="15"/>
      <c r="N618" s="15"/>
    </row>
    <row r="619" spans="8:14" x14ac:dyDescent="0.2">
      <c r="H619" s="15"/>
      <c r="I619" s="15"/>
      <c r="J619" s="15"/>
      <c r="K619" s="15"/>
      <c r="L619" s="15"/>
      <c r="M619" s="15"/>
      <c r="N619" s="15"/>
    </row>
    <row r="620" spans="8:14" x14ac:dyDescent="0.2">
      <c r="H620" s="15"/>
      <c r="I620" s="15"/>
      <c r="J620" s="15"/>
      <c r="K620" s="15"/>
      <c r="L620" s="15"/>
      <c r="M620" s="15"/>
      <c r="N620" s="15"/>
    </row>
    <row r="621" spans="8:14" x14ac:dyDescent="0.2">
      <c r="H621" s="15"/>
      <c r="I621" s="15"/>
      <c r="J621" s="15"/>
      <c r="K621" s="15"/>
      <c r="L621" s="15"/>
      <c r="M621" s="15"/>
      <c r="N621" s="15"/>
    </row>
    <row r="622" spans="8:14" x14ac:dyDescent="0.2">
      <c r="H622" s="15"/>
      <c r="I622" s="15"/>
      <c r="J622" s="15"/>
      <c r="K622" s="15"/>
      <c r="L622" s="15"/>
      <c r="M622" s="15"/>
      <c r="N622" s="15"/>
    </row>
    <row r="623" spans="8:14" x14ac:dyDescent="0.2">
      <c r="H623" s="15"/>
      <c r="I623" s="15"/>
      <c r="J623" s="15"/>
      <c r="K623" s="15"/>
      <c r="L623" s="15"/>
      <c r="M623" s="15"/>
      <c r="N623" s="15"/>
    </row>
    <row r="624" spans="8:14" x14ac:dyDescent="0.2">
      <c r="H624" s="15"/>
      <c r="I624" s="15"/>
      <c r="J624" s="15"/>
      <c r="K624" s="15"/>
      <c r="L624" s="15"/>
      <c r="M624" s="15"/>
      <c r="N624" s="15"/>
    </row>
    <row r="625" spans="8:14" x14ac:dyDescent="0.2">
      <c r="H625" s="15"/>
      <c r="I625" s="15"/>
      <c r="J625" s="15"/>
      <c r="K625" s="15"/>
      <c r="L625" s="15"/>
      <c r="M625" s="15"/>
      <c r="N625" s="15"/>
    </row>
    <row r="626" spans="8:14" x14ac:dyDescent="0.2">
      <c r="H626" s="15"/>
      <c r="I626" s="15"/>
      <c r="J626" s="15"/>
      <c r="K626" s="15"/>
      <c r="L626" s="15"/>
      <c r="M626" s="15"/>
      <c r="N626" s="15"/>
    </row>
    <row r="627" spans="8:14" x14ac:dyDescent="0.2">
      <c r="H627" s="15"/>
      <c r="I627" s="15"/>
      <c r="J627" s="15"/>
      <c r="K627" s="15"/>
      <c r="L627" s="15"/>
      <c r="M627" s="15"/>
      <c r="N627" s="15"/>
    </row>
    <row r="628" spans="8:14" x14ac:dyDescent="0.2">
      <c r="H628" s="15"/>
      <c r="I628" s="15"/>
      <c r="J628" s="15"/>
      <c r="K628" s="15"/>
      <c r="L628" s="15"/>
      <c r="M628" s="15"/>
      <c r="N628" s="15"/>
    </row>
    <row r="629" spans="8:14" x14ac:dyDescent="0.2">
      <c r="H629" s="15"/>
      <c r="I629" s="15"/>
      <c r="J629" s="15"/>
      <c r="K629" s="15"/>
      <c r="L629" s="15"/>
      <c r="M629" s="15"/>
      <c r="N629" s="15"/>
    </row>
    <row r="630" spans="8:14" x14ac:dyDescent="0.2">
      <c r="H630" s="15"/>
      <c r="I630" s="15"/>
      <c r="J630" s="15"/>
      <c r="K630" s="15"/>
      <c r="L630" s="15"/>
      <c r="M630" s="15"/>
      <c r="N630" s="15"/>
    </row>
    <row r="631" spans="8:14" x14ac:dyDescent="0.2">
      <c r="H631" s="15"/>
      <c r="I631" s="15"/>
      <c r="J631" s="15"/>
      <c r="K631" s="15"/>
      <c r="L631" s="15"/>
      <c r="M631" s="15"/>
      <c r="N631" s="15"/>
    </row>
    <row r="632" spans="8:14" x14ac:dyDescent="0.2">
      <c r="H632" s="15"/>
      <c r="I632" s="15"/>
      <c r="J632" s="15"/>
      <c r="K632" s="15"/>
      <c r="L632" s="15"/>
      <c r="M632" s="15"/>
      <c r="N632" s="15"/>
    </row>
    <row r="633" spans="8:14" x14ac:dyDescent="0.2">
      <c r="H633" s="15"/>
      <c r="I633" s="15"/>
      <c r="J633" s="15"/>
      <c r="K633" s="15"/>
      <c r="L633" s="15"/>
      <c r="M633" s="15"/>
      <c r="N633" s="15"/>
    </row>
    <row r="634" spans="8:14" x14ac:dyDescent="0.2">
      <c r="H634" s="15"/>
      <c r="I634" s="15"/>
      <c r="J634" s="15"/>
      <c r="K634" s="15"/>
      <c r="L634" s="15"/>
      <c r="M634" s="15"/>
      <c r="N634" s="15"/>
    </row>
    <row r="635" spans="8:14" x14ac:dyDescent="0.2">
      <c r="H635" s="15"/>
      <c r="I635" s="15"/>
      <c r="J635" s="15"/>
      <c r="K635" s="15"/>
      <c r="L635" s="15"/>
      <c r="M635" s="15"/>
      <c r="N635" s="15"/>
    </row>
    <row r="636" spans="8:14" x14ac:dyDescent="0.2">
      <c r="H636" s="15"/>
      <c r="I636" s="15"/>
      <c r="J636" s="15"/>
      <c r="K636" s="15"/>
      <c r="L636" s="15"/>
      <c r="M636" s="15"/>
      <c r="N636" s="15"/>
    </row>
    <row r="637" spans="8:14" x14ac:dyDescent="0.2">
      <c r="H637" s="15"/>
      <c r="I637" s="15"/>
      <c r="J637" s="15"/>
      <c r="K637" s="15"/>
      <c r="L637" s="15"/>
      <c r="M637" s="15"/>
      <c r="N637" s="15"/>
    </row>
    <row r="638" spans="8:14" x14ac:dyDescent="0.2">
      <c r="H638" s="15"/>
      <c r="I638" s="15"/>
      <c r="J638" s="15"/>
      <c r="K638" s="15"/>
      <c r="L638" s="15"/>
      <c r="M638" s="15"/>
      <c r="N638" s="15"/>
    </row>
    <row r="639" spans="8:14" x14ac:dyDescent="0.2">
      <c r="H639" s="15"/>
      <c r="I639" s="15"/>
      <c r="J639" s="15"/>
      <c r="K639" s="15"/>
      <c r="L639" s="15"/>
      <c r="M639" s="15"/>
      <c r="N639" s="15"/>
    </row>
    <row r="640" spans="8:14" x14ac:dyDescent="0.2">
      <c r="H640" s="15"/>
      <c r="I640" s="15"/>
      <c r="J640" s="15"/>
      <c r="K640" s="15"/>
      <c r="L640" s="15"/>
      <c r="M640" s="15"/>
      <c r="N640" s="15"/>
    </row>
    <row r="641" spans="8:14" x14ac:dyDescent="0.2">
      <c r="H641" s="15"/>
      <c r="I641" s="15"/>
      <c r="J641" s="15"/>
      <c r="K641" s="15"/>
      <c r="L641" s="15"/>
      <c r="M641" s="15"/>
      <c r="N641" s="15"/>
    </row>
    <row r="642" spans="8:14" x14ac:dyDescent="0.2">
      <c r="H642" s="15"/>
      <c r="I642" s="15"/>
      <c r="J642" s="15"/>
      <c r="K642" s="15"/>
      <c r="L642" s="15"/>
      <c r="M642" s="15"/>
      <c r="N642" s="15"/>
    </row>
    <row r="643" spans="8:14" x14ac:dyDescent="0.2">
      <c r="H643" s="15"/>
      <c r="I643" s="15"/>
      <c r="J643" s="15"/>
      <c r="K643" s="15"/>
      <c r="L643" s="15"/>
      <c r="M643" s="15"/>
      <c r="N643" s="15"/>
    </row>
    <row r="644" spans="8:14" x14ac:dyDescent="0.2">
      <c r="H644" s="15"/>
      <c r="I644" s="15"/>
      <c r="J644" s="15"/>
      <c r="K644" s="15"/>
      <c r="L644" s="15"/>
      <c r="M644" s="15"/>
      <c r="N644" s="15"/>
    </row>
    <row r="645" spans="8:14" x14ac:dyDescent="0.2">
      <c r="H645" s="15"/>
      <c r="I645" s="15"/>
      <c r="J645" s="15"/>
      <c r="K645" s="15"/>
      <c r="L645" s="15"/>
      <c r="M645" s="15"/>
      <c r="N645" s="15"/>
    </row>
    <row r="646" spans="8:14" x14ac:dyDescent="0.2">
      <c r="H646" s="15"/>
      <c r="I646" s="15"/>
      <c r="J646" s="15"/>
      <c r="K646" s="15"/>
      <c r="L646" s="15"/>
      <c r="M646" s="15"/>
      <c r="N646" s="15"/>
    </row>
    <row r="647" spans="8:14" x14ac:dyDescent="0.2">
      <c r="H647" s="15"/>
      <c r="I647" s="15"/>
      <c r="J647" s="15"/>
      <c r="K647" s="15"/>
      <c r="L647" s="15"/>
      <c r="M647" s="15"/>
      <c r="N647" s="15"/>
    </row>
    <row r="648" spans="8:14" x14ac:dyDescent="0.2">
      <c r="H648" s="15"/>
      <c r="I648" s="15"/>
      <c r="J648" s="15"/>
      <c r="K648" s="15"/>
      <c r="L648" s="15"/>
      <c r="M648" s="15"/>
      <c r="N648" s="15"/>
    </row>
    <row r="649" spans="8:14" x14ac:dyDescent="0.2">
      <c r="H649" s="15"/>
      <c r="I649" s="15"/>
      <c r="J649" s="15"/>
      <c r="K649" s="15"/>
      <c r="L649" s="15"/>
      <c r="M649" s="15"/>
      <c r="N649" s="15"/>
    </row>
    <row r="650" spans="8:14" x14ac:dyDescent="0.2">
      <c r="H650" s="15"/>
      <c r="I650" s="15"/>
      <c r="J650" s="15"/>
      <c r="K650" s="15"/>
      <c r="L650" s="15"/>
      <c r="M650" s="15"/>
      <c r="N650" s="15"/>
    </row>
    <row r="651" spans="8:14" x14ac:dyDescent="0.2">
      <c r="H651" s="15"/>
      <c r="I651" s="15"/>
      <c r="J651" s="15"/>
      <c r="K651" s="15"/>
      <c r="L651" s="15"/>
      <c r="M651" s="15"/>
      <c r="N651" s="15"/>
    </row>
    <row r="652" spans="8:14" x14ac:dyDescent="0.2">
      <c r="H652" s="15"/>
      <c r="I652" s="15"/>
      <c r="J652" s="15"/>
      <c r="K652" s="15"/>
      <c r="L652" s="15"/>
      <c r="M652" s="15"/>
      <c r="N652" s="15"/>
    </row>
    <row r="653" spans="8:14" x14ac:dyDescent="0.2">
      <c r="H653" s="15"/>
      <c r="I653" s="15"/>
      <c r="J653" s="15"/>
      <c r="K653" s="15"/>
      <c r="L653" s="15"/>
      <c r="M653" s="15"/>
      <c r="N653" s="15"/>
    </row>
    <row r="654" spans="8:14" x14ac:dyDescent="0.2">
      <c r="H654" s="15"/>
      <c r="I654" s="15"/>
      <c r="J654" s="15"/>
      <c r="K654" s="15"/>
      <c r="L654" s="15"/>
      <c r="M654" s="15"/>
      <c r="N654" s="15"/>
    </row>
    <row r="655" spans="8:14" x14ac:dyDescent="0.2">
      <c r="H655" s="15"/>
      <c r="I655" s="15"/>
      <c r="J655" s="15"/>
      <c r="K655" s="15"/>
      <c r="L655" s="15"/>
      <c r="M655" s="15"/>
      <c r="N655" s="15"/>
    </row>
    <row r="656" spans="8:14" x14ac:dyDescent="0.2">
      <c r="H656" s="15"/>
      <c r="I656" s="15"/>
      <c r="J656" s="15"/>
      <c r="K656" s="15"/>
      <c r="L656" s="15"/>
      <c r="M656" s="15"/>
      <c r="N656" s="15"/>
    </row>
    <row r="657" spans="8:14" x14ac:dyDescent="0.2">
      <c r="H657" s="15"/>
      <c r="I657" s="15"/>
      <c r="J657" s="15"/>
      <c r="K657" s="15"/>
      <c r="L657" s="15"/>
      <c r="M657" s="15"/>
      <c r="N657" s="15"/>
    </row>
    <row r="658" spans="8:14" x14ac:dyDescent="0.2">
      <c r="H658" s="15"/>
      <c r="I658" s="15"/>
      <c r="J658" s="15"/>
      <c r="K658" s="15"/>
      <c r="L658" s="15"/>
      <c r="M658" s="15"/>
      <c r="N658" s="15"/>
    </row>
    <row r="659" spans="8:14" x14ac:dyDescent="0.2">
      <c r="H659" s="15"/>
      <c r="I659" s="15"/>
      <c r="J659" s="15"/>
      <c r="K659" s="15"/>
      <c r="L659" s="15"/>
      <c r="M659" s="15"/>
      <c r="N659" s="15"/>
    </row>
    <row r="660" spans="8:14" x14ac:dyDescent="0.2">
      <c r="H660" s="15"/>
      <c r="I660" s="15"/>
      <c r="J660" s="15"/>
      <c r="K660" s="15"/>
      <c r="L660" s="15"/>
      <c r="M660" s="15"/>
      <c r="N660" s="15"/>
    </row>
    <row r="661" spans="8:14" x14ac:dyDescent="0.2">
      <c r="H661" s="15"/>
      <c r="I661" s="15"/>
      <c r="J661" s="15"/>
      <c r="K661" s="15"/>
      <c r="L661" s="15"/>
      <c r="M661" s="15"/>
      <c r="N661" s="15"/>
    </row>
    <row r="662" spans="8:14" x14ac:dyDescent="0.2">
      <c r="H662" s="15"/>
      <c r="I662" s="15"/>
      <c r="J662" s="15"/>
      <c r="K662" s="15"/>
      <c r="L662" s="15"/>
      <c r="M662" s="15"/>
      <c r="N662" s="15"/>
    </row>
    <row r="663" spans="8:14" x14ac:dyDescent="0.2">
      <c r="H663" s="15"/>
      <c r="I663" s="15"/>
      <c r="J663" s="15"/>
      <c r="K663" s="15"/>
      <c r="L663" s="15"/>
      <c r="M663" s="15"/>
      <c r="N663" s="15"/>
    </row>
    <row r="664" spans="8:14" x14ac:dyDescent="0.2">
      <c r="H664" s="15"/>
      <c r="I664" s="15"/>
      <c r="J664" s="15"/>
      <c r="K664" s="15"/>
      <c r="L664" s="15"/>
      <c r="M664" s="15"/>
      <c r="N664" s="15"/>
    </row>
    <row r="665" spans="8:14" x14ac:dyDescent="0.2">
      <c r="H665" s="15"/>
      <c r="I665" s="15"/>
      <c r="J665" s="15"/>
      <c r="K665" s="15"/>
      <c r="L665" s="15"/>
      <c r="M665" s="15"/>
      <c r="N665" s="15"/>
    </row>
    <row r="666" spans="8:14" x14ac:dyDescent="0.2">
      <c r="H666" s="15"/>
      <c r="I666" s="15"/>
      <c r="J666" s="15"/>
      <c r="K666" s="15"/>
      <c r="L666" s="15"/>
      <c r="M666" s="15"/>
      <c r="N666" s="15"/>
    </row>
    <row r="667" spans="8:14" x14ac:dyDescent="0.2">
      <c r="H667" s="15"/>
      <c r="I667" s="15"/>
      <c r="J667" s="15"/>
      <c r="K667" s="15"/>
      <c r="L667" s="15"/>
      <c r="M667" s="15"/>
      <c r="N667" s="15"/>
    </row>
    <row r="668" spans="8:14" x14ac:dyDescent="0.2">
      <c r="H668" s="15"/>
      <c r="I668" s="15"/>
      <c r="J668" s="15"/>
      <c r="K668" s="15"/>
      <c r="L668" s="15"/>
      <c r="M668" s="15"/>
      <c r="N668" s="15"/>
    </row>
    <row r="669" spans="8:14" x14ac:dyDescent="0.2">
      <c r="H669" s="15"/>
      <c r="I669" s="15"/>
      <c r="J669" s="15"/>
      <c r="K669" s="15"/>
      <c r="L669" s="15"/>
      <c r="M669" s="15"/>
      <c r="N669" s="15"/>
    </row>
    <row r="670" spans="8:14" x14ac:dyDescent="0.2">
      <c r="H670" s="15"/>
      <c r="I670" s="15"/>
      <c r="J670" s="15"/>
      <c r="K670" s="15"/>
      <c r="L670" s="15"/>
      <c r="M670" s="15"/>
      <c r="N670" s="15"/>
    </row>
    <row r="671" spans="8:14" x14ac:dyDescent="0.2">
      <c r="H671" s="15"/>
      <c r="I671" s="15"/>
      <c r="J671" s="15"/>
      <c r="K671" s="15"/>
      <c r="L671" s="15"/>
      <c r="M671" s="15"/>
      <c r="N671" s="15"/>
    </row>
    <row r="672" spans="8:14" x14ac:dyDescent="0.2">
      <c r="H672" s="15"/>
      <c r="I672" s="15"/>
      <c r="J672" s="15"/>
      <c r="K672" s="15"/>
      <c r="L672" s="15"/>
      <c r="M672" s="15"/>
      <c r="N672" s="15"/>
    </row>
    <row r="673" spans="8:14" x14ac:dyDescent="0.2">
      <c r="H673" s="15"/>
      <c r="I673" s="15"/>
      <c r="J673" s="15"/>
      <c r="K673" s="15"/>
      <c r="L673" s="15"/>
      <c r="M673" s="15"/>
      <c r="N673" s="15"/>
    </row>
    <row r="674" spans="8:14" x14ac:dyDescent="0.2">
      <c r="H674" s="15"/>
      <c r="I674" s="15"/>
      <c r="J674" s="15"/>
      <c r="K674" s="15"/>
      <c r="L674" s="15"/>
      <c r="M674" s="15"/>
      <c r="N674" s="15"/>
    </row>
    <row r="675" spans="8:14" x14ac:dyDescent="0.2">
      <c r="H675" s="15"/>
      <c r="I675" s="15"/>
      <c r="J675" s="15"/>
      <c r="K675" s="15"/>
      <c r="L675" s="15"/>
      <c r="M675" s="15"/>
      <c r="N675" s="15"/>
    </row>
    <row r="676" spans="8:14" x14ac:dyDescent="0.2">
      <c r="H676" s="15"/>
      <c r="I676" s="15"/>
      <c r="J676" s="15"/>
      <c r="K676" s="15"/>
      <c r="L676" s="15"/>
      <c r="M676" s="15"/>
      <c r="N676" s="15"/>
    </row>
    <row r="677" spans="8:14" x14ac:dyDescent="0.2">
      <c r="H677" s="15"/>
      <c r="I677" s="15"/>
      <c r="J677" s="15"/>
      <c r="K677" s="15"/>
      <c r="L677" s="15"/>
      <c r="M677" s="15"/>
      <c r="N677" s="15"/>
    </row>
    <row r="678" spans="8:14" x14ac:dyDescent="0.2">
      <c r="H678" s="15"/>
      <c r="I678" s="15"/>
      <c r="J678" s="15"/>
      <c r="K678" s="15"/>
      <c r="L678" s="15"/>
      <c r="M678" s="15"/>
      <c r="N678" s="15"/>
    </row>
    <row r="679" spans="8:14" x14ac:dyDescent="0.2">
      <c r="H679" s="15"/>
      <c r="I679" s="15"/>
      <c r="J679" s="15"/>
      <c r="K679" s="15"/>
      <c r="L679" s="15"/>
      <c r="M679" s="15"/>
      <c r="N679" s="15"/>
    </row>
    <row r="680" spans="8:14" x14ac:dyDescent="0.2">
      <c r="H680" s="15"/>
      <c r="I680" s="15"/>
      <c r="J680" s="15"/>
      <c r="K680" s="15"/>
      <c r="L680" s="15"/>
      <c r="M680" s="15"/>
      <c r="N680" s="15"/>
    </row>
    <row r="681" spans="8:14" x14ac:dyDescent="0.2">
      <c r="H681" s="15"/>
      <c r="I681" s="15"/>
      <c r="J681" s="15"/>
      <c r="K681" s="15"/>
      <c r="L681" s="15"/>
      <c r="M681" s="15"/>
      <c r="N681" s="15"/>
    </row>
    <row r="682" spans="8:14" x14ac:dyDescent="0.2">
      <c r="H682" s="15"/>
      <c r="I682" s="15"/>
      <c r="J682" s="15"/>
      <c r="K682" s="15"/>
      <c r="L682" s="15"/>
      <c r="M682" s="15"/>
      <c r="N682" s="15"/>
    </row>
    <row r="683" spans="8:14" x14ac:dyDescent="0.2">
      <c r="H683" s="15"/>
      <c r="I683" s="15"/>
      <c r="J683" s="15"/>
      <c r="K683" s="15"/>
      <c r="L683" s="15"/>
      <c r="M683" s="15"/>
      <c r="N683" s="15"/>
    </row>
    <row r="684" spans="8:14" x14ac:dyDescent="0.2">
      <c r="H684" s="15"/>
      <c r="I684" s="15"/>
      <c r="J684" s="15"/>
      <c r="K684" s="15"/>
      <c r="L684" s="15"/>
      <c r="M684" s="15"/>
      <c r="N684" s="15"/>
    </row>
    <row r="685" spans="8:14" x14ac:dyDescent="0.2">
      <c r="H685" s="15"/>
      <c r="I685" s="15"/>
      <c r="J685" s="15"/>
      <c r="K685" s="15"/>
      <c r="L685" s="15"/>
      <c r="M685" s="15"/>
      <c r="N685" s="15"/>
    </row>
    <row r="686" spans="8:14" x14ac:dyDescent="0.2">
      <c r="H686" s="15"/>
      <c r="I686" s="15"/>
      <c r="J686" s="15"/>
      <c r="K686" s="15"/>
      <c r="L686" s="15"/>
      <c r="M686" s="15"/>
      <c r="N686" s="15"/>
    </row>
    <row r="687" spans="8:14" x14ac:dyDescent="0.2">
      <c r="H687" s="15"/>
      <c r="I687" s="15"/>
      <c r="J687" s="15"/>
      <c r="K687" s="15"/>
      <c r="L687" s="15"/>
      <c r="M687" s="15"/>
      <c r="N687" s="15"/>
    </row>
    <row r="688" spans="8:14" x14ac:dyDescent="0.2">
      <c r="H688" s="15"/>
      <c r="I688" s="15"/>
      <c r="J688" s="15"/>
      <c r="K688" s="15"/>
      <c r="L688" s="15"/>
      <c r="M688" s="15"/>
      <c r="N688" s="15"/>
    </row>
    <row r="689" spans="8:14" x14ac:dyDescent="0.2">
      <c r="H689" s="15"/>
      <c r="I689" s="15"/>
      <c r="J689" s="15"/>
      <c r="K689" s="15"/>
      <c r="L689" s="15"/>
      <c r="M689" s="15"/>
      <c r="N689" s="15"/>
    </row>
    <row r="690" spans="8:14" x14ac:dyDescent="0.2">
      <c r="H690" s="15"/>
      <c r="I690" s="15"/>
      <c r="J690" s="15"/>
      <c r="K690" s="15"/>
      <c r="L690" s="15"/>
      <c r="M690" s="15"/>
      <c r="N690" s="15"/>
    </row>
    <row r="691" spans="8:14" x14ac:dyDescent="0.2">
      <c r="H691" s="15"/>
      <c r="I691" s="15"/>
      <c r="J691" s="15"/>
      <c r="K691" s="15"/>
      <c r="L691" s="15"/>
      <c r="M691" s="15"/>
      <c r="N691" s="15"/>
    </row>
    <row r="692" spans="8:14" x14ac:dyDescent="0.2">
      <c r="H692" s="15"/>
      <c r="I692" s="15"/>
      <c r="J692" s="15"/>
      <c r="K692" s="15"/>
      <c r="L692" s="15"/>
      <c r="M692" s="15"/>
      <c r="N692" s="15"/>
    </row>
    <row r="693" spans="8:14" x14ac:dyDescent="0.2">
      <c r="H693" s="15"/>
      <c r="I693" s="15"/>
      <c r="J693" s="15"/>
      <c r="K693" s="15"/>
      <c r="L693" s="15"/>
      <c r="M693" s="15"/>
      <c r="N693" s="15"/>
    </row>
    <row r="694" spans="8:14" x14ac:dyDescent="0.2">
      <c r="H694" s="15"/>
      <c r="I694" s="15"/>
      <c r="J694" s="15"/>
      <c r="K694" s="15"/>
      <c r="L694" s="15"/>
      <c r="M694" s="15"/>
      <c r="N694" s="15"/>
    </row>
    <row r="695" spans="8:14" x14ac:dyDescent="0.2">
      <c r="H695" s="15"/>
      <c r="I695" s="15"/>
      <c r="J695" s="15"/>
      <c r="K695" s="15"/>
      <c r="L695" s="15"/>
      <c r="M695" s="15"/>
      <c r="N695" s="15"/>
    </row>
    <row r="696" spans="8:14" x14ac:dyDescent="0.2">
      <c r="H696" s="15"/>
      <c r="I696" s="15"/>
      <c r="J696" s="15"/>
      <c r="K696" s="15"/>
      <c r="L696" s="15"/>
      <c r="M696" s="15"/>
      <c r="N696" s="15"/>
    </row>
    <row r="697" spans="8:14" x14ac:dyDescent="0.2">
      <c r="H697" s="15"/>
      <c r="I697" s="15"/>
      <c r="J697" s="15"/>
      <c r="K697" s="15"/>
      <c r="L697" s="15"/>
      <c r="M697" s="15"/>
      <c r="N697" s="15"/>
    </row>
    <row r="698" spans="8:14" x14ac:dyDescent="0.2">
      <c r="H698" s="15"/>
      <c r="I698" s="15"/>
      <c r="J698" s="15"/>
      <c r="K698" s="15"/>
      <c r="L698" s="15"/>
      <c r="M698" s="15"/>
      <c r="N698" s="15"/>
    </row>
    <row r="699" spans="8:14" x14ac:dyDescent="0.2">
      <c r="H699" s="15"/>
      <c r="I699" s="15"/>
      <c r="J699" s="15"/>
      <c r="K699" s="15"/>
      <c r="L699" s="15"/>
      <c r="M699" s="15"/>
      <c r="N699" s="15"/>
    </row>
    <row r="700" spans="8:14" x14ac:dyDescent="0.2">
      <c r="H700" s="15"/>
      <c r="I700" s="15"/>
      <c r="J700" s="15"/>
      <c r="K700" s="15"/>
      <c r="L700" s="15"/>
      <c r="M700" s="15"/>
      <c r="N700" s="15"/>
    </row>
    <row r="701" spans="8:14" x14ac:dyDescent="0.2">
      <c r="H701" s="15"/>
      <c r="I701" s="15"/>
      <c r="J701" s="15"/>
      <c r="K701" s="15"/>
      <c r="L701" s="15"/>
      <c r="M701" s="15"/>
      <c r="N701" s="15"/>
    </row>
    <row r="702" spans="8:14" x14ac:dyDescent="0.2">
      <c r="H702" s="15"/>
      <c r="I702" s="15"/>
      <c r="J702" s="15"/>
      <c r="K702" s="15"/>
      <c r="L702" s="15"/>
      <c r="M702" s="15"/>
      <c r="N702" s="15"/>
    </row>
    <row r="703" spans="8:14" x14ac:dyDescent="0.2">
      <c r="H703" s="15"/>
      <c r="I703" s="15"/>
      <c r="J703" s="15"/>
      <c r="K703" s="15"/>
      <c r="L703" s="15"/>
      <c r="M703" s="15"/>
      <c r="N703" s="15"/>
    </row>
    <row r="704" spans="8:14" x14ac:dyDescent="0.2">
      <c r="H704" s="15"/>
      <c r="I704" s="15"/>
      <c r="J704" s="15"/>
      <c r="K704" s="15"/>
      <c r="L704" s="15"/>
      <c r="M704" s="15"/>
      <c r="N704" s="15"/>
    </row>
    <row r="705" spans="8:14" x14ac:dyDescent="0.2">
      <c r="H705" s="15"/>
      <c r="I705" s="15"/>
      <c r="J705" s="15"/>
      <c r="K705" s="15"/>
      <c r="L705" s="15"/>
      <c r="M705" s="15"/>
      <c r="N705" s="15"/>
    </row>
    <row r="706" spans="8:14" x14ac:dyDescent="0.2">
      <c r="H706" s="15"/>
      <c r="I706" s="15"/>
      <c r="J706" s="15"/>
      <c r="K706" s="15"/>
      <c r="L706" s="15"/>
      <c r="M706" s="15"/>
      <c r="N706" s="15"/>
    </row>
    <row r="707" spans="8:14" x14ac:dyDescent="0.2">
      <c r="H707" s="15"/>
      <c r="I707" s="15"/>
      <c r="J707" s="15"/>
      <c r="K707" s="15"/>
      <c r="L707" s="15"/>
      <c r="M707" s="15"/>
      <c r="N707" s="15"/>
    </row>
    <row r="708" spans="8:14" x14ac:dyDescent="0.2">
      <c r="H708" s="15"/>
      <c r="I708" s="15"/>
      <c r="J708" s="15"/>
      <c r="K708" s="15"/>
      <c r="L708" s="15"/>
      <c r="M708" s="15"/>
      <c r="N708" s="15"/>
    </row>
    <row r="709" spans="8:14" x14ac:dyDescent="0.2">
      <c r="H709" s="15"/>
      <c r="I709" s="15"/>
      <c r="J709" s="15"/>
      <c r="K709" s="15"/>
      <c r="L709" s="15"/>
      <c r="M709" s="15"/>
      <c r="N709" s="15"/>
    </row>
    <row r="710" spans="8:14" x14ac:dyDescent="0.2">
      <c r="H710" s="15"/>
      <c r="I710" s="15"/>
      <c r="J710" s="15"/>
      <c r="K710" s="15"/>
      <c r="L710" s="15"/>
      <c r="M710" s="15"/>
      <c r="N710" s="15"/>
    </row>
    <row r="711" spans="8:14" x14ac:dyDescent="0.2">
      <c r="H711" s="15"/>
      <c r="I711" s="15"/>
      <c r="J711" s="15"/>
      <c r="K711" s="15"/>
      <c r="L711" s="15"/>
      <c r="M711" s="15"/>
      <c r="N711" s="15"/>
    </row>
    <row r="712" spans="8:14" x14ac:dyDescent="0.2">
      <c r="H712" s="15"/>
      <c r="I712" s="15"/>
      <c r="J712" s="15"/>
      <c r="K712" s="15"/>
      <c r="L712" s="15"/>
      <c r="M712" s="15"/>
      <c r="N712" s="15"/>
    </row>
    <row r="713" spans="8:14" x14ac:dyDescent="0.2">
      <c r="H713" s="15"/>
      <c r="I713" s="15"/>
      <c r="J713" s="15"/>
      <c r="K713" s="15"/>
      <c r="L713" s="15"/>
      <c r="M713" s="15"/>
      <c r="N713" s="15"/>
    </row>
    <row r="714" spans="8:14" x14ac:dyDescent="0.2">
      <c r="H714" s="15"/>
      <c r="I714" s="15"/>
      <c r="J714" s="15"/>
      <c r="K714" s="15"/>
      <c r="L714" s="15"/>
      <c r="M714" s="15"/>
      <c r="N714" s="15"/>
    </row>
    <row r="715" spans="8:14" x14ac:dyDescent="0.2">
      <c r="H715" s="15"/>
      <c r="I715" s="15"/>
      <c r="J715" s="15"/>
      <c r="K715" s="15"/>
      <c r="L715" s="15"/>
      <c r="M715" s="15"/>
      <c r="N715" s="15"/>
    </row>
    <row r="716" spans="8:14" x14ac:dyDescent="0.2">
      <c r="H716" s="15"/>
      <c r="I716" s="15"/>
      <c r="J716" s="15"/>
      <c r="K716" s="15"/>
      <c r="L716" s="15"/>
      <c r="M716" s="15"/>
      <c r="N716" s="15"/>
    </row>
    <row r="717" spans="8:14" x14ac:dyDescent="0.2">
      <c r="H717" s="15"/>
      <c r="I717" s="15"/>
      <c r="J717" s="15"/>
      <c r="K717" s="15"/>
      <c r="L717" s="15"/>
      <c r="M717" s="15"/>
      <c r="N717" s="15"/>
    </row>
    <row r="718" spans="8:14" x14ac:dyDescent="0.2">
      <c r="H718" s="15"/>
      <c r="I718" s="15"/>
      <c r="J718" s="15"/>
      <c r="K718" s="15"/>
      <c r="L718" s="15"/>
      <c r="M718" s="15"/>
      <c r="N718" s="15"/>
    </row>
    <row r="719" spans="8:14" x14ac:dyDescent="0.2">
      <c r="H719" s="15"/>
      <c r="I719" s="15"/>
      <c r="J719" s="15"/>
      <c r="K719" s="15"/>
      <c r="L719" s="15"/>
      <c r="M719" s="15"/>
      <c r="N719" s="15"/>
    </row>
    <row r="720" spans="8:14" x14ac:dyDescent="0.2">
      <c r="H720" s="15"/>
      <c r="I720" s="15"/>
      <c r="J720" s="15"/>
      <c r="K720" s="15"/>
      <c r="L720" s="15"/>
      <c r="M720" s="15"/>
      <c r="N720" s="15"/>
    </row>
    <row r="721" spans="8:14" x14ac:dyDescent="0.2">
      <c r="H721" s="15"/>
      <c r="I721" s="15"/>
      <c r="J721" s="15"/>
      <c r="K721" s="15"/>
      <c r="L721" s="15"/>
      <c r="M721" s="15"/>
      <c r="N721" s="15"/>
    </row>
    <row r="722" spans="8:14" x14ac:dyDescent="0.2">
      <c r="H722" s="15"/>
      <c r="I722" s="15"/>
      <c r="J722" s="15"/>
      <c r="K722" s="15"/>
      <c r="L722" s="15"/>
      <c r="M722" s="15"/>
      <c r="N722" s="15"/>
    </row>
    <row r="723" spans="8:14" x14ac:dyDescent="0.2">
      <c r="H723" s="15"/>
      <c r="I723" s="15"/>
      <c r="J723" s="15"/>
      <c r="K723" s="15"/>
      <c r="L723" s="15"/>
      <c r="M723" s="15"/>
      <c r="N723" s="15"/>
    </row>
    <row r="724" spans="8:14" x14ac:dyDescent="0.2">
      <c r="H724" s="15"/>
      <c r="I724" s="15"/>
      <c r="J724" s="15"/>
      <c r="K724" s="15"/>
      <c r="L724" s="15"/>
      <c r="M724" s="15"/>
      <c r="N724" s="15"/>
    </row>
    <row r="725" spans="8:14" x14ac:dyDescent="0.2">
      <c r="H725" s="15"/>
      <c r="I725" s="15"/>
      <c r="J725" s="15"/>
      <c r="K725" s="15"/>
      <c r="L725" s="15"/>
      <c r="M725" s="15"/>
      <c r="N725" s="15"/>
    </row>
    <row r="726" spans="8:14" x14ac:dyDescent="0.2">
      <c r="H726" s="15"/>
      <c r="I726" s="15"/>
      <c r="J726" s="15"/>
      <c r="K726" s="15"/>
      <c r="L726" s="15"/>
      <c r="M726" s="15"/>
      <c r="N726" s="15"/>
    </row>
    <row r="727" spans="8:14" x14ac:dyDescent="0.2">
      <c r="H727" s="15"/>
      <c r="I727" s="15"/>
      <c r="J727" s="15"/>
      <c r="K727" s="15"/>
      <c r="L727" s="15"/>
      <c r="M727" s="15"/>
      <c r="N727" s="15"/>
    </row>
    <row r="728" spans="8:14" x14ac:dyDescent="0.2">
      <c r="H728" s="15"/>
      <c r="I728" s="15"/>
      <c r="J728" s="15"/>
      <c r="K728" s="15"/>
      <c r="L728" s="15"/>
      <c r="M728" s="15"/>
      <c r="N728" s="15"/>
    </row>
    <row r="729" spans="8:14" x14ac:dyDescent="0.2">
      <c r="H729" s="15"/>
      <c r="I729" s="15"/>
      <c r="J729" s="15"/>
      <c r="K729" s="15"/>
      <c r="L729" s="15"/>
      <c r="M729" s="15"/>
      <c r="N729" s="15"/>
    </row>
    <row r="730" spans="8:14" x14ac:dyDescent="0.2">
      <c r="H730" s="15"/>
      <c r="I730" s="15"/>
      <c r="J730" s="15"/>
      <c r="K730" s="15"/>
      <c r="L730" s="15"/>
      <c r="M730" s="15"/>
      <c r="N730" s="15"/>
    </row>
    <row r="731" spans="8:14" x14ac:dyDescent="0.2">
      <c r="H731" s="15"/>
      <c r="I731" s="15"/>
      <c r="J731" s="15"/>
      <c r="K731" s="15"/>
      <c r="L731" s="15"/>
      <c r="M731" s="15"/>
      <c r="N731" s="15"/>
    </row>
    <row r="732" spans="8:14" x14ac:dyDescent="0.2">
      <c r="H732" s="15"/>
      <c r="I732" s="15"/>
      <c r="J732" s="15"/>
      <c r="K732" s="15"/>
      <c r="L732" s="15"/>
      <c r="M732" s="15"/>
      <c r="N732" s="15"/>
    </row>
    <row r="733" spans="8:14" x14ac:dyDescent="0.2">
      <c r="H733" s="15"/>
      <c r="I733" s="15"/>
      <c r="J733" s="15"/>
      <c r="K733" s="15"/>
      <c r="L733" s="15"/>
      <c r="M733" s="15"/>
      <c r="N733" s="15"/>
    </row>
    <row r="734" spans="8:14" x14ac:dyDescent="0.2">
      <c r="H734" s="15"/>
      <c r="I734" s="15"/>
      <c r="J734" s="15"/>
      <c r="K734" s="15"/>
      <c r="L734" s="15"/>
      <c r="M734" s="15"/>
      <c r="N734" s="15"/>
    </row>
    <row r="735" spans="8:14" x14ac:dyDescent="0.2">
      <c r="H735" s="15"/>
      <c r="I735" s="15"/>
      <c r="J735" s="15"/>
      <c r="K735" s="15"/>
      <c r="L735" s="15"/>
      <c r="M735" s="15"/>
      <c r="N735" s="15"/>
    </row>
    <row r="736" spans="8:14" x14ac:dyDescent="0.2">
      <c r="H736" s="15"/>
      <c r="I736" s="15"/>
      <c r="J736" s="15"/>
      <c r="K736" s="15"/>
      <c r="L736" s="15"/>
      <c r="M736" s="15"/>
      <c r="N736" s="15"/>
    </row>
    <row r="737" spans="8:14" x14ac:dyDescent="0.2">
      <c r="H737" s="15"/>
      <c r="I737" s="15"/>
      <c r="J737" s="15"/>
      <c r="K737" s="15"/>
      <c r="L737" s="15"/>
      <c r="M737" s="15"/>
      <c r="N737" s="15"/>
    </row>
    <row r="738" spans="8:14" x14ac:dyDescent="0.2">
      <c r="H738" s="15"/>
      <c r="I738" s="15"/>
      <c r="J738" s="15"/>
      <c r="K738" s="15"/>
      <c r="L738" s="15"/>
      <c r="M738" s="15"/>
      <c r="N738" s="15"/>
    </row>
    <row r="739" spans="8:14" x14ac:dyDescent="0.2">
      <c r="H739" s="15"/>
      <c r="I739" s="15"/>
      <c r="J739" s="15"/>
      <c r="K739" s="15"/>
      <c r="L739" s="15"/>
      <c r="M739" s="15"/>
      <c r="N739" s="15"/>
    </row>
    <row r="740" spans="8:14" x14ac:dyDescent="0.2">
      <c r="H740" s="15"/>
      <c r="I740" s="15"/>
      <c r="J740" s="15"/>
      <c r="K740" s="15"/>
      <c r="L740" s="15"/>
      <c r="M740" s="15"/>
      <c r="N740" s="15"/>
    </row>
    <row r="741" spans="8:14" x14ac:dyDescent="0.2">
      <c r="H741" s="15"/>
      <c r="I741" s="15"/>
      <c r="J741" s="15"/>
      <c r="K741" s="15"/>
      <c r="L741" s="15"/>
      <c r="M741" s="15"/>
      <c r="N741" s="15"/>
    </row>
    <row r="742" spans="8:14" x14ac:dyDescent="0.2">
      <c r="H742" s="15"/>
      <c r="I742" s="15"/>
      <c r="J742" s="15"/>
      <c r="K742" s="15"/>
      <c r="L742" s="15"/>
      <c r="M742" s="15"/>
      <c r="N742" s="15"/>
    </row>
    <row r="743" spans="8:14" x14ac:dyDescent="0.2">
      <c r="H743" s="15"/>
      <c r="I743" s="15"/>
      <c r="J743" s="15"/>
      <c r="K743" s="15"/>
      <c r="L743" s="15"/>
      <c r="M743" s="15"/>
      <c r="N743" s="15"/>
    </row>
    <row r="744" spans="8:14" x14ac:dyDescent="0.2">
      <c r="H744" s="15"/>
      <c r="I744" s="15"/>
      <c r="J744" s="15"/>
      <c r="K744" s="15"/>
      <c r="L744" s="15"/>
      <c r="M744" s="15"/>
      <c r="N744" s="15"/>
    </row>
    <row r="745" spans="8:14" x14ac:dyDescent="0.2">
      <c r="H745" s="15"/>
      <c r="I745" s="15"/>
      <c r="J745" s="15"/>
      <c r="K745" s="15"/>
      <c r="L745" s="15"/>
      <c r="M745" s="15"/>
      <c r="N745" s="15"/>
    </row>
    <row r="746" spans="8:14" x14ac:dyDescent="0.2">
      <c r="H746" s="15"/>
      <c r="I746" s="15"/>
      <c r="J746" s="15"/>
      <c r="K746" s="15"/>
      <c r="L746" s="15"/>
      <c r="M746" s="15"/>
      <c r="N746" s="15"/>
    </row>
    <row r="747" spans="8:14" x14ac:dyDescent="0.2">
      <c r="H747" s="15"/>
      <c r="I747" s="15"/>
      <c r="J747" s="15"/>
      <c r="K747" s="15"/>
      <c r="L747" s="15"/>
      <c r="M747" s="15"/>
      <c r="N747" s="15"/>
    </row>
    <row r="748" spans="8:14" x14ac:dyDescent="0.2">
      <c r="H748" s="15"/>
      <c r="I748" s="15"/>
      <c r="J748" s="15"/>
      <c r="K748" s="15"/>
      <c r="L748" s="15"/>
      <c r="M748" s="15"/>
      <c r="N748" s="15"/>
    </row>
    <row r="749" spans="8:14" x14ac:dyDescent="0.2">
      <c r="H749" s="15"/>
      <c r="I749" s="15"/>
      <c r="J749" s="15"/>
      <c r="K749" s="15"/>
      <c r="L749" s="15"/>
      <c r="M749" s="15"/>
      <c r="N749" s="15"/>
    </row>
    <row r="750" spans="8:14" x14ac:dyDescent="0.2">
      <c r="H750" s="15"/>
      <c r="I750" s="15"/>
      <c r="J750" s="15"/>
      <c r="K750" s="15"/>
      <c r="L750" s="15"/>
      <c r="M750" s="15"/>
      <c r="N750" s="15"/>
    </row>
    <row r="751" spans="8:14" x14ac:dyDescent="0.2">
      <c r="H751" s="15"/>
      <c r="I751" s="15"/>
      <c r="J751" s="15"/>
      <c r="K751" s="15"/>
      <c r="L751" s="15"/>
      <c r="M751" s="15"/>
      <c r="N751" s="15"/>
    </row>
    <row r="752" spans="8:14" x14ac:dyDescent="0.2">
      <c r="H752" s="15"/>
      <c r="I752" s="15"/>
      <c r="J752" s="15"/>
      <c r="K752" s="15"/>
      <c r="L752" s="15"/>
      <c r="M752" s="15"/>
      <c r="N752" s="15"/>
    </row>
    <row r="753" spans="8:14" x14ac:dyDescent="0.2">
      <c r="H753" s="15"/>
      <c r="I753" s="15"/>
      <c r="J753" s="15"/>
      <c r="K753" s="15"/>
      <c r="L753" s="15"/>
      <c r="M753" s="15"/>
      <c r="N753" s="15"/>
    </row>
    <row r="754" spans="8:14" x14ac:dyDescent="0.2">
      <c r="H754" s="15"/>
      <c r="I754" s="15"/>
      <c r="J754" s="15"/>
      <c r="K754" s="15"/>
      <c r="L754" s="15"/>
      <c r="M754" s="15"/>
      <c r="N754" s="15"/>
    </row>
    <row r="755" spans="8:14" x14ac:dyDescent="0.2">
      <c r="H755" s="15"/>
      <c r="I755" s="15"/>
      <c r="J755" s="15"/>
      <c r="K755" s="15"/>
      <c r="L755" s="15"/>
      <c r="M755" s="15"/>
      <c r="N755" s="15"/>
    </row>
    <row r="756" spans="8:14" x14ac:dyDescent="0.2">
      <c r="H756" s="15"/>
      <c r="I756" s="15"/>
      <c r="J756" s="15"/>
      <c r="K756" s="15"/>
      <c r="L756" s="15"/>
      <c r="M756" s="15"/>
      <c r="N756" s="15"/>
    </row>
    <row r="757" spans="8:14" x14ac:dyDescent="0.2">
      <c r="H757" s="15"/>
      <c r="I757" s="15"/>
      <c r="J757" s="15"/>
      <c r="K757" s="15"/>
      <c r="L757" s="15"/>
      <c r="M757" s="15"/>
      <c r="N757" s="15"/>
    </row>
    <row r="758" spans="8:14" x14ac:dyDescent="0.2">
      <c r="H758" s="15"/>
      <c r="I758" s="15"/>
      <c r="J758" s="15"/>
      <c r="K758" s="15"/>
      <c r="L758" s="15"/>
      <c r="M758" s="15"/>
      <c r="N758" s="15"/>
    </row>
    <row r="759" spans="8:14" x14ac:dyDescent="0.2">
      <c r="H759" s="15"/>
      <c r="I759" s="15"/>
      <c r="J759" s="15"/>
      <c r="K759" s="15"/>
      <c r="L759" s="15"/>
      <c r="M759" s="15"/>
      <c r="N759" s="15"/>
    </row>
    <row r="760" spans="8:14" x14ac:dyDescent="0.2">
      <c r="H760" s="15"/>
      <c r="I760" s="15"/>
      <c r="J760" s="15"/>
      <c r="K760" s="15"/>
      <c r="L760" s="15"/>
      <c r="M760" s="15"/>
      <c r="N760" s="15"/>
    </row>
    <row r="761" spans="8:14" x14ac:dyDescent="0.2">
      <c r="H761" s="15"/>
      <c r="I761" s="15"/>
      <c r="J761" s="15"/>
      <c r="K761" s="15"/>
      <c r="L761" s="15"/>
      <c r="M761" s="15"/>
      <c r="N761" s="15"/>
    </row>
    <row r="762" spans="8:14" x14ac:dyDescent="0.2">
      <c r="H762" s="15"/>
      <c r="I762" s="15"/>
      <c r="J762" s="15"/>
      <c r="K762" s="15"/>
      <c r="L762" s="15"/>
      <c r="M762" s="15"/>
      <c r="N762" s="15"/>
    </row>
    <row r="763" spans="8:14" x14ac:dyDescent="0.2">
      <c r="H763" s="15"/>
      <c r="I763" s="15"/>
      <c r="J763" s="15"/>
      <c r="K763" s="15"/>
      <c r="L763" s="15"/>
      <c r="M763" s="15"/>
      <c r="N763" s="15"/>
    </row>
    <row r="764" spans="8:14" x14ac:dyDescent="0.2">
      <c r="H764" s="15"/>
      <c r="I764" s="15"/>
      <c r="J764" s="15"/>
      <c r="K764" s="15"/>
      <c r="L764" s="15"/>
      <c r="M764" s="15"/>
      <c r="N764" s="15"/>
    </row>
    <row r="765" spans="8:14" x14ac:dyDescent="0.2">
      <c r="H765" s="15"/>
      <c r="I765" s="15"/>
      <c r="J765" s="15"/>
      <c r="K765" s="15"/>
      <c r="L765" s="15"/>
      <c r="M765" s="15"/>
      <c r="N765" s="15"/>
    </row>
    <row r="766" spans="8:14" x14ac:dyDescent="0.2">
      <c r="H766" s="15"/>
      <c r="I766" s="15"/>
      <c r="J766" s="15"/>
      <c r="K766" s="15"/>
      <c r="L766" s="15"/>
      <c r="M766" s="15"/>
      <c r="N766" s="15"/>
    </row>
    <row r="767" spans="8:14" x14ac:dyDescent="0.2">
      <c r="H767" s="15"/>
      <c r="I767" s="15"/>
      <c r="J767" s="15"/>
      <c r="K767" s="15"/>
      <c r="L767" s="15"/>
      <c r="M767" s="15"/>
      <c r="N767" s="15"/>
    </row>
    <row r="768" spans="8:14" x14ac:dyDescent="0.2">
      <c r="H768" s="15"/>
      <c r="I768" s="15"/>
      <c r="J768" s="15"/>
      <c r="K768" s="15"/>
      <c r="L768" s="15"/>
      <c r="M768" s="15"/>
      <c r="N768" s="15"/>
    </row>
    <row r="769" spans="8:14" x14ac:dyDescent="0.2">
      <c r="H769" s="15"/>
      <c r="I769" s="15"/>
      <c r="J769" s="15"/>
      <c r="K769" s="15"/>
      <c r="L769" s="15"/>
      <c r="M769" s="15"/>
      <c r="N769" s="15"/>
    </row>
    <row r="770" spans="8:14" x14ac:dyDescent="0.2">
      <c r="H770" s="15"/>
      <c r="I770" s="15"/>
      <c r="J770" s="15"/>
      <c r="K770" s="15"/>
      <c r="L770" s="15"/>
      <c r="M770" s="15"/>
      <c r="N770" s="15"/>
    </row>
    <row r="771" spans="8:14" x14ac:dyDescent="0.2">
      <c r="H771" s="15"/>
      <c r="I771" s="15"/>
      <c r="J771" s="15"/>
      <c r="K771" s="15"/>
      <c r="L771" s="15"/>
      <c r="M771" s="15"/>
      <c r="N771" s="15"/>
    </row>
    <row r="772" spans="8:14" x14ac:dyDescent="0.2">
      <c r="H772" s="15"/>
      <c r="I772" s="15"/>
      <c r="J772" s="15"/>
      <c r="K772" s="15"/>
      <c r="L772" s="15"/>
      <c r="M772" s="15"/>
      <c r="N772" s="15"/>
    </row>
    <row r="773" spans="8:14" x14ac:dyDescent="0.2">
      <c r="H773" s="15"/>
      <c r="I773" s="15"/>
      <c r="J773" s="15"/>
      <c r="K773" s="15"/>
      <c r="L773" s="15"/>
      <c r="M773" s="15"/>
      <c r="N773" s="15"/>
    </row>
    <row r="774" spans="8:14" x14ac:dyDescent="0.2">
      <c r="H774" s="15"/>
      <c r="I774" s="15"/>
      <c r="J774" s="15"/>
      <c r="K774" s="15"/>
      <c r="L774" s="15"/>
      <c r="M774" s="15"/>
      <c r="N774" s="15"/>
    </row>
    <row r="775" spans="8:14" x14ac:dyDescent="0.2">
      <c r="H775" s="15"/>
      <c r="I775" s="15"/>
      <c r="J775" s="15"/>
      <c r="K775" s="15"/>
      <c r="L775" s="15"/>
      <c r="M775" s="15"/>
      <c r="N775" s="15"/>
    </row>
    <row r="776" spans="8:14" x14ac:dyDescent="0.2">
      <c r="H776" s="15"/>
      <c r="I776" s="15"/>
      <c r="J776" s="15"/>
      <c r="K776" s="15"/>
      <c r="L776" s="15"/>
      <c r="M776" s="15"/>
      <c r="N776" s="15"/>
    </row>
    <row r="777" spans="8:14" x14ac:dyDescent="0.2">
      <c r="H777" s="15"/>
      <c r="I777" s="15"/>
      <c r="J777" s="15"/>
      <c r="K777" s="15"/>
      <c r="L777" s="15"/>
      <c r="M777" s="15"/>
      <c r="N777" s="15"/>
    </row>
    <row r="778" spans="8:14" x14ac:dyDescent="0.2">
      <c r="H778" s="15"/>
      <c r="I778" s="15"/>
      <c r="J778" s="15"/>
      <c r="K778" s="15"/>
      <c r="L778" s="15"/>
      <c r="M778" s="15"/>
      <c r="N778" s="15"/>
    </row>
    <row r="779" spans="8:14" x14ac:dyDescent="0.2">
      <c r="H779" s="15"/>
      <c r="I779" s="15"/>
      <c r="J779" s="15"/>
      <c r="K779" s="15"/>
      <c r="L779" s="15"/>
      <c r="M779" s="15"/>
      <c r="N779" s="15"/>
    </row>
    <row r="780" spans="8:14" x14ac:dyDescent="0.2">
      <c r="H780" s="15"/>
      <c r="I780" s="15"/>
      <c r="J780" s="15"/>
      <c r="K780" s="15"/>
      <c r="L780" s="15"/>
      <c r="M780" s="15"/>
      <c r="N780" s="15"/>
    </row>
    <row r="781" spans="8:14" x14ac:dyDescent="0.2">
      <c r="H781" s="15"/>
      <c r="I781" s="15"/>
      <c r="J781" s="15"/>
      <c r="K781" s="15"/>
      <c r="L781" s="15"/>
      <c r="M781" s="15"/>
      <c r="N781" s="15"/>
    </row>
    <row r="782" spans="8:14" x14ac:dyDescent="0.2">
      <c r="H782" s="15"/>
      <c r="I782" s="15"/>
      <c r="J782" s="15"/>
      <c r="K782" s="15"/>
      <c r="L782" s="15"/>
      <c r="M782" s="15"/>
      <c r="N782" s="15"/>
    </row>
    <row r="783" spans="8:14" x14ac:dyDescent="0.2">
      <c r="H783" s="15"/>
      <c r="I783" s="15"/>
      <c r="J783" s="15"/>
      <c r="K783" s="15"/>
      <c r="L783" s="15"/>
      <c r="M783" s="15"/>
      <c r="N783" s="15"/>
    </row>
    <row r="784" spans="8:14" x14ac:dyDescent="0.2">
      <c r="H784" s="15"/>
      <c r="I784" s="15"/>
      <c r="J784" s="15"/>
      <c r="K784" s="15"/>
      <c r="L784" s="15"/>
      <c r="M784" s="15"/>
      <c r="N784" s="15"/>
    </row>
    <row r="785" spans="8:14" x14ac:dyDescent="0.2">
      <c r="H785" s="15"/>
      <c r="I785" s="15"/>
      <c r="J785" s="15"/>
      <c r="K785" s="15"/>
      <c r="L785" s="15"/>
      <c r="M785" s="15"/>
      <c r="N785" s="15"/>
    </row>
    <row r="786" spans="8:14" x14ac:dyDescent="0.2">
      <c r="H786" s="15"/>
      <c r="I786" s="15"/>
      <c r="J786" s="15"/>
      <c r="K786" s="15"/>
      <c r="L786" s="15"/>
      <c r="M786" s="15"/>
      <c r="N786" s="15"/>
    </row>
    <row r="787" spans="8:14" x14ac:dyDescent="0.2">
      <c r="H787" s="15"/>
      <c r="I787" s="15"/>
      <c r="J787" s="15"/>
      <c r="K787" s="15"/>
      <c r="L787" s="15"/>
      <c r="M787" s="15"/>
      <c r="N787" s="15"/>
    </row>
    <row r="788" spans="8:14" x14ac:dyDescent="0.2">
      <c r="H788" s="15"/>
      <c r="I788" s="15"/>
      <c r="J788" s="15"/>
      <c r="K788" s="15"/>
      <c r="L788" s="15"/>
      <c r="M788" s="15"/>
      <c r="N788" s="15"/>
    </row>
    <row r="789" spans="8:14" x14ac:dyDescent="0.2">
      <c r="H789" s="15"/>
      <c r="I789" s="15"/>
      <c r="J789" s="15"/>
      <c r="K789" s="15"/>
      <c r="L789" s="15"/>
      <c r="M789" s="15"/>
      <c r="N789" s="15"/>
    </row>
    <row r="790" spans="8:14" x14ac:dyDescent="0.2">
      <c r="H790" s="15"/>
      <c r="I790" s="15"/>
      <c r="J790" s="15"/>
      <c r="K790" s="15"/>
      <c r="L790" s="15"/>
      <c r="M790" s="15"/>
      <c r="N790" s="15"/>
    </row>
    <row r="791" spans="8:14" x14ac:dyDescent="0.2">
      <c r="H791" s="15"/>
      <c r="I791" s="15"/>
      <c r="J791" s="15"/>
      <c r="K791" s="15"/>
      <c r="L791" s="15"/>
      <c r="M791" s="15"/>
      <c r="N791" s="15"/>
    </row>
    <row r="792" spans="8:14" x14ac:dyDescent="0.2">
      <c r="H792" s="15"/>
      <c r="I792" s="15"/>
      <c r="J792" s="15"/>
      <c r="K792" s="15"/>
      <c r="L792" s="15"/>
      <c r="M792" s="15"/>
      <c r="N792" s="15"/>
    </row>
    <row r="793" spans="8:14" x14ac:dyDescent="0.2">
      <c r="H793" s="15"/>
      <c r="I793" s="15"/>
      <c r="J793" s="15"/>
      <c r="K793" s="15"/>
      <c r="L793" s="15"/>
      <c r="M793" s="15"/>
      <c r="N793" s="15"/>
    </row>
    <row r="794" spans="8:14" x14ac:dyDescent="0.2">
      <c r="H794" s="15"/>
      <c r="I794" s="15"/>
      <c r="J794" s="15"/>
      <c r="K794" s="15"/>
      <c r="L794" s="15"/>
      <c r="M794" s="15"/>
      <c r="N794" s="15"/>
    </row>
    <row r="795" spans="8:14" x14ac:dyDescent="0.2">
      <c r="H795" s="15"/>
      <c r="I795" s="15"/>
      <c r="J795" s="15"/>
      <c r="K795" s="15"/>
      <c r="L795" s="15"/>
      <c r="M795" s="15"/>
      <c r="N795" s="15"/>
    </row>
    <row r="796" spans="8:14" x14ac:dyDescent="0.2">
      <c r="H796" s="15"/>
      <c r="I796" s="15"/>
      <c r="J796" s="15"/>
      <c r="K796" s="15"/>
      <c r="L796" s="15"/>
      <c r="M796" s="15"/>
      <c r="N796" s="15"/>
    </row>
    <row r="797" spans="8:14" x14ac:dyDescent="0.2">
      <c r="H797" s="15"/>
      <c r="I797" s="15"/>
      <c r="J797" s="15"/>
      <c r="K797" s="15"/>
      <c r="L797" s="15"/>
      <c r="M797" s="15"/>
      <c r="N797" s="15"/>
    </row>
    <row r="798" spans="8:14" x14ac:dyDescent="0.2">
      <c r="H798" s="15"/>
      <c r="I798" s="15"/>
      <c r="J798" s="15"/>
      <c r="K798" s="15"/>
      <c r="L798" s="15"/>
      <c r="M798" s="15"/>
      <c r="N798" s="15"/>
    </row>
    <row r="799" spans="8:14" x14ac:dyDescent="0.2">
      <c r="H799" s="15"/>
      <c r="I799" s="15"/>
      <c r="J799" s="15"/>
      <c r="K799" s="15"/>
      <c r="L799" s="15"/>
      <c r="M799" s="15"/>
      <c r="N799" s="15"/>
    </row>
    <row r="800" spans="8:14" x14ac:dyDescent="0.2">
      <c r="H800" s="15"/>
      <c r="I800" s="15"/>
      <c r="J800" s="15"/>
      <c r="K800" s="15"/>
      <c r="L800" s="15"/>
      <c r="M800" s="15"/>
      <c r="N800" s="15"/>
    </row>
    <row r="801" spans="8:14" x14ac:dyDescent="0.2">
      <c r="H801" s="15"/>
      <c r="I801" s="15"/>
      <c r="J801" s="15"/>
      <c r="K801" s="15"/>
      <c r="L801" s="15"/>
      <c r="M801" s="15"/>
      <c r="N801" s="15"/>
    </row>
    <row r="802" spans="8:14" x14ac:dyDescent="0.2">
      <c r="H802" s="15"/>
      <c r="I802" s="15"/>
      <c r="J802" s="15"/>
      <c r="K802" s="15"/>
      <c r="L802" s="15"/>
      <c r="M802" s="15"/>
      <c r="N802" s="15"/>
    </row>
    <row r="803" spans="8:14" x14ac:dyDescent="0.2">
      <c r="H803" s="15"/>
      <c r="I803" s="15"/>
      <c r="J803" s="15"/>
      <c r="K803" s="15"/>
      <c r="L803" s="15"/>
      <c r="M803" s="15"/>
      <c r="N803" s="15"/>
    </row>
    <row r="804" spans="8:14" x14ac:dyDescent="0.2">
      <c r="H804" s="15"/>
      <c r="I804" s="15"/>
      <c r="J804" s="15"/>
      <c r="K804" s="15"/>
      <c r="L804" s="15"/>
      <c r="M804" s="15"/>
      <c r="N804" s="15"/>
    </row>
    <row r="805" spans="8:14" x14ac:dyDescent="0.2">
      <c r="H805" s="15"/>
      <c r="I805" s="15"/>
      <c r="J805" s="15"/>
      <c r="K805" s="15"/>
      <c r="L805" s="15"/>
      <c r="M805" s="15"/>
      <c r="N805" s="15"/>
    </row>
    <row r="806" spans="8:14" x14ac:dyDescent="0.2">
      <c r="H806" s="15"/>
      <c r="I806" s="15"/>
      <c r="J806" s="15"/>
      <c r="K806" s="15"/>
      <c r="L806" s="15"/>
      <c r="M806" s="15"/>
      <c r="N806" s="15"/>
    </row>
    <row r="807" spans="8:14" x14ac:dyDescent="0.2">
      <c r="H807" s="15"/>
      <c r="I807" s="15"/>
      <c r="J807" s="15"/>
      <c r="K807" s="15"/>
      <c r="L807" s="15"/>
      <c r="M807" s="15"/>
      <c r="N807" s="15"/>
    </row>
    <row r="808" spans="8:14" x14ac:dyDescent="0.2">
      <c r="H808" s="15"/>
      <c r="I808" s="15"/>
      <c r="J808" s="15"/>
      <c r="K808" s="15"/>
      <c r="L808" s="15"/>
      <c r="M808" s="15"/>
      <c r="N808" s="15"/>
    </row>
    <row r="809" spans="8:14" x14ac:dyDescent="0.2">
      <c r="H809" s="15"/>
      <c r="I809" s="15"/>
      <c r="J809" s="15"/>
      <c r="K809" s="15"/>
      <c r="L809" s="15"/>
      <c r="M809" s="15"/>
      <c r="N809" s="15"/>
    </row>
    <row r="810" spans="8:14" x14ac:dyDescent="0.2">
      <c r="H810" s="15"/>
      <c r="I810" s="15"/>
      <c r="J810" s="15"/>
      <c r="K810" s="15"/>
      <c r="L810" s="15"/>
      <c r="M810" s="15"/>
      <c r="N810" s="15"/>
    </row>
    <row r="811" spans="8:14" x14ac:dyDescent="0.2">
      <c r="H811" s="15"/>
      <c r="I811" s="15"/>
      <c r="J811" s="15"/>
      <c r="K811" s="15"/>
      <c r="L811" s="15"/>
      <c r="M811" s="15"/>
      <c r="N811" s="15"/>
    </row>
    <row r="812" spans="8:14" x14ac:dyDescent="0.2">
      <c r="H812" s="15"/>
      <c r="I812" s="15"/>
      <c r="J812" s="15"/>
      <c r="K812" s="15"/>
      <c r="L812" s="15"/>
      <c r="M812" s="15"/>
      <c r="N812" s="15"/>
    </row>
    <row r="813" spans="8:14" x14ac:dyDescent="0.2">
      <c r="H813" s="15"/>
      <c r="I813" s="15"/>
      <c r="J813" s="15"/>
      <c r="K813" s="15"/>
      <c r="L813" s="15"/>
      <c r="M813" s="15"/>
      <c r="N813" s="15"/>
    </row>
    <row r="814" spans="8:14" x14ac:dyDescent="0.2">
      <c r="H814" s="15"/>
      <c r="I814" s="15"/>
      <c r="J814" s="15"/>
      <c r="K814" s="15"/>
      <c r="L814" s="15"/>
      <c r="M814" s="15"/>
      <c r="N814" s="15"/>
    </row>
    <row r="815" spans="8:14" x14ac:dyDescent="0.2">
      <c r="H815" s="15"/>
      <c r="I815" s="15"/>
      <c r="J815" s="15"/>
      <c r="K815" s="15"/>
      <c r="L815" s="15"/>
      <c r="M815" s="15"/>
      <c r="N815" s="15"/>
    </row>
    <row r="816" spans="8:14" x14ac:dyDescent="0.2">
      <c r="H816" s="15"/>
      <c r="I816" s="15"/>
      <c r="J816" s="15"/>
      <c r="K816" s="15"/>
      <c r="L816" s="15"/>
      <c r="M816" s="15"/>
      <c r="N816" s="15"/>
    </row>
    <row r="817" spans="8:14" x14ac:dyDescent="0.2">
      <c r="H817" s="15"/>
      <c r="I817" s="15"/>
      <c r="J817" s="15"/>
      <c r="K817" s="15"/>
      <c r="L817" s="15"/>
      <c r="M817" s="15"/>
      <c r="N817" s="15"/>
    </row>
    <row r="818" spans="8:14" x14ac:dyDescent="0.2">
      <c r="H818" s="15"/>
      <c r="I818" s="15"/>
      <c r="J818" s="15"/>
      <c r="K818" s="15"/>
      <c r="L818" s="15"/>
      <c r="M818" s="15"/>
      <c r="N818" s="15"/>
    </row>
    <row r="819" spans="8:14" x14ac:dyDescent="0.2">
      <c r="H819" s="15"/>
      <c r="I819" s="15"/>
      <c r="J819" s="15"/>
      <c r="K819" s="15"/>
      <c r="L819" s="15"/>
      <c r="M819" s="15"/>
      <c r="N819" s="15"/>
    </row>
    <row r="820" spans="8:14" x14ac:dyDescent="0.2">
      <c r="H820" s="15"/>
      <c r="I820" s="15"/>
      <c r="J820" s="15"/>
      <c r="K820" s="15"/>
      <c r="L820" s="15"/>
      <c r="M820" s="15"/>
      <c r="N820" s="15"/>
    </row>
    <row r="821" spans="8:14" x14ac:dyDescent="0.2">
      <c r="H821" s="15"/>
      <c r="I821" s="15"/>
      <c r="J821" s="15"/>
      <c r="K821" s="15"/>
      <c r="L821" s="15"/>
      <c r="M821" s="15"/>
      <c r="N821" s="15"/>
    </row>
    <row r="822" spans="8:14" x14ac:dyDescent="0.2">
      <c r="H822" s="15"/>
      <c r="I822" s="15"/>
      <c r="J822" s="15"/>
      <c r="K822" s="15"/>
      <c r="L822" s="15"/>
      <c r="M822" s="15"/>
      <c r="N822" s="15"/>
    </row>
    <row r="823" spans="8:14" x14ac:dyDescent="0.2">
      <c r="H823" s="15"/>
      <c r="I823" s="15"/>
      <c r="J823" s="15"/>
      <c r="K823" s="15"/>
      <c r="L823" s="15"/>
      <c r="M823" s="15"/>
      <c r="N823" s="15"/>
    </row>
    <row r="824" spans="8:14" x14ac:dyDescent="0.2">
      <c r="H824" s="15"/>
      <c r="I824" s="15"/>
      <c r="J824" s="15"/>
      <c r="K824" s="15"/>
      <c r="L824" s="15"/>
      <c r="M824" s="15"/>
      <c r="N824" s="15"/>
    </row>
    <row r="825" spans="8:14" x14ac:dyDescent="0.2">
      <c r="H825" s="15"/>
      <c r="I825" s="15"/>
      <c r="J825" s="15"/>
      <c r="K825" s="15"/>
      <c r="L825" s="15"/>
      <c r="M825" s="15"/>
      <c r="N825" s="15"/>
    </row>
    <row r="826" spans="8:14" x14ac:dyDescent="0.2">
      <c r="H826" s="15"/>
      <c r="I826" s="15"/>
      <c r="J826" s="15"/>
      <c r="K826" s="15"/>
      <c r="L826" s="15"/>
      <c r="M826" s="15"/>
      <c r="N826" s="15"/>
    </row>
    <row r="827" spans="8:14" x14ac:dyDescent="0.2">
      <c r="H827" s="15"/>
      <c r="I827" s="15"/>
      <c r="J827" s="15"/>
      <c r="K827" s="15"/>
      <c r="L827" s="15"/>
      <c r="M827" s="15"/>
      <c r="N827" s="15"/>
    </row>
    <row r="828" spans="8:14" x14ac:dyDescent="0.2">
      <c r="H828" s="15"/>
      <c r="I828" s="15"/>
      <c r="J828" s="15"/>
      <c r="K828" s="15"/>
      <c r="L828" s="15"/>
      <c r="M828" s="15"/>
      <c r="N828" s="15"/>
    </row>
    <row r="829" spans="8:14" x14ac:dyDescent="0.2">
      <c r="H829" s="15"/>
      <c r="I829" s="15"/>
      <c r="J829" s="15"/>
      <c r="K829" s="15"/>
      <c r="L829" s="15"/>
      <c r="M829" s="15"/>
      <c r="N829" s="15"/>
    </row>
    <row r="830" spans="8:14" x14ac:dyDescent="0.2">
      <c r="H830" s="15"/>
      <c r="I830" s="15"/>
      <c r="J830" s="15"/>
      <c r="K830" s="15"/>
      <c r="L830" s="15"/>
      <c r="M830" s="15"/>
      <c r="N830" s="15"/>
    </row>
    <row r="831" spans="8:14" x14ac:dyDescent="0.2">
      <c r="H831" s="15"/>
      <c r="I831" s="15"/>
      <c r="J831" s="15"/>
      <c r="K831" s="15"/>
      <c r="L831" s="15"/>
      <c r="M831" s="15"/>
      <c r="N831" s="15"/>
    </row>
    <row r="832" spans="8:14" x14ac:dyDescent="0.2">
      <c r="H832" s="15"/>
      <c r="I832" s="15"/>
      <c r="J832" s="15"/>
      <c r="K832" s="15"/>
      <c r="L832" s="15"/>
      <c r="M832" s="15"/>
      <c r="N832" s="15"/>
    </row>
    <row r="833" spans="8:14" x14ac:dyDescent="0.2">
      <c r="H833" s="15"/>
      <c r="I833" s="15"/>
      <c r="J833" s="15"/>
      <c r="K833" s="15"/>
      <c r="L833" s="15"/>
      <c r="M833" s="15"/>
      <c r="N833" s="15"/>
    </row>
    <row r="834" spans="8:14" x14ac:dyDescent="0.2">
      <c r="H834" s="15"/>
      <c r="I834" s="15"/>
      <c r="J834" s="15"/>
      <c r="K834" s="15"/>
      <c r="L834" s="15"/>
      <c r="M834" s="15"/>
      <c r="N834" s="15"/>
    </row>
    <row r="835" spans="8:14" x14ac:dyDescent="0.2">
      <c r="H835" s="15"/>
      <c r="I835" s="15"/>
      <c r="J835" s="15"/>
      <c r="K835" s="15"/>
      <c r="L835" s="15"/>
      <c r="M835" s="15"/>
      <c r="N835" s="15"/>
    </row>
    <row r="836" spans="8:14" x14ac:dyDescent="0.2">
      <c r="H836" s="15"/>
      <c r="I836" s="15"/>
      <c r="J836" s="15"/>
      <c r="K836" s="15"/>
      <c r="L836" s="15"/>
      <c r="M836" s="15"/>
      <c r="N836" s="15"/>
    </row>
    <row r="837" spans="8:14" x14ac:dyDescent="0.2">
      <c r="H837" s="15"/>
      <c r="I837" s="15"/>
      <c r="J837" s="15"/>
      <c r="K837" s="15"/>
      <c r="L837" s="15"/>
      <c r="M837" s="15"/>
      <c r="N837" s="15"/>
    </row>
    <row r="838" spans="8:14" x14ac:dyDescent="0.2">
      <c r="H838" s="15"/>
      <c r="I838" s="15"/>
      <c r="J838" s="15"/>
      <c r="K838" s="15"/>
      <c r="L838" s="15"/>
      <c r="M838" s="15"/>
      <c r="N838" s="15"/>
    </row>
    <row r="839" spans="8:14" x14ac:dyDescent="0.2">
      <c r="H839" s="15"/>
      <c r="I839" s="15"/>
      <c r="J839" s="15"/>
      <c r="K839" s="15"/>
      <c r="L839" s="15"/>
      <c r="M839" s="15"/>
      <c r="N839" s="15"/>
    </row>
    <row r="840" spans="8:14" x14ac:dyDescent="0.2">
      <c r="H840" s="15"/>
      <c r="I840" s="15"/>
      <c r="J840" s="15"/>
      <c r="K840" s="15"/>
      <c r="L840" s="15"/>
      <c r="M840" s="15"/>
      <c r="N840" s="15"/>
    </row>
    <row r="841" spans="8:14" x14ac:dyDescent="0.2">
      <c r="H841" s="15"/>
      <c r="I841" s="15"/>
      <c r="J841" s="15"/>
      <c r="K841" s="15"/>
      <c r="L841" s="15"/>
      <c r="M841" s="15"/>
      <c r="N841" s="15"/>
    </row>
    <row r="842" spans="8:14" x14ac:dyDescent="0.2">
      <c r="H842" s="15"/>
      <c r="I842" s="15"/>
      <c r="J842" s="15"/>
      <c r="K842" s="15"/>
      <c r="L842" s="15"/>
      <c r="M842" s="15"/>
      <c r="N842" s="15"/>
    </row>
    <row r="843" spans="8:14" x14ac:dyDescent="0.2">
      <c r="H843" s="15"/>
      <c r="I843" s="15"/>
      <c r="J843" s="15"/>
      <c r="K843" s="15"/>
      <c r="L843" s="15"/>
      <c r="M843" s="15"/>
      <c r="N843" s="15"/>
    </row>
    <row r="844" spans="8:14" x14ac:dyDescent="0.2">
      <c r="H844" s="15"/>
      <c r="I844" s="15"/>
      <c r="J844" s="15"/>
      <c r="K844" s="15"/>
      <c r="L844" s="15"/>
      <c r="M844" s="15"/>
      <c r="N844" s="15"/>
    </row>
    <row r="845" spans="8:14" x14ac:dyDescent="0.2">
      <c r="H845" s="15"/>
      <c r="I845" s="15"/>
      <c r="J845" s="15"/>
      <c r="K845" s="15"/>
      <c r="L845" s="15"/>
      <c r="M845" s="15"/>
      <c r="N845" s="15"/>
    </row>
    <row r="846" spans="8:14" x14ac:dyDescent="0.2">
      <c r="H846" s="15"/>
      <c r="I846" s="15"/>
      <c r="J846" s="15"/>
      <c r="K846" s="15"/>
      <c r="L846" s="15"/>
      <c r="M846" s="15"/>
      <c r="N846" s="15"/>
    </row>
    <row r="847" spans="8:14" x14ac:dyDescent="0.2">
      <c r="H847" s="15"/>
      <c r="I847" s="15"/>
      <c r="J847" s="15"/>
      <c r="K847" s="15"/>
      <c r="L847" s="15"/>
      <c r="M847" s="15"/>
      <c r="N847" s="15"/>
    </row>
    <row r="848" spans="8:14" x14ac:dyDescent="0.2">
      <c r="H848" s="15"/>
      <c r="I848" s="15"/>
      <c r="J848" s="15"/>
      <c r="K848" s="15"/>
      <c r="L848" s="15"/>
      <c r="M848" s="15"/>
      <c r="N848" s="15"/>
    </row>
    <row r="849" spans="8:14" x14ac:dyDescent="0.2">
      <c r="H849" s="15"/>
      <c r="I849" s="15"/>
      <c r="J849" s="15"/>
      <c r="K849" s="15"/>
      <c r="L849" s="15"/>
      <c r="M849" s="15"/>
      <c r="N849" s="15"/>
    </row>
    <row r="850" spans="8:14" x14ac:dyDescent="0.2">
      <c r="H850" s="15"/>
      <c r="I850" s="15"/>
      <c r="J850" s="15"/>
      <c r="K850" s="15"/>
      <c r="L850" s="15"/>
      <c r="M850" s="15"/>
      <c r="N850" s="15"/>
    </row>
    <row r="851" spans="8:14" x14ac:dyDescent="0.2">
      <c r="H851" s="15"/>
      <c r="I851" s="15"/>
      <c r="J851" s="15"/>
      <c r="K851" s="15"/>
      <c r="L851" s="15"/>
      <c r="M851" s="15"/>
      <c r="N851" s="15"/>
    </row>
    <row r="852" spans="8:14" x14ac:dyDescent="0.2">
      <c r="H852" s="15"/>
      <c r="I852" s="15"/>
      <c r="J852" s="15"/>
      <c r="K852" s="15"/>
      <c r="L852" s="15"/>
      <c r="M852" s="15"/>
      <c r="N852" s="15"/>
    </row>
    <row r="853" spans="8:14" x14ac:dyDescent="0.2">
      <c r="H853" s="15"/>
      <c r="I853" s="15"/>
      <c r="J853" s="15"/>
      <c r="K853" s="15"/>
      <c r="L853" s="15"/>
      <c r="M853" s="15"/>
      <c r="N853" s="15"/>
    </row>
    <row r="854" spans="8:14" x14ac:dyDescent="0.2">
      <c r="H854" s="15"/>
      <c r="I854" s="15"/>
      <c r="J854" s="15"/>
      <c r="K854" s="15"/>
      <c r="L854" s="15"/>
      <c r="M854" s="15"/>
      <c r="N854" s="15"/>
    </row>
    <row r="855" spans="8:14" x14ac:dyDescent="0.2">
      <c r="H855" s="15"/>
      <c r="I855" s="15"/>
      <c r="J855" s="15"/>
      <c r="K855" s="15"/>
      <c r="L855" s="15"/>
      <c r="M855" s="15"/>
      <c r="N855" s="15"/>
    </row>
    <row r="856" spans="8:14" x14ac:dyDescent="0.2">
      <c r="H856" s="15"/>
      <c r="I856" s="15"/>
      <c r="J856" s="15"/>
      <c r="K856" s="15"/>
      <c r="L856" s="15"/>
      <c r="M856" s="15"/>
      <c r="N856" s="15"/>
    </row>
    <row r="857" spans="8:14" x14ac:dyDescent="0.2">
      <c r="H857" s="15"/>
      <c r="I857" s="15"/>
      <c r="J857" s="15"/>
      <c r="K857" s="15"/>
      <c r="L857" s="15"/>
      <c r="M857" s="15"/>
      <c r="N857" s="15"/>
    </row>
    <row r="858" spans="8:14" x14ac:dyDescent="0.2">
      <c r="H858" s="15"/>
      <c r="I858" s="15"/>
      <c r="J858" s="15"/>
      <c r="K858" s="15"/>
      <c r="L858" s="15"/>
      <c r="M858" s="15"/>
      <c r="N858" s="15"/>
    </row>
    <row r="859" spans="8:14" x14ac:dyDescent="0.2">
      <c r="H859" s="15"/>
      <c r="I859" s="15"/>
      <c r="J859" s="15"/>
      <c r="K859" s="15"/>
      <c r="L859" s="15"/>
      <c r="M859" s="15"/>
      <c r="N859" s="15"/>
    </row>
    <row r="860" spans="8:14" x14ac:dyDescent="0.2">
      <c r="H860" s="15"/>
      <c r="I860" s="15"/>
      <c r="J860" s="15"/>
      <c r="K860" s="15"/>
      <c r="L860" s="15"/>
      <c r="M860" s="15"/>
      <c r="N860" s="15"/>
    </row>
    <row r="861" spans="8:14" x14ac:dyDescent="0.2">
      <c r="H861" s="15"/>
      <c r="I861" s="15"/>
      <c r="J861" s="15"/>
      <c r="K861" s="15"/>
      <c r="L861" s="15"/>
      <c r="M861" s="15"/>
      <c r="N861" s="15"/>
    </row>
    <row r="862" spans="8:14" x14ac:dyDescent="0.2">
      <c r="H862" s="15"/>
      <c r="I862" s="15"/>
      <c r="J862" s="15"/>
      <c r="K862" s="15"/>
      <c r="L862" s="15"/>
      <c r="M862" s="15"/>
      <c r="N862" s="15"/>
    </row>
    <row r="863" spans="8:14" x14ac:dyDescent="0.2">
      <c r="H863" s="15"/>
      <c r="I863" s="15"/>
      <c r="J863" s="15"/>
      <c r="K863" s="15"/>
      <c r="L863" s="15"/>
      <c r="M863" s="15"/>
      <c r="N863" s="15"/>
    </row>
    <row r="864" spans="8:14" x14ac:dyDescent="0.2">
      <c r="H864" s="15"/>
      <c r="I864" s="15"/>
      <c r="J864" s="15"/>
      <c r="K864" s="15"/>
      <c r="L864" s="15"/>
      <c r="M864" s="15"/>
      <c r="N864" s="15"/>
    </row>
    <row r="865" spans="8:14" x14ac:dyDescent="0.2">
      <c r="H865" s="15"/>
      <c r="I865" s="15"/>
      <c r="J865" s="15"/>
      <c r="K865" s="15"/>
      <c r="L865" s="15"/>
      <c r="M865" s="15"/>
      <c r="N865" s="15"/>
    </row>
    <row r="866" spans="8:14" x14ac:dyDescent="0.2">
      <c r="H866" s="15"/>
      <c r="I866" s="15"/>
      <c r="J866" s="15"/>
      <c r="K866" s="15"/>
      <c r="L866" s="15"/>
      <c r="M866" s="15"/>
      <c r="N866" s="15"/>
    </row>
    <row r="867" spans="8:14" x14ac:dyDescent="0.2">
      <c r="H867" s="15"/>
      <c r="I867" s="15"/>
      <c r="J867" s="15"/>
      <c r="K867" s="15"/>
      <c r="L867" s="15"/>
      <c r="M867" s="15"/>
      <c r="N867" s="15"/>
    </row>
    <row r="868" spans="8:14" x14ac:dyDescent="0.2">
      <c r="H868" s="15"/>
      <c r="I868" s="15"/>
      <c r="J868" s="15"/>
      <c r="K868" s="15"/>
      <c r="L868" s="15"/>
      <c r="M868" s="15"/>
      <c r="N868" s="15"/>
    </row>
    <row r="869" spans="8:14" x14ac:dyDescent="0.2">
      <c r="H869" s="15"/>
      <c r="I869" s="15"/>
      <c r="J869" s="15"/>
      <c r="K869" s="15"/>
      <c r="L869" s="15"/>
      <c r="M869" s="15"/>
      <c r="N869" s="15"/>
    </row>
    <row r="870" spans="8:14" x14ac:dyDescent="0.2">
      <c r="H870" s="15"/>
      <c r="I870" s="15"/>
      <c r="J870" s="15"/>
      <c r="K870" s="15"/>
      <c r="L870" s="15"/>
      <c r="M870" s="15"/>
      <c r="N870" s="15"/>
    </row>
    <row r="871" spans="8:14" x14ac:dyDescent="0.2">
      <c r="H871" s="15"/>
      <c r="I871" s="15"/>
      <c r="J871" s="15"/>
      <c r="K871" s="15"/>
      <c r="L871" s="15"/>
      <c r="M871" s="15"/>
      <c r="N871" s="15"/>
    </row>
    <row r="872" spans="8:14" x14ac:dyDescent="0.2">
      <c r="H872" s="15"/>
      <c r="I872" s="15"/>
      <c r="J872" s="15"/>
      <c r="K872" s="15"/>
      <c r="L872" s="15"/>
      <c r="M872" s="15"/>
      <c r="N872" s="15"/>
    </row>
    <row r="873" spans="8:14" x14ac:dyDescent="0.2">
      <c r="H873" s="15"/>
      <c r="I873" s="15"/>
      <c r="J873" s="15"/>
      <c r="K873" s="15"/>
      <c r="L873" s="15"/>
      <c r="M873" s="15"/>
      <c r="N873" s="15"/>
    </row>
    <row r="874" spans="8:14" x14ac:dyDescent="0.2">
      <c r="H874" s="15"/>
      <c r="I874" s="15"/>
      <c r="J874" s="15"/>
      <c r="K874" s="15"/>
      <c r="L874" s="15"/>
      <c r="M874" s="15"/>
      <c r="N874" s="15"/>
    </row>
    <row r="875" spans="8:14" x14ac:dyDescent="0.2">
      <c r="H875" s="15"/>
      <c r="I875" s="15"/>
      <c r="J875" s="15"/>
      <c r="K875" s="15"/>
      <c r="L875" s="15"/>
      <c r="M875" s="15"/>
      <c r="N875" s="15"/>
    </row>
    <row r="876" spans="8:14" x14ac:dyDescent="0.2">
      <c r="H876" s="15"/>
      <c r="I876" s="15"/>
      <c r="J876" s="15"/>
      <c r="K876" s="15"/>
      <c r="L876" s="15"/>
      <c r="M876" s="15"/>
      <c r="N876" s="15"/>
    </row>
    <row r="877" spans="8:14" x14ac:dyDescent="0.2">
      <c r="H877" s="15"/>
      <c r="I877" s="15"/>
      <c r="J877" s="15"/>
      <c r="K877" s="15"/>
      <c r="L877" s="15"/>
      <c r="M877" s="15"/>
      <c r="N877" s="15"/>
    </row>
    <row r="878" spans="8:14" x14ac:dyDescent="0.2">
      <c r="H878" s="15"/>
      <c r="I878" s="15"/>
      <c r="J878" s="15"/>
      <c r="K878" s="15"/>
      <c r="L878" s="15"/>
      <c r="M878" s="15"/>
      <c r="N878" s="15"/>
    </row>
    <row r="879" spans="8:14" x14ac:dyDescent="0.2">
      <c r="H879" s="15"/>
      <c r="I879" s="15"/>
      <c r="J879" s="15"/>
      <c r="K879" s="15"/>
      <c r="L879" s="15"/>
      <c r="M879" s="15"/>
      <c r="N879" s="15"/>
    </row>
    <row r="880" spans="8:14" x14ac:dyDescent="0.2">
      <c r="H880" s="15"/>
      <c r="I880" s="15"/>
      <c r="J880" s="15"/>
      <c r="K880" s="15"/>
      <c r="L880" s="15"/>
      <c r="M880" s="15"/>
      <c r="N880" s="15"/>
    </row>
    <row r="881" spans="8:14" x14ac:dyDescent="0.2">
      <c r="H881" s="15"/>
      <c r="I881" s="15"/>
      <c r="J881" s="15"/>
      <c r="K881" s="15"/>
      <c r="L881" s="15"/>
      <c r="M881" s="15"/>
      <c r="N881" s="15"/>
    </row>
    <row r="882" spans="8:14" x14ac:dyDescent="0.2">
      <c r="H882" s="15"/>
      <c r="I882" s="15"/>
      <c r="J882" s="15"/>
      <c r="K882" s="15"/>
      <c r="L882" s="15"/>
      <c r="M882" s="15"/>
      <c r="N882" s="15"/>
    </row>
    <row r="883" spans="8:14" x14ac:dyDescent="0.2">
      <c r="H883" s="15"/>
      <c r="I883" s="15"/>
      <c r="J883" s="15"/>
      <c r="K883" s="15"/>
      <c r="L883" s="15"/>
      <c r="M883" s="15"/>
      <c r="N883" s="15"/>
    </row>
    <row r="884" spans="8:14" x14ac:dyDescent="0.2">
      <c r="H884" s="15"/>
      <c r="I884" s="15"/>
      <c r="J884" s="15"/>
      <c r="K884" s="15"/>
      <c r="L884" s="15"/>
      <c r="M884" s="15"/>
      <c r="N884" s="15"/>
    </row>
    <row r="885" spans="8:14" x14ac:dyDescent="0.2">
      <c r="H885" s="15"/>
      <c r="I885" s="15"/>
      <c r="J885" s="15"/>
      <c r="K885" s="15"/>
      <c r="L885" s="15"/>
      <c r="M885" s="15"/>
      <c r="N885" s="15"/>
    </row>
    <row r="886" spans="8:14" x14ac:dyDescent="0.2">
      <c r="H886" s="15"/>
      <c r="I886" s="15"/>
      <c r="J886" s="15"/>
      <c r="K886" s="15"/>
      <c r="L886" s="15"/>
      <c r="M886" s="15"/>
      <c r="N886" s="15"/>
    </row>
    <row r="887" spans="8:14" x14ac:dyDescent="0.2">
      <c r="H887" s="15"/>
      <c r="I887" s="15"/>
      <c r="J887" s="15"/>
      <c r="K887" s="15"/>
      <c r="L887" s="15"/>
      <c r="M887" s="15"/>
      <c r="N887" s="15"/>
    </row>
    <row r="888" spans="8:14" x14ac:dyDescent="0.2">
      <c r="H888" s="15"/>
      <c r="I888" s="15"/>
      <c r="J888" s="15"/>
      <c r="K888" s="15"/>
      <c r="L888" s="15"/>
      <c r="M888" s="15"/>
      <c r="N888" s="15"/>
    </row>
    <row r="889" spans="8:14" x14ac:dyDescent="0.2">
      <c r="H889" s="15"/>
      <c r="I889" s="15"/>
      <c r="J889" s="15"/>
      <c r="K889" s="15"/>
      <c r="L889" s="15"/>
      <c r="M889" s="15"/>
      <c r="N889" s="15"/>
    </row>
    <row r="890" spans="8:14" x14ac:dyDescent="0.2">
      <c r="H890" s="15"/>
      <c r="I890" s="15"/>
      <c r="J890" s="15"/>
      <c r="K890" s="15"/>
      <c r="L890" s="15"/>
      <c r="M890" s="15"/>
      <c r="N890" s="15"/>
    </row>
    <row r="891" spans="8:14" x14ac:dyDescent="0.2">
      <c r="H891" s="15"/>
      <c r="I891" s="15"/>
      <c r="J891" s="15"/>
      <c r="K891" s="15"/>
      <c r="L891" s="15"/>
      <c r="M891" s="15"/>
      <c r="N891" s="15"/>
    </row>
    <row r="892" spans="8:14" x14ac:dyDescent="0.2">
      <c r="H892" s="15"/>
      <c r="I892" s="15"/>
      <c r="J892" s="15"/>
      <c r="K892" s="15"/>
      <c r="L892" s="15"/>
      <c r="M892" s="15"/>
      <c r="N892" s="15"/>
    </row>
    <row r="893" spans="8:14" x14ac:dyDescent="0.2">
      <c r="H893" s="15"/>
      <c r="I893" s="15"/>
      <c r="J893" s="15"/>
      <c r="K893" s="15"/>
      <c r="L893" s="15"/>
      <c r="M893" s="15"/>
      <c r="N893" s="15"/>
    </row>
    <row r="894" spans="8:14" x14ac:dyDescent="0.2">
      <c r="H894" s="15"/>
      <c r="I894" s="15"/>
      <c r="J894" s="15"/>
      <c r="K894" s="15"/>
      <c r="L894" s="15"/>
      <c r="M894" s="15"/>
      <c r="N894" s="15"/>
    </row>
    <row r="895" spans="8:14" x14ac:dyDescent="0.2">
      <c r="H895" s="15"/>
      <c r="I895" s="15"/>
      <c r="J895" s="15"/>
      <c r="K895" s="15"/>
      <c r="L895" s="15"/>
      <c r="M895" s="15"/>
      <c r="N895" s="15"/>
    </row>
    <row r="896" spans="8:14" x14ac:dyDescent="0.2">
      <c r="H896" s="15"/>
      <c r="I896" s="15"/>
      <c r="J896" s="15"/>
      <c r="K896" s="15"/>
      <c r="L896" s="15"/>
      <c r="M896" s="15"/>
      <c r="N896" s="15"/>
    </row>
    <row r="897" spans="8:14" x14ac:dyDescent="0.2">
      <c r="H897" s="15"/>
      <c r="I897" s="15"/>
      <c r="J897" s="15"/>
      <c r="K897" s="15"/>
      <c r="L897" s="15"/>
      <c r="M897" s="15"/>
      <c r="N897" s="15"/>
    </row>
    <row r="898" spans="8:14" x14ac:dyDescent="0.2">
      <c r="H898" s="15"/>
      <c r="I898" s="15"/>
      <c r="J898" s="15"/>
      <c r="K898" s="15"/>
      <c r="L898" s="15"/>
      <c r="M898" s="15"/>
      <c r="N898" s="15"/>
    </row>
    <row r="899" spans="8:14" x14ac:dyDescent="0.2">
      <c r="H899" s="15"/>
      <c r="I899" s="15"/>
      <c r="J899" s="15"/>
      <c r="K899" s="15"/>
      <c r="L899" s="15"/>
      <c r="M899" s="15"/>
      <c r="N899" s="15"/>
    </row>
    <row r="900" spans="8:14" x14ac:dyDescent="0.2">
      <c r="H900" s="15"/>
      <c r="I900" s="15"/>
      <c r="J900" s="15"/>
      <c r="K900" s="15"/>
      <c r="L900" s="15"/>
      <c r="M900" s="15"/>
      <c r="N900" s="15"/>
    </row>
    <row r="901" spans="8:14" x14ac:dyDescent="0.2">
      <c r="H901" s="15"/>
      <c r="I901" s="15"/>
      <c r="J901" s="15"/>
      <c r="K901" s="15"/>
      <c r="L901" s="15"/>
      <c r="M901" s="15"/>
      <c r="N901" s="15"/>
    </row>
    <row r="902" spans="8:14" x14ac:dyDescent="0.2">
      <c r="H902" s="15"/>
      <c r="I902" s="15"/>
      <c r="J902" s="15"/>
      <c r="K902" s="15"/>
      <c r="L902" s="15"/>
      <c r="M902" s="15"/>
      <c r="N902" s="15"/>
    </row>
    <row r="903" spans="8:14" x14ac:dyDescent="0.2">
      <c r="H903" s="15"/>
      <c r="I903" s="15"/>
      <c r="J903" s="15"/>
      <c r="K903" s="15"/>
      <c r="L903" s="15"/>
      <c r="M903" s="15"/>
      <c r="N903" s="15"/>
    </row>
    <row r="904" spans="8:14" x14ac:dyDescent="0.2">
      <c r="H904" s="15"/>
      <c r="I904" s="15"/>
      <c r="J904" s="15"/>
      <c r="K904" s="15"/>
      <c r="L904" s="15"/>
      <c r="M904" s="15"/>
      <c r="N904" s="15"/>
    </row>
    <row r="905" spans="8:14" x14ac:dyDescent="0.2">
      <c r="H905" s="15"/>
      <c r="I905" s="15"/>
      <c r="J905" s="15"/>
      <c r="K905" s="15"/>
      <c r="L905" s="15"/>
      <c r="M905" s="15"/>
      <c r="N905" s="15"/>
    </row>
    <row r="906" spans="8:14" x14ac:dyDescent="0.2">
      <c r="H906" s="15"/>
      <c r="I906" s="15"/>
      <c r="J906" s="15"/>
      <c r="K906" s="15"/>
      <c r="L906" s="15"/>
      <c r="M906" s="15"/>
      <c r="N906" s="15"/>
    </row>
    <row r="907" spans="8:14" x14ac:dyDescent="0.2">
      <c r="H907" s="15"/>
      <c r="I907" s="15"/>
      <c r="J907" s="15"/>
      <c r="K907" s="15"/>
      <c r="L907" s="15"/>
      <c r="M907" s="15"/>
      <c r="N907" s="15"/>
    </row>
    <row r="908" spans="8:14" x14ac:dyDescent="0.2">
      <c r="H908" s="15"/>
      <c r="I908" s="15"/>
      <c r="J908" s="15"/>
      <c r="K908" s="15"/>
      <c r="L908" s="15"/>
      <c r="M908" s="15"/>
      <c r="N908" s="15"/>
    </row>
    <row r="909" spans="8:14" x14ac:dyDescent="0.2">
      <c r="H909" s="15"/>
      <c r="I909" s="15"/>
      <c r="J909" s="15"/>
      <c r="K909" s="15"/>
      <c r="L909" s="15"/>
      <c r="M909" s="15"/>
      <c r="N909" s="15"/>
    </row>
    <row r="910" spans="8:14" x14ac:dyDescent="0.2">
      <c r="H910" s="15"/>
      <c r="I910" s="15"/>
      <c r="J910" s="15"/>
      <c r="K910" s="15"/>
      <c r="L910" s="15"/>
      <c r="M910" s="15"/>
      <c r="N910" s="15"/>
    </row>
    <row r="911" spans="8:14" x14ac:dyDescent="0.2">
      <c r="H911" s="15"/>
      <c r="I911" s="15"/>
      <c r="J911" s="15"/>
      <c r="K911" s="15"/>
      <c r="L911" s="15"/>
      <c r="M911" s="15"/>
      <c r="N911" s="15"/>
    </row>
    <row r="912" spans="8:14" x14ac:dyDescent="0.2">
      <c r="H912" s="15"/>
      <c r="I912" s="15"/>
      <c r="J912" s="15"/>
      <c r="K912" s="15"/>
      <c r="L912" s="15"/>
      <c r="M912" s="15"/>
      <c r="N912" s="15"/>
    </row>
    <row r="913" spans="8:14" x14ac:dyDescent="0.2">
      <c r="H913" s="15"/>
      <c r="I913" s="15"/>
      <c r="J913" s="15"/>
      <c r="K913" s="15"/>
      <c r="L913" s="15"/>
      <c r="M913" s="15"/>
      <c r="N913" s="15"/>
    </row>
    <row r="914" spans="8:14" x14ac:dyDescent="0.2">
      <c r="H914" s="15"/>
      <c r="I914" s="15"/>
      <c r="J914" s="15"/>
      <c r="K914" s="15"/>
      <c r="L914" s="15"/>
      <c r="M914" s="15"/>
      <c r="N914" s="15"/>
    </row>
    <row r="915" spans="8:14" x14ac:dyDescent="0.2">
      <c r="H915" s="15"/>
      <c r="I915" s="15"/>
      <c r="J915" s="15"/>
      <c r="K915" s="15"/>
      <c r="L915" s="15"/>
      <c r="M915" s="15"/>
      <c r="N915" s="15"/>
    </row>
    <row r="916" spans="8:14" x14ac:dyDescent="0.2">
      <c r="H916" s="15"/>
      <c r="I916" s="15"/>
      <c r="J916" s="15"/>
      <c r="K916" s="15"/>
      <c r="L916" s="15"/>
      <c r="M916" s="15"/>
      <c r="N916" s="15"/>
    </row>
    <row r="917" spans="8:14" x14ac:dyDescent="0.2">
      <c r="H917" s="15"/>
      <c r="I917" s="15"/>
      <c r="J917" s="15"/>
      <c r="K917" s="15"/>
      <c r="L917" s="15"/>
      <c r="M917" s="15"/>
      <c r="N917" s="15"/>
    </row>
    <row r="918" spans="8:14" x14ac:dyDescent="0.2">
      <c r="H918" s="15"/>
      <c r="I918" s="15"/>
      <c r="J918" s="15"/>
      <c r="K918" s="15"/>
      <c r="L918" s="15"/>
      <c r="M918" s="15"/>
      <c r="N918" s="15"/>
    </row>
    <row r="919" spans="8:14" x14ac:dyDescent="0.2">
      <c r="H919" s="15"/>
      <c r="I919" s="15"/>
      <c r="J919" s="15"/>
      <c r="K919" s="15"/>
      <c r="L919" s="15"/>
      <c r="M919" s="15"/>
      <c r="N919" s="15"/>
    </row>
    <row r="920" spans="8:14" x14ac:dyDescent="0.2">
      <c r="H920" s="15"/>
      <c r="I920" s="15"/>
      <c r="J920" s="15"/>
      <c r="K920" s="15"/>
      <c r="L920" s="15"/>
      <c r="M920" s="15"/>
      <c r="N920" s="15"/>
    </row>
    <row r="921" spans="8:14" x14ac:dyDescent="0.2">
      <c r="H921" s="15"/>
      <c r="I921" s="15"/>
      <c r="J921" s="15"/>
      <c r="K921" s="15"/>
      <c r="L921" s="15"/>
      <c r="M921" s="15"/>
      <c r="N921" s="15"/>
    </row>
    <row r="922" spans="8:14" x14ac:dyDescent="0.2">
      <c r="H922" s="15"/>
      <c r="I922" s="15"/>
      <c r="J922" s="15"/>
      <c r="K922" s="15"/>
      <c r="L922" s="15"/>
      <c r="M922" s="15"/>
      <c r="N922" s="15"/>
    </row>
    <row r="923" spans="8:14" x14ac:dyDescent="0.2">
      <c r="H923" s="15"/>
      <c r="I923" s="15"/>
      <c r="J923" s="15"/>
      <c r="K923" s="15"/>
      <c r="L923" s="15"/>
      <c r="M923" s="15"/>
      <c r="N923" s="15"/>
    </row>
    <row r="924" spans="8:14" x14ac:dyDescent="0.2">
      <c r="H924" s="15"/>
      <c r="I924" s="15"/>
      <c r="J924" s="15"/>
      <c r="K924" s="15"/>
      <c r="L924" s="15"/>
      <c r="M924" s="15"/>
      <c r="N924" s="15"/>
    </row>
    <row r="925" spans="8:14" x14ac:dyDescent="0.2">
      <c r="H925" s="15"/>
      <c r="I925" s="15"/>
      <c r="J925" s="15"/>
      <c r="K925" s="15"/>
      <c r="L925" s="15"/>
      <c r="M925" s="15"/>
      <c r="N925" s="15"/>
    </row>
    <row r="926" spans="8:14" x14ac:dyDescent="0.2">
      <c r="H926" s="15"/>
      <c r="I926" s="15"/>
      <c r="J926" s="15"/>
      <c r="K926" s="15"/>
      <c r="L926" s="15"/>
      <c r="M926" s="15"/>
      <c r="N926" s="15"/>
    </row>
    <row r="927" spans="8:14" x14ac:dyDescent="0.2">
      <c r="H927" s="15"/>
      <c r="I927" s="15"/>
      <c r="J927" s="15"/>
      <c r="K927" s="15"/>
      <c r="L927" s="15"/>
      <c r="M927" s="15"/>
      <c r="N927" s="15"/>
    </row>
    <row r="928" spans="8:14" x14ac:dyDescent="0.2">
      <c r="H928" s="15"/>
      <c r="I928" s="15"/>
      <c r="J928" s="15"/>
      <c r="K928" s="15"/>
      <c r="L928" s="15"/>
      <c r="M928" s="15"/>
      <c r="N928" s="15"/>
    </row>
    <row r="929" spans="8:14" x14ac:dyDescent="0.2">
      <c r="H929" s="15"/>
      <c r="I929" s="15"/>
      <c r="J929" s="15"/>
      <c r="K929" s="15"/>
      <c r="L929" s="15"/>
      <c r="M929" s="15"/>
      <c r="N929" s="15"/>
    </row>
    <row r="930" spans="8:14" x14ac:dyDescent="0.2">
      <c r="H930" s="15"/>
      <c r="I930" s="15"/>
      <c r="J930" s="15"/>
      <c r="K930" s="15"/>
      <c r="L930" s="15"/>
      <c r="M930" s="15"/>
      <c r="N930" s="15"/>
    </row>
    <row r="931" spans="8:14" x14ac:dyDescent="0.2">
      <c r="H931" s="15"/>
      <c r="I931" s="15"/>
      <c r="J931" s="15"/>
      <c r="K931" s="15"/>
      <c r="L931" s="15"/>
      <c r="M931" s="15"/>
      <c r="N931" s="15"/>
    </row>
    <row r="932" spans="8:14" x14ac:dyDescent="0.2">
      <c r="H932" s="15"/>
      <c r="I932" s="15"/>
      <c r="J932" s="15"/>
      <c r="K932" s="15"/>
      <c r="L932" s="15"/>
      <c r="M932" s="15"/>
      <c r="N932" s="15"/>
    </row>
    <row r="933" spans="8:14" x14ac:dyDescent="0.2">
      <c r="H933" s="15"/>
      <c r="I933" s="15"/>
      <c r="J933" s="15"/>
      <c r="K933" s="15"/>
      <c r="L933" s="15"/>
      <c r="M933" s="15"/>
      <c r="N933" s="15"/>
    </row>
    <row r="934" spans="8:14" x14ac:dyDescent="0.2">
      <c r="H934" s="15"/>
      <c r="I934" s="15"/>
      <c r="J934" s="15"/>
      <c r="K934" s="15"/>
      <c r="L934" s="15"/>
      <c r="M934" s="15"/>
      <c r="N934" s="15"/>
    </row>
    <row r="935" spans="8:14" x14ac:dyDescent="0.2">
      <c r="H935" s="15"/>
      <c r="I935" s="15"/>
      <c r="J935" s="15"/>
      <c r="K935" s="15"/>
      <c r="L935" s="15"/>
      <c r="M935" s="15"/>
      <c r="N935" s="15"/>
    </row>
    <row r="936" spans="8:14" x14ac:dyDescent="0.2">
      <c r="H936" s="15"/>
      <c r="I936" s="15"/>
      <c r="J936" s="15"/>
      <c r="K936" s="15"/>
      <c r="L936" s="15"/>
      <c r="M936" s="15"/>
      <c r="N936" s="15"/>
    </row>
    <row r="937" spans="8:14" x14ac:dyDescent="0.2">
      <c r="H937" s="15"/>
      <c r="I937" s="15"/>
      <c r="J937" s="15"/>
      <c r="K937" s="15"/>
      <c r="L937" s="15"/>
      <c r="M937" s="15"/>
      <c r="N937" s="15"/>
    </row>
    <row r="938" spans="8:14" x14ac:dyDescent="0.2">
      <c r="H938" s="15"/>
      <c r="I938" s="15"/>
      <c r="J938" s="15"/>
      <c r="K938" s="15"/>
      <c r="L938" s="15"/>
      <c r="M938" s="15"/>
      <c r="N938" s="15"/>
    </row>
    <row r="939" spans="8:14" x14ac:dyDescent="0.2">
      <c r="H939" s="15"/>
      <c r="I939" s="15"/>
      <c r="J939" s="15"/>
      <c r="K939" s="15"/>
      <c r="L939" s="15"/>
      <c r="M939" s="15"/>
      <c r="N939" s="15"/>
    </row>
    <row r="940" spans="8:14" x14ac:dyDescent="0.2">
      <c r="H940" s="15"/>
      <c r="I940" s="15"/>
      <c r="J940" s="15"/>
      <c r="K940" s="15"/>
      <c r="L940" s="15"/>
      <c r="M940" s="15"/>
      <c r="N940" s="15"/>
    </row>
    <row r="941" spans="8:14" x14ac:dyDescent="0.2">
      <c r="H941" s="15"/>
      <c r="I941" s="15"/>
      <c r="J941" s="15"/>
      <c r="K941" s="15"/>
      <c r="L941" s="15"/>
      <c r="M941" s="15"/>
      <c r="N941" s="15"/>
    </row>
    <row r="942" spans="8:14" x14ac:dyDescent="0.2">
      <c r="H942" s="15"/>
      <c r="I942" s="15"/>
      <c r="J942" s="15"/>
      <c r="K942" s="15"/>
      <c r="L942" s="15"/>
      <c r="M942" s="15"/>
      <c r="N942" s="15"/>
    </row>
    <row r="943" spans="8:14" x14ac:dyDescent="0.2">
      <c r="H943" s="15"/>
      <c r="I943" s="15"/>
      <c r="J943" s="15"/>
      <c r="K943" s="15"/>
      <c r="L943" s="15"/>
      <c r="M943" s="15"/>
      <c r="N943" s="15"/>
    </row>
    <row r="944" spans="8:14" x14ac:dyDescent="0.2">
      <c r="H944" s="15"/>
      <c r="I944" s="15"/>
      <c r="J944" s="15"/>
      <c r="K944" s="15"/>
      <c r="L944" s="15"/>
      <c r="M944" s="15"/>
      <c r="N944" s="15"/>
    </row>
    <row r="945" spans="8:14" x14ac:dyDescent="0.2">
      <c r="H945" s="15"/>
      <c r="I945" s="15"/>
      <c r="J945" s="15"/>
      <c r="K945" s="15"/>
      <c r="L945" s="15"/>
      <c r="M945" s="15"/>
      <c r="N945" s="15"/>
    </row>
    <row r="946" spans="8:14" x14ac:dyDescent="0.2">
      <c r="H946" s="15"/>
      <c r="I946" s="15"/>
      <c r="J946" s="15"/>
      <c r="K946" s="15"/>
      <c r="L946" s="15"/>
      <c r="M946" s="15"/>
      <c r="N946" s="15"/>
    </row>
    <row r="947" spans="8:14" x14ac:dyDescent="0.2">
      <c r="H947" s="15"/>
      <c r="I947" s="15"/>
      <c r="J947" s="15"/>
      <c r="K947" s="15"/>
      <c r="L947" s="15"/>
      <c r="M947" s="15"/>
      <c r="N947" s="15"/>
    </row>
    <row r="948" spans="8:14" x14ac:dyDescent="0.2">
      <c r="H948" s="15"/>
      <c r="I948" s="15"/>
      <c r="J948" s="15"/>
      <c r="K948" s="15"/>
      <c r="L948" s="15"/>
      <c r="M948" s="15"/>
      <c r="N948" s="15"/>
    </row>
    <row r="949" spans="8:14" x14ac:dyDescent="0.2">
      <c r="H949" s="15"/>
      <c r="I949" s="15"/>
      <c r="J949" s="15"/>
      <c r="K949" s="15"/>
      <c r="L949" s="15"/>
      <c r="M949" s="15"/>
      <c r="N949" s="15"/>
    </row>
    <row r="950" spans="8:14" x14ac:dyDescent="0.2">
      <c r="H950" s="15"/>
      <c r="I950" s="15"/>
      <c r="J950" s="15"/>
      <c r="K950" s="15"/>
      <c r="L950" s="15"/>
      <c r="M950" s="15"/>
      <c r="N950" s="15"/>
    </row>
    <row r="951" spans="8:14" x14ac:dyDescent="0.2">
      <c r="H951" s="15"/>
      <c r="I951" s="15"/>
      <c r="J951" s="15"/>
      <c r="K951" s="15"/>
      <c r="L951" s="15"/>
      <c r="M951" s="15"/>
      <c r="N951" s="15"/>
    </row>
    <row r="952" spans="8:14" x14ac:dyDescent="0.2">
      <c r="H952" s="15"/>
      <c r="I952" s="15"/>
      <c r="J952" s="15"/>
      <c r="K952" s="15"/>
      <c r="L952" s="15"/>
      <c r="M952" s="15"/>
      <c r="N952" s="15"/>
    </row>
    <row r="953" spans="8:14" x14ac:dyDescent="0.2">
      <c r="H953" s="15"/>
      <c r="I953" s="15"/>
      <c r="J953" s="15"/>
      <c r="K953" s="15"/>
      <c r="L953" s="15"/>
      <c r="M953" s="15"/>
      <c r="N953" s="15"/>
    </row>
    <row r="954" spans="8:14" x14ac:dyDescent="0.2">
      <c r="H954" s="15"/>
      <c r="I954" s="15"/>
      <c r="J954" s="15"/>
      <c r="K954" s="15"/>
      <c r="L954" s="15"/>
      <c r="M954" s="15"/>
      <c r="N954" s="15"/>
    </row>
    <row r="955" spans="8:14" x14ac:dyDescent="0.2">
      <c r="H955" s="15"/>
      <c r="I955" s="15"/>
      <c r="J955" s="15"/>
      <c r="K955" s="15"/>
      <c r="L955" s="15"/>
      <c r="M955" s="15"/>
      <c r="N955" s="15"/>
    </row>
    <row r="956" spans="8:14" x14ac:dyDescent="0.2">
      <c r="H956" s="15"/>
      <c r="I956" s="15"/>
      <c r="J956" s="15"/>
      <c r="K956" s="15"/>
      <c r="L956" s="15"/>
      <c r="M956" s="15"/>
      <c r="N956" s="15"/>
    </row>
    <row r="957" spans="8:14" x14ac:dyDescent="0.2">
      <c r="H957" s="15"/>
      <c r="I957" s="15"/>
      <c r="J957" s="15"/>
      <c r="K957" s="15"/>
      <c r="L957" s="15"/>
      <c r="M957" s="15"/>
      <c r="N957" s="15"/>
    </row>
    <row r="958" spans="8:14" x14ac:dyDescent="0.2">
      <c r="H958" s="15"/>
      <c r="I958" s="15"/>
      <c r="J958" s="15"/>
      <c r="K958" s="15"/>
      <c r="L958" s="15"/>
      <c r="M958" s="15"/>
      <c r="N958" s="15"/>
    </row>
    <row r="959" spans="8:14" x14ac:dyDescent="0.2">
      <c r="H959" s="15"/>
      <c r="I959" s="15"/>
      <c r="J959" s="15"/>
      <c r="K959" s="15"/>
      <c r="L959" s="15"/>
      <c r="M959" s="15"/>
      <c r="N959" s="15"/>
    </row>
    <row r="960" spans="8:14" x14ac:dyDescent="0.2">
      <c r="H960" s="15"/>
      <c r="I960" s="15"/>
      <c r="J960" s="15"/>
      <c r="K960" s="15"/>
      <c r="L960" s="15"/>
      <c r="M960" s="15"/>
      <c r="N960" s="15"/>
    </row>
    <row r="961" spans="8:14" x14ac:dyDescent="0.2">
      <c r="H961" s="15"/>
      <c r="I961" s="15"/>
      <c r="J961" s="15"/>
      <c r="K961" s="15"/>
      <c r="L961" s="15"/>
      <c r="M961" s="15"/>
      <c r="N961" s="15"/>
    </row>
    <row r="962" spans="8:14" x14ac:dyDescent="0.2">
      <c r="H962" s="15"/>
      <c r="I962" s="15"/>
      <c r="J962" s="15"/>
      <c r="K962" s="15"/>
      <c r="L962" s="15"/>
      <c r="M962" s="15"/>
      <c r="N962" s="15"/>
    </row>
    <row r="963" spans="8:14" x14ac:dyDescent="0.2">
      <c r="H963" s="15"/>
      <c r="I963" s="15"/>
      <c r="J963" s="15"/>
      <c r="K963" s="15"/>
      <c r="L963" s="15"/>
      <c r="M963" s="15"/>
      <c r="N963" s="15"/>
    </row>
    <row r="964" spans="8:14" x14ac:dyDescent="0.2">
      <c r="H964" s="15"/>
      <c r="I964" s="15"/>
      <c r="J964" s="15"/>
      <c r="K964" s="15"/>
      <c r="L964" s="15"/>
      <c r="M964" s="15"/>
      <c r="N964" s="15"/>
    </row>
    <row r="965" spans="8:14" x14ac:dyDescent="0.2">
      <c r="H965" s="15"/>
      <c r="I965" s="15"/>
      <c r="J965" s="15"/>
      <c r="K965" s="15"/>
      <c r="L965" s="15"/>
      <c r="M965" s="15"/>
      <c r="N965" s="15"/>
    </row>
    <row r="966" spans="8:14" x14ac:dyDescent="0.2">
      <c r="H966" s="15"/>
      <c r="I966" s="15"/>
      <c r="J966" s="15"/>
      <c r="K966" s="15"/>
      <c r="L966" s="15"/>
      <c r="M966" s="15"/>
      <c r="N966" s="15"/>
    </row>
    <row r="967" spans="8:14" x14ac:dyDescent="0.2">
      <c r="H967" s="15"/>
      <c r="I967" s="15"/>
      <c r="J967" s="15"/>
      <c r="K967" s="15"/>
      <c r="L967" s="15"/>
      <c r="M967" s="15"/>
      <c r="N967" s="15"/>
    </row>
    <row r="968" spans="8:14" x14ac:dyDescent="0.2">
      <c r="H968" s="15"/>
      <c r="I968" s="15"/>
      <c r="J968" s="15"/>
      <c r="K968" s="15"/>
      <c r="L968" s="15"/>
      <c r="M968" s="15"/>
      <c r="N968" s="15"/>
    </row>
    <row r="969" spans="8:14" x14ac:dyDescent="0.2">
      <c r="H969" s="15"/>
      <c r="I969" s="15"/>
      <c r="J969" s="15"/>
      <c r="K969" s="15"/>
      <c r="L969" s="15"/>
      <c r="M969" s="15"/>
      <c r="N969" s="15"/>
    </row>
    <row r="970" spans="8:14" x14ac:dyDescent="0.2">
      <c r="H970" s="15"/>
      <c r="I970" s="15"/>
      <c r="J970" s="15"/>
      <c r="K970" s="15"/>
      <c r="L970" s="15"/>
      <c r="M970" s="15"/>
      <c r="N970" s="15"/>
    </row>
    <row r="971" spans="8:14" x14ac:dyDescent="0.2">
      <c r="H971" s="15"/>
      <c r="I971" s="15"/>
      <c r="J971" s="15"/>
      <c r="K971" s="15"/>
      <c r="L971" s="15"/>
      <c r="M971" s="15"/>
      <c r="N971" s="15"/>
    </row>
    <row r="972" spans="8:14" x14ac:dyDescent="0.2">
      <c r="H972" s="15"/>
      <c r="I972" s="15"/>
      <c r="J972" s="15"/>
      <c r="K972" s="15"/>
      <c r="L972" s="15"/>
      <c r="M972" s="15"/>
      <c r="N972" s="15"/>
    </row>
    <row r="973" spans="8:14" x14ac:dyDescent="0.2">
      <c r="H973" s="15"/>
      <c r="I973" s="15"/>
      <c r="J973" s="15"/>
      <c r="K973" s="15"/>
      <c r="L973" s="15"/>
      <c r="M973" s="15"/>
      <c r="N973" s="15"/>
    </row>
    <row r="974" spans="8:14" x14ac:dyDescent="0.2">
      <c r="H974" s="15"/>
      <c r="I974" s="15"/>
      <c r="J974" s="15"/>
      <c r="K974" s="15"/>
      <c r="L974" s="15"/>
      <c r="M974" s="15"/>
      <c r="N974" s="15"/>
    </row>
    <row r="975" spans="8:14" x14ac:dyDescent="0.2">
      <c r="H975" s="15"/>
      <c r="I975" s="15"/>
      <c r="J975" s="15"/>
      <c r="K975" s="15"/>
      <c r="L975" s="15"/>
      <c r="M975" s="15"/>
      <c r="N975" s="15"/>
    </row>
    <row r="976" spans="8:14" x14ac:dyDescent="0.2">
      <c r="H976" s="15"/>
      <c r="I976" s="15"/>
      <c r="J976" s="15"/>
      <c r="K976" s="15"/>
      <c r="L976" s="15"/>
      <c r="M976" s="15"/>
      <c r="N976" s="15"/>
    </row>
    <row r="977" spans="8:14" x14ac:dyDescent="0.2">
      <c r="H977" s="15"/>
      <c r="I977" s="15"/>
      <c r="J977" s="15"/>
      <c r="K977" s="15"/>
      <c r="L977" s="15"/>
      <c r="M977" s="15"/>
      <c r="N977" s="15"/>
    </row>
    <row r="978" spans="8:14" x14ac:dyDescent="0.2">
      <c r="H978" s="15"/>
      <c r="I978" s="15"/>
      <c r="J978" s="15"/>
      <c r="K978" s="15"/>
      <c r="L978" s="15"/>
      <c r="M978" s="15"/>
      <c r="N978" s="15"/>
    </row>
    <row r="979" spans="8:14" x14ac:dyDescent="0.2">
      <c r="H979" s="15"/>
      <c r="I979" s="15"/>
      <c r="J979" s="15"/>
      <c r="K979" s="15"/>
      <c r="L979" s="15"/>
      <c r="M979" s="15"/>
      <c r="N979" s="15"/>
    </row>
    <row r="980" spans="8:14" x14ac:dyDescent="0.2">
      <c r="H980" s="15"/>
      <c r="I980" s="15"/>
      <c r="J980" s="15"/>
      <c r="K980" s="15"/>
      <c r="L980" s="15"/>
      <c r="M980" s="15"/>
      <c r="N980" s="15"/>
    </row>
    <row r="981" spans="8:14" x14ac:dyDescent="0.2">
      <c r="H981" s="15"/>
      <c r="I981" s="15"/>
      <c r="J981" s="15"/>
      <c r="K981" s="15"/>
      <c r="L981" s="15"/>
      <c r="M981" s="15"/>
      <c r="N981" s="15"/>
    </row>
    <row r="982" spans="8:14" x14ac:dyDescent="0.2">
      <c r="H982" s="15"/>
      <c r="I982" s="15"/>
      <c r="J982" s="15"/>
      <c r="K982" s="15"/>
      <c r="L982" s="15"/>
      <c r="M982" s="15"/>
      <c r="N982" s="15"/>
    </row>
    <row r="983" spans="8:14" x14ac:dyDescent="0.2">
      <c r="H983" s="15"/>
      <c r="I983" s="15"/>
      <c r="J983" s="15"/>
      <c r="K983" s="15"/>
      <c r="L983" s="15"/>
      <c r="M983" s="15"/>
      <c r="N983" s="15"/>
    </row>
    <row r="984" spans="8:14" x14ac:dyDescent="0.2">
      <c r="H984" s="15"/>
      <c r="I984" s="15"/>
      <c r="J984" s="15"/>
      <c r="K984" s="15"/>
      <c r="L984" s="15"/>
      <c r="M984" s="15"/>
      <c r="N984" s="15"/>
    </row>
    <row r="985" spans="8:14" x14ac:dyDescent="0.2">
      <c r="H985" s="15"/>
      <c r="I985" s="15"/>
      <c r="J985" s="15"/>
      <c r="K985" s="15"/>
      <c r="L985" s="15"/>
      <c r="M985" s="15"/>
      <c r="N985" s="15"/>
    </row>
    <row r="986" spans="8:14" x14ac:dyDescent="0.2">
      <c r="H986" s="15"/>
      <c r="I986" s="15"/>
      <c r="J986" s="15"/>
      <c r="K986" s="15"/>
      <c r="L986" s="15"/>
      <c r="M986" s="15"/>
      <c r="N986" s="15"/>
    </row>
    <row r="987" spans="8:14" x14ac:dyDescent="0.2">
      <c r="H987" s="15"/>
      <c r="I987" s="15"/>
      <c r="J987" s="15"/>
      <c r="K987" s="15"/>
      <c r="L987" s="15"/>
      <c r="M987" s="15"/>
      <c r="N987" s="15"/>
    </row>
    <row r="988" spans="8:14" x14ac:dyDescent="0.2">
      <c r="H988" s="15"/>
      <c r="I988" s="15"/>
      <c r="J988" s="15"/>
      <c r="K988" s="15"/>
      <c r="L988" s="15"/>
      <c r="M988" s="15"/>
      <c r="N988" s="15"/>
    </row>
    <row r="989" spans="8:14" x14ac:dyDescent="0.2">
      <c r="H989" s="15"/>
      <c r="I989" s="15"/>
      <c r="J989" s="15"/>
      <c r="K989" s="15"/>
      <c r="L989" s="15"/>
      <c r="M989" s="15"/>
      <c r="N989" s="15"/>
    </row>
    <row r="990" spans="8:14" x14ac:dyDescent="0.2">
      <c r="H990" s="15"/>
      <c r="I990" s="15"/>
      <c r="J990" s="15"/>
      <c r="K990" s="15"/>
      <c r="L990" s="15"/>
      <c r="M990" s="15"/>
      <c r="N990" s="15"/>
    </row>
    <row r="991" spans="8:14" x14ac:dyDescent="0.2">
      <c r="H991" s="15"/>
      <c r="I991" s="15"/>
      <c r="J991" s="15"/>
      <c r="K991" s="15"/>
      <c r="L991" s="15"/>
      <c r="M991" s="15"/>
      <c r="N991" s="15"/>
    </row>
    <row r="992" spans="8:14" x14ac:dyDescent="0.2">
      <c r="H992" s="15"/>
      <c r="I992" s="15"/>
      <c r="J992" s="15"/>
      <c r="K992" s="15"/>
      <c r="L992" s="15"/>
      <c r="M992" s="15"/>
      <c r="N992" s="15"/>
    </row>
    <row r="993" spans="8:14" x14ac:dyDescent="0.2">
      <c r="H993" s="15"/>
      <c r="I993" s="15"/>
      <c r="J993" s="15"/>
      <c r="K993" s="15"/>
      <c r="L993" s="15"/>
      <c r="M993" s="15"/>
      <c r="N993" s="15"/>
    </row>
    <row r="994" spans="8:14" x14ac:dyDescent="0.2">
      <c r="H994" s="15"/>
      <c r="I994" s="15"/>
      <c r="J994" s="15"/>
      <c r="K994" s="15"/>
      <c r="L994" s="15"/>
      <c r="M994" s="15"/>
      <c r="N994" s="15"/>
    </row>
    <row r="995" spans="8:14" x14ac:dyDescent="0.2">
      <c r="H995" s="15"/>
      <c r="I995" s="15"/>
      <c r="J995" s="15"/>
      <c r="K995" s="15"/>
      <c r="L995" s="15"/>
      <c r="M995" s="15"/>
      <c r="N995" s="15"/>
    </row>
    <row r="996" spans="8:14" x14ac:dyDescent="0.2">
      <c r="H996" s="15"/>
      <c r="I996" s="15"/>
      <c r="J996" s="15"/>
      <c r="K996" s="15"/>
      <c r="L996" s="15"/>
      <c r="M996" s="15"/>
      <c r="N996" s="15"/>
    </row>
    <row r="997" spans="8:14" x14ac:dyDescent="0.2">
      <c r="H997" s="15"/>
      <c r="I997" s="15"/>
      <c r="J997" s="15"/>
      <c r="K997" s="15"/>
      <c r="L997" s="15"/>
      <c r="M997" s="15"/>
      <c r="N997" s="15"/>
    </row>
    <row r="998" spans="8:14" x14ac:dyDescent="0.2">
      <c r="H998" s="15"/>
      <c r="I998" s="15"/>
      <c r="J998" s="15"/>
      <c r="K998" s="15"/>
      <c r="L998" s="15"/>
      <c r="M998" s="15"/>
      <c r="N998" s="15"/>
    </row>
    <row r="999" spans="8:14" x14ac:dyDescent="0.2">
      <c r="H999" s="15"/>
      <c r="I999" s="15"/>
      <c r="J999" s="15"/>
      <c r="K999" s="15"/>
      <c r="L999" s="15"/>
      <c r="M999" s="15"/>
      <c r="N999" s="15"/>
    </row>
    <row r="1000" spans="8:14" x14ac:dyDescent="0.2">
      <c r="H1000" s="15"/>
      <c r="I1000" s="15"/>
      <c r="J1000" s="15"/>
      <c r="K1000" s="15"/>
      <c r="L1000" s="15"/>
      <c r="M1000" s="15"/>
      <c r="N1000" s="15"/>
    </row>
    <row r="1001" spans="8:14" x14ac:dyDescent="0.2">
      <c r="H1001" s="15"/>
      <c r="I1001" s="15"/>
      <c r="J1001" s="15"/>
      <c r="K1001" s="15"/>
      <c r="L1001" s="15"/>
      <c r="M1001" s="15"/>
      <c r="N1001" s="15"/>
    </row>
    <row r="1002" spans="8:14" x14ac:dyDescent="0.2">
      <c r="H1002" s="15"/>
      <c r="I1002" s="15"/>
      <c r="J1002" s="15"/>
      <c r="K1002" s="15"/>
      <c r="L1002" s="15"/>
      <c r="M1002" s="15"/>
      <c r="N1002" s="15"/>
    </row>
    <row r="1003" spans="8:14" x14ac:dyDescent="0.2">
      <c r="H1003" s="15"/>
      <c r="I1003" s="15"/>
      <c r="J1003" s="15"/>
      <c r="K1003" s="15"/>
      <c r="L1003" s="15"/>
      <c r="M1003" s="15"/>
      <c r="N1003" s="15"/>
    </row>
    <row r="1004" spans="8:14" x14ac:dyDescent="0.2">
      <c r="H1004" s="15"/>
      <c r="I1004" s="15"/>
      <c r="J1004" s="15"/>
      <c r="K1004" s="15"/>
      <c r="L1004" s="15"/>
      <c r="M1004" s="15"/>
      <c r="N1004" s="15"/>
    </row>
    <row r="1005" spans="8:14" x14ac:dyDescent="0.2">
      <c r="H1005" s="15"/>
      <c r="I1005" s="15"/>
      <c r="J1005" s="15"/>
      <c r="K1005" s="15"/>
      <c r="L1005" s="15"/>
      <c r="M1005" s="15"/>
      <c r="N1005" s="15"/>
    </row>
    <row r="1006" spans="8:14" x14ac:dyDescent="0.2">
      <c r="H1006" s="15"/>
      <c r="I1006" s="15"/>
      <c r="J1006" s="15"/>
      <c r="K1006" s="15"/>
      <c r="L1006" s="15"/>
      <c r="M1006" s="15"/>
      <c r="N1006" s="15"/>
    </row>
    <row r="1007" spans="8:14" x14ac:dyDescent="0.2">
      <c r="H1007" s="15"/>
      <c r="I1007" s="15"/>
      <c r="J1007" s="15"/>
      <c r="K1007" s="15"/>
      <c r="L1007" s="15"/>
      <c r="M1007" s="15"/>
      <c r="N1007" s="15"/>
    </row>
    <row r="1008" spans="8:14" x14ac:dyDescent="0.2">
      <c r="H1008" s="15"/>
      <c r="I1008" s="15"/>
      <c r="J1008" s="15"/>
      <c r="K1008" s="15"/>
      <c r="L1008" s="15"/>
      <c r="M1008" s="15"/>
      <c r="N1008" s="15"/>
    </row>
    <row r="1009" spans="8:14" x14ac:dyDescent="0.2">
      <c r="H1009" s="15"/>
      <c r="I1009" s="15"/>
      <c r="J1009" s="15"/>
      <c r="K1009" s="15"/>
      <c r="L1009" s="15"/>
      <c r="M1009" s="15"/>
      <c r="N1009" s="15"/>
    </row>
    <row r="1010" spans="8:14" x14ac:dyDescent="0.2">
      <c r="H1010" s="15"/>
      <c r="I1010" s="15"/>
      <c r="J1010" s="15"/>
      <c r="K1010" s="15"/>
      <c r="L1010" s="15"/>
      <c r="M1010" s="15"/>
      <c r="N1010" s="15"/>
    </row>
    <row r="1011" spans="8:14" x14ac:dyDescent="0.2">
      <c r="H1011" s="15"/>
      <c r="I1011" s="15"/>
      <c r="J1011" s="15"/>
      <c r="K1011" s="15"/>
      <c r="L1011" s="15"/>
      <c r="M1011" s="15"/>
      <c r="N1011" s="15"/>
    </row>
  </sheetData>
  <mergeCells count="12">
    <mergeCell ref="A2:P2"/>
    <mergeCell ref="A4:P4"/>
    <mergeCell ref="B7:C7"/>
    <mergeCell ref="B8:C8"/>
    <mergeCell ref="B9:C9"/>
    <mergeCell ref="B6:C6"/>
    <mergeCell ref="B17:C17"/>
    <mergeCell ref="B10:C10"/>
    <mergeCell ref="B11:C11"/>
    <mergeCell ref="A3:R3"/>
    <mergeCell ref="B12:C12"/>
    <mergeCell ref="B13:C13"/>
  </mergeCells>
  <pageMargins left="0.19685039370078741" right="0.19685039370078741" top="0.27559055118110237" bottom="0.35433070866141736" header="0.15748031496062992" footer="0.23622047244094491"/>
  <pageSetup paperSize="8" scale="5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30E3-C208-47D9-8E8B-D7362A193A12}">
  <sheetPr>
    <pageSetUpPr fitToPage="1"/>
  </sheetPr>
  <dimension ref="A2:Q1011"/>
  <sheetViews>
    <sheetView zoomScale="85" zoomScaleNormal="85" workbookViewId="0">
      <pane xSplit="1" ySplit="6" topLeftCell="H11" activePane="bottomRight" state="frozen"/>
      <selection activeCell="A32" sqref="A32:XFD34"/>
      <selection pane="topRight" activeCell="A32" sqref="A32:XFD34"/>
      <selection pane="bottomLeft" activeCell="A32" sqref="A32:XFD34"/>
      <selection pane="bottomRight" activeCell="A32" sqref="A32:XFD34"/>
    </sheetView>
  </sheetViews>
  <sheetFormatPr defaultRowHeight="12.75" x14ac:dyDescent="0.2"/>
  <cols>
    <col min="1" max="1" width="55.42578125" style="1" customWidth="1"/>
    <col min="2" max="2" width="6.7109375" style="1" customWidth="1"/>
    <col min="3" max="3" width="5.7109375" style="1" customWidth="1"/>
    <col min="4" max="4" width="17.5703125" style="1" hidden="1" customWidth="1"/>
    <col min="5" max="5" width="2.5703125" style="1" hidden="1" customWidth="1"/>
    <col min="6" max="6" width="22.85546875" style="1" customWidth="1"/>
    <col min="7" max="7" width="24.85546875" style="1" customWidth="1"/>
    <col min="8" max="8" width="23.28515625" style="1" customWidth="1"/>
    <col min="9" max="10" width="24.28515625" style="1" customWidth="1"/>
    <col min="11" max="11" width="25.5703125" style="1" customWidth="1"/>
    <col min="12" max="13" width="25.28515625" style="1" customWidth="1"/>
    <col min="14" max="14" width="24.42578125" style="1" customWidth="1"/>
    <col min="15" max="15" width="23" style="1" customWidth="1"/>
    <col min="16" max="16" width="18.7109375" style="1" bestFit="1" customWidth="1"/>
    <col min="17" max="16384" width="9.140625" style="1"/>
  </cols>
  <sheetData>
    <row r="2" spans="1:16" ht="20.25" x14ac:dyDescent="0.3">
      <c r="A2" s="149" t="s">
        <v>117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6" ht="30.75" customHeight="1" x14ac:dyDescent="0.3">
      <c r="A3" s="148" t="s">
        <v>118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6" ht="15.75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6" ht="18.75" x14ac:dyDescent="0.3">
      <c r="H5" s="18"/>
      <c r="J5" s="18"/>
      <c r="L5" s="18"/>
      <c r="M5" s="72"/>
      <c r="N5" s="72"/>
      <c r="O5" s="77" t="s">
        <v>115</v>
      </c>
    </row>
    <row r="6" spans="1:16" ht="133.5" customHeight="1" x14ac:dyDescent="0.2">
      <c r="A6" s="2" t="s">
        <v>0</v>
      </c>
      <c r="B6" s="146"/>
      <c r="C6" s="147"/>
      <c r="D6" s="2" t="s">
        <v>3</v>
      </c>
      <c r="E6" s="2" t="s">
        <v>4</v>
      </c>
      <c r="F6" s="56" t="s">
        <v>119</v>
      </c>
      <c r="G6" s="56" t="s">
        <v>120</v>
      </c>
      <c r="H6" s="3" t="s">
        <v>5</v>
      </c>
      <c r="I6" s="56" t="s">
        <v>121</v>
      </c>
      <c r="J6" s="3" t="s">
        <v>5</v>
      </c>
      <c r="K6" s="56" t="s">
        <v>122</v>
      </c>
      <c r="L6" s="3" t="s">
        <v>5</v>
      </c>
      <c r="M6" s="56" t="s">
        <v>123</v>
      </c>
      <c r="N6" s="3" t="s">
        <v>5</v>
      </c>
      <c r="O6" s="3" t="s">
        <v>126</v>
      </c>
    </row>
    <row r="7" spans="1:16" ht="22.15" customHeight="1" x14ac:dyDescent="0.2">
      <c r="A7" s="27" t="s">
        <v>96</v>
      </c>
      <c r="B7" s="146"/>
      <c r="C7" s="147"/>
      <c r="D7" s="2"/>
      <c r="E7" s="2"/>
      <c r="F7" s="51">
        <v>72823301834.990005</v>
      </c>
      <c r="G7" s="51">
        <v>73316195334.990005</v>
      </c>
      <c r="H7" s="52">
        <f>G7-F7</f>
        <v>492893500</v>
      </c>
      <c r="I7" s="51">
        <v>80560398278.130005</v>
      </c>
      <c r="J7" s="52">
        <f t="shared" ref="J7:J15" si="0">I7-G7</f>
        <v>7244202943.1399994</v>
      </c>
      <c r="K7" s="51">
        <v>85371057264.479996</v>
      </c>
      <c r="L7" s="52">
        <f>K7-I7</f>
        <v>4810658986.3499908</v>
      </c>
      <c r="M7" s="51">
        <v>87304217349.690002</v>
      </c>
      <c r="N7" s="52">
        <f>M7-K7</f>
        <v>1933160085.2100067</v>
      </c>
      <c r="O7" s="52">
        <f>M7-F7</f>
        <v>14480915514.699997</v>
      </c>
    </row>
    <row r="8" spans="1:16" ht="18.600000000000001" customHeight="1" x14ac:dyDescent="0.2">
      <c r="A8" s="50" t="s">
        <v>97</v>
      </c>
      <c r="B8" s="146"/>
      <c r="C8" s="147"/>
      <c r="D8" s="2"/>
      <c r="E8" s="2"/>
      <c r="F8" s="51">
        <f>F7-F9</f>
        <v>55034846666.300003</v>
      </c>
      <c r="G8" s="51">
        <f>G7-G9</f>
        <v>55034846666.300003</v>
      </c>
      <c r="H8" s="52">
        <f>G8-F8</f>
        <v>0</v>
      </c>
      <c r="I8" s="51">
        <f>I7-I9</f>
        <v>61034846666.300003</v>
      </c>
      <c r="J8" s="52">
        <f t="shared" si="0"/>
        <v>6000000000</v>
      </c>
      <c r="K8" s="51">
        <f>K7-K9</f>
        <v>63034846666.299995</v>
      </c>
      <c r="L8" s="52">
        <f t="shared" ref="L8:L15" si="1">K8-I8</f>
        <v>1999999999.9999924</v>
      </c>
      <c r="M8" s="51">
        <f>M7-M9</f>
        <v>65034846666.300003</v>
      </c>
      <c r="N8" s="52">
        <f t="shared" ref="N8:N15" si="2">M8-K8</f>
        <v>2000000000.0000076</v>
      </c>
      <c r="O8" s="52">
        <f t="shared" ref="O8:O9" si="3">M8-F8</f>
        <v>10000000000</v>
      </c>
    </row>
    <row r="9" spans="1:16" ht="25.15" customHeight="1" x14ac:dyDescent="0.2">
      <c r="A9" s="50" t="s">
        <v>98</v>
      </c>
      <c r="B9" s="146"/>
      <c r="C9" s="147"/>
      <c r="D9" s="2"/>
      <c r="E9" s="2"/>
      <c r="F9" s="81">
        <v>17788455168.689999</v>
      </c>
      <c r="G9" s="82">
        <v>18281348668.689999</v>
      </c>
      <c r="H9" s="52">
        <f>G9-F9</f>
        <v>492893500</v>
      </c>
      <c r="I9" s="51">
        <v>19525551611.830002</v>
      </c>
      <c r="J9" s="52">
        <f>I9-G9</f>
        <v>1244202943.1400032</v>
      </c>
      <c r="K9" s="51">
        <v>22336210598.18</v>
      </c>
      <c r="L9" s="52">
        <f>K9-I9</f>
        <v>2810658986.3499985</v>
      </c>
      <c r="M9" s="51">
        <v>22269370683.389999</v>
      </c>
      <c r="N9" s="52">
        <f>M9-K9</f>
        <v>-66839914.790000916</v>
      </c>
      <c r="O9" s="52">
        <f t="shared" si="3"/>
        <v>4480915514.7000008</v>
      </c>
    </row>
    <row r="10" spans="1:16" ht="34.15" customHeight="1" x14ac:dyDescent="0.2">
      <c r="A10" s="48" t="s">
        <v>99</v>
      </c>
      <c r="B10" s="146"/>
      <c r="C10" s="147"/>
      <c r="D10" s="2"/>
      <c r="E10" s="2"/>
      <c r="F10" s="79"/>
      <c r="G10" s="53">
        <f>F10</f>
        <v>0</v>
      </c>
      <c r="H10" s="65">
        <f t="shared" ref="H10:H15" si="4">G10-F10</f>
        <v>0</v>
      </c>
      <c r="I10" s="53">
        <f>G10+474979700</f>
        <v>474979700</v>
      </c>
      <c r="J10" s="65">
        <f t="shared" si="0"/>
        <v>474979700</v>
      </c>
      <c r="K10" s="53">
        <f>I10+157635500</f>
        <v>632615200</v>
      </c>
      <c r="L10" s="65">
        <f>K10-I10</f>
        <v>157635500</v>
      </c>
      <c r="M10" s="53">
        <f>K10</f>
        <v>632615200</v>
      </c>
      <c r="N10" s="65">
        <f t="shared" si="2"/>
        <v>0</v>
      </c>
      <c r="O10" s="65">
        <f>M10-F10</f>
        <v>632615200</v>
      </c>
      <c r="P10" s="60"/>
    </row>
    <row r="11" spans="1:16" ht="37.15" customHeight="1" x14ac:dyDescent="0.2">
      <c r="A11" s="49" t="s">
        <v>100</v>
      </c>
      <c r="B11" s="146"/>
      <c r="C11" s="147"/>
      <c r="D11" s="2"/>
      <c r="E11" s="2"/>
      <c r="F11" s="53">
        <v>12314643800</v>
      </c>
      <c r="G11" s="53">
        <f>F11</f>
        <v>12314643800</v>
      </c>
      <c r="H11" s="65">
        <f t="shared" si="4"/>
        <v>0</v>
      </c>
      <c r="I11" s="53">
        <f>G11+36310100+206549700+42044400+87537200+215872500</f>
        <v>12902957700</v>
      </c>
      <c r="J11" s="65">
        <f t="shared" si="0"/>
        <v>588313900</v>
      </c>
      <c r="K11" s="53">
        <f>I11+2321681100+5700000</f>
        <v>15230338800</v>
      </c>
      <c r="L11" s="65">
        <f>K11-I11</f>
        <v>2327381100</v>
      </c>
      <c r="M11" s="53">
        <f>K11+21448800+74700000-7971900+9000000+33082100-36445800+45078400</f>
        <v>15369230400</v>
      </c>
      <c r="N11" s="65">
        <f t="shared" si="2"/>
        <v>138891600</v>
      </c>
      <c r="O11" s="65">
        <f t="shared" ref="O11:O15" si="5">M11-F11</f>
        <v>3054586600</v>
      </c>
      <c r="P11" s="60"/>
    </row>
    <row r="12" spans="1:16" ht="37.9" customHeight="1" x14ac:dyDescent="0.2">
      <c r="A12" s="49" t="s">
        <v>101</v>
      </c>
      <c r="B12" s="146"/>
      <c r="C12" s="147"/>
      <c r="D12" s="2"/>
      <c r="E12" s="2"/>
      <c r="F12" s="53">
        <v>2328902500</v>
      </c>
      <c r="G12" s="53">
        <f>F12</f>
        <v>2328902500</v>
      </c>
      <c r="H12" s="65">
        <f t="shared" si="4"/>
        <v>0</v>
      </c>
      <c r="I12" s="53">
        <f>G12+9076300</f>
        <v>2337978800</v>
      </c>
      <c r="J12" s="65">
        <f t="shared" si="0"/>
        <v>9076300</v>
      </c>
      <c r="K12" s="53">
        <f>I12</f>
        <v>2337978800</v>
      </c>
      <c r="L12" s="65">
        <f t="shared" si="1"/>
        <v>0</v>
      </c>
      <c r="M12" s="53">
        <f>K12-123813500+9603300+123400-247725400</f>
        <v>1976166600</v>
      </c>
      <c r="N12" s="65">
        <f t="shared" si="2"/>
        <v>-361812200</v>
      </c>
      <c r="O12" s="65">
        <f t="shared" si="5"/>
        <v>-352735900</v>
      </c>
    </row>
    <row r="13" spans="1:16" ht="16.5" x14ac:dyDescent="0.2">
      <c r="A13" s="49" t="s">
        <v>102</v>
      </c>
      <c r="B13" s="146"/>
      <c r="C13" s="147"/>
      <c r="D13" s="2"/>
      <c r="E13" s="2"/>
      <c r="F13" s="53">
        <v>2910987400</v>
      </c>
      <c r="G13" s="53">
        <f>F13+492893500</f>
        <v>3403880900</v>
      </c>
      <c r="H13" s="65">
        <f t="shared" si="4"/>
        <v>492893500</v>
      </c>
      <c r="I13" s="53">
        <f>G13+50000+2780125.32+941296.82-2477300+28300+27016800</f>
        <v>3432220122.1400003</v>
      </c>
      <c r="J13" s="65">
        <f t="shared" si="0"/>
        <v>28339222.140000343</v>
      </c>
      <c r="K13" s="53">
        <f>I13+611000+2740703.53+678376.82+24565500+237969200</f>
        <v>3698784902.4900007</v>
      </c>
      <c r="L13" s="65">
        <f t="shared" si="1"/>
        <v>266564780.35000038</v>
      </c>
      <c r="M13" s="53">
        <f>K13+2317000+70998+1894131.62+911450.59+86362500-41164000+20233100+8375700-40081600</f>
        <v>3737704182.7000008</v>
      </c>
      <c r="N13" s="65">
        <f t="shared" si="2"/>
        <v>38919280.210000038</v>
      </c>
      <c r="O13" s="65">
        <f t="shared" si="5"/>
        <v>826716782.70000076</v>
      </c>
    </row>
    <row r="14" spans="1:16" ht="52.5" customHeight="1" x14ac:dyDescent="0.2">
      <c r="A14" s="49" t="s">
        <v>103</v>
      </c>
      <c r="B14" s="146"/>
      <c r="C14" s="147"/>
      <c r="D14" s="2"/>
      <c r="E14" s="2"/>
      <c r="F14" s="76">
        <v>233921468.69</v>
      </c>
      <c r="G14" s="53">
        <f>F14</f>
        <v>233921468.69</v>
      </c>
      <c r="H14" s="65">
        <f t="shared" si="4"/>
        <v>0</v>
      </c>
      <c r="I14" s="53">
        <f>G14+134893821</f>
        <v>368815289.69</v>
      </c>
      <c r="J14" s="65">
        <f t="shared" si="0"/>
        <v>134893821</v>
      </c>
      <c r="K14" s="53">
        <f>I14+59077606</f>
        <v>427892895.69</v>
      </c>
      <c r="L14" s="65">
        <f t="shared" si="1"/>
        <v>59077606</v>
      </c>
      <c r="M14" s="53">
        <f>K14+117161405</f>
        <v>545054300.69000006</v>
      </c>
      <c r="N14" s="65">
        <f t="shared" si="2"/>
        <v>117161405.00000006</v>
      </c>
      <c r="O14" s="65">
        <f t="shared" si="5"/>
        <v>311132832.00000006</v>
      </c>
    </row>
    <row r="15" spans="1:16" ht="47.25" customHeight="1" x14ac:dyDescent="0.2">
      <c r="A15" s="49" t="s">
        <v>112</v>
      </c>
      <c r="B15" s="146"/>
      <c r="C15" s="147"/>
      <c r="D15" s="2"/>
      <c r="E15" s="2"/>
      <c r="F15" s="53"/>
      <c r="H15" s="65">
        <f t="shared" si="4"/>
        <v>0</v>
      </c>
      <c r="I15" s="53">
        <v>8600000</v>
      </c>
      <c r="J15" s="65">
        <f t="shared" si="0"/>
        <v>8600000</v>
      </c>
      <c r="K15" s="53">
        <f>+I15</f>
        <v>8600000</v>
      </c>
      <c r="L15" s="65">
        <f t="shared" si="1"/>
        <v>0</v>
      </c>
      <c r="M15" s="53">
        <f>+K15</f>
        <v>8600000</v>
      </c>
      <c r="N15" s="52">
        <f t="shared" si="2"/>
        <v>0</v>
      </c>
      <c r="O15" s="65">
        <f t="shared" si="5"/>
        <v>8600000</v>
      </c>
    </row>
    <row r="16" spans="1:16" ht="38.25" hidden="1" customHeight="1" x14ac:dyDescent="0.2">
      <c r="A16" s="49"/>
      <c r="B16" s="74"/>
      <c r="C16" s="75"/>
      <c r="D16" s="2"/>
      <c r="E16" s="2"/>
      <c r="F16" s="67">
        <f>F9-F10-F11-F12-F13-F14</f>
        <v>-1.3709068298339844E-6</v>
      </c>
      <c r="G16" s="67">
        <f>G9-G10-G11-G12-G13-G14</f>
        <v>-1.3709068298339844E-6</v>
      </c>
      <c r="H16" s="66">
        <f t="shared" ref="H16:O16" si="6">H9-H10-H11-H12-H13-H14-H15</f>
        <v>0</v>
      </c>
      <c r="I16" s="66" t="e">
        <f>I9-I10-I11-I12-I13-I14-#REF!</f>
        <v>#REF!</v>
      </c>
      <c r="J16" s="66">
        <f t="shared" si="6"/>
        <v>2.86102294921875E-6</v>
      </c>
      <c r="K16" s="66">
        <f t="shared" si="6"/>
        <v>-4.1723251342773438E-7</v>
      </c>
      <c r="L16" s="66">
        <f t="shared" si="6"/>
        <v>-1.9073486328125E-6</v>
      </c>
      <c r="M16" s="66">
        <f t="shared" si="6"/>
        <v>-1.430511474609375E-6</v>
      </c>
      <c r="N16" s="66">
        <f t="shared" si="6"/>
        <v>-1.0132789611816406E-6</v>
      </c>
      <c r="O16" s="66">
        <f t="shared" si="6"/>
        <v>-5.9604644775390625E-8</v>
      </c>
      <c r="P16" s="18"/>
    </row>
    <row r="17" spans="1:15" ht="16.5" x14ac:dyDescent="0.2">
      <c r="A17" s="27" t="s">
        <v>6</v>
      </c>
      <c r="B17" s="144"/>
      <c r="C17" s="145"/>
      <c r="D17" s="5">
        <f>D19+D29+D32+D39+D49+D54+D57+D65+D68+D75+D81+D85+D89+D91</f>
        <v>0</v>
      </c>
      <c r="E17" s="5">
        <f>E19+E29+E32+E39+E49+E54+E57+E65+E68+E75+E81+E85+E89+E91</f>
        <v>0</v>
      </c>
      <c r="F17" s="33">
        <f>F19+F29+F32+F39+F49+F54+F57+F65+F68+F75+F81+F85+F89+F91</f>
        <v>95052518950.209991</v>
      </c>
      <c r="G17" s="33">
        <f>G19+G29+G32+G39+G49+G54+G57+G65+G68+G75+G81+G85+G89+G91</f>
        <v>100227482375.42999</v>
      </c>
      <c r="H17" s="52">
        <f>G17-F17</f>
        <v>5174963425.2200012</v>
      </c>
      <c r="I17" s="33">
        <f>I19+I29+I32+I39+I49+I54+I57+I65+I68+I75+I81+I85+I89+I91</f>
        <v>106875152883.76999</v>
      </c>
      <c r="J17" s="52">
        <f>I17-G17</f>
        <v>6647670508.3399963</v>
      </c>
      <c r="K17" s="33">
        <f>K19+K29+K32+K39+K49+K54+K57+K65+K68+K75+K81+K85+K89+K91</f>
        <v>113636942770.12001</v>
      </c>
      <c r="L17" s="34">
        <f>L19+L29+L32+L39+L49+L54+L57+L65+L68+L75+L81+L85+L89+L91</f>
        <v>6761789886.3500004</v>
      </c>
      <c r="M17" s="33">
        <f>M19+M29+M32+M39+M49+M54+M57+M65+M68+M75+M81+M85+M89+M91</f>
        <v>117580244905.32999</v>
      </c>
      <c r="N17" s="34">
        <f>N19+N29+N32+N39+N49+N54+N57+N65+N68+N75+N81+N85+N89+N91</f>
        <v>3943302135.2099977</v>
      </c>
      <c r="O17" s="52">
        <f>M17-F17</f>
        <v>22527725955.119995</v>
      </c>
    </row>
    <row r="18" spans="1:15" ht="25.5" x14ac:dyDescent="0.2">
      <c r="A18" s="27"/>
      <c r="B18" s="2" t="s">
        <v>1</v>
      </c>
      <c r="C18" s="2" t="s">
        <v>2</v>
      </c>
      <c r="D18" s="5"/>
      <c r="E18" s="5"/>
      <c r="F18" s="35"/>
      <c r="G18" s="35"/>
      <c r="H18" s="36"/>
      <c r="I18" s="35"/>
      <c r="J18" s="36"/>
      <c r="K18" s="35"/>
      <c r="L18" s="34"/>
      <c r="M18" s="33"/>
      <c r="N18" s="34"/>
      <c r="O18" s="34"/>
    </row>
    <row r="19" spans="1:15" s="61" customFormat="1" ht="18" customHeight="1" x14ac:dyDescent="0.2">
      <c r="A19" s="28" t="s">
        <v>7</v>
      </c>
      <c r="B19" s="29" t="s">
        <v>8</v>
      </c>
      <c r="C19" s="29" t="s">
        <v>9</v>
      </c>
      <c r="D19" s="6">
        <f t="shared" ref="D19:O19" si="7">SUM(D20:D28)</f>
        <v>0</v>
      </c>
      <c r="E19" s="6">
        <f t="shared" si="7"/>
        <v>0</v>
      </c>
      <c r="F19" s="37">
        <f t="shared" si="7"/>
        <v>5073796517.6199999</v>
      </c>
      <c r="G19" s="37">
        <f t="shared" si="7"/>
        <v>6633997906.29</v>
      </c>
      <c r="H19" s="38">
        <f t="shared" si="7"/>
        <v>1560201388.6700001</v>
      </c>
      <c r="I19" s="37">
        <f t="shared" si="7"/>
        <v>8326072214.6800003</v>
      </c>
      <c r="J19" s="38">
        <f t="shared" si="7"/>
        <v>1464624508.3900003</v>
      </c>
      <c r="K19" s="37">
        <f t="shared" si="7"/>
        <v>9386967697.1700001</v>
      </c>
      <c r="L19" s="38">
        <f t="shared" si="7"/>
        <v>1060895482.4899994</v>
      </c>
      <c r="M19" s="37">
        <f t="shared" si="7"/>
        <v>9379624376.1199989</v>
      </c>
      <c r="N19" s="38">
        <f t="shared" si="7"/>
        <v>-7343321.0499998331</v>
      </c>
      <c r="O19" s="70">
        <f t="shared" si="7"/>
        <v>4305827858.5</v>
      </c>
    </row>
    <row r="20" spans="1:15" ht="30" x14ac:dyDescent="0.25">
      <c r="A20" s="19" t="s">
        <v>90</v>
      </c>
      <c r="B20" s="20" t="s">
        <v>8</v>
      </c>
      <c r="C20" s="20" t="s">
        <v>10</v>
      </c>
      <c r="D20" s="7"/>
      <c r="E20" s="7"/>
      <c r="F20" s="80">
        <v>6160953</v>
      </c>
      <c r="G20" s="80">
        <v>6160953</v>
      </c>
      <c r="H20" s="24">
        <f>G20-F20</f>
        <v>0</v>
      </c>
      <c r="I20" s="80">
        <v>6160953</v>
      </c>
      <c r="J20" s="24">
        <f>I20-G20</f>
        <v>0</v>
      </c>
      <c r="K20" s="80">
        <v>6160953</v>
      </c>
      <c r="L20" s="24">
        <f>K20-I20</f>
        <v>0</v>
      </c>
      <c r="M20" s="80">
        <v>7364039.6100000003</v>
      </c>
      <c r="N20" s="24">
        <f>M20-K20</f>
        <v>1203086.6100000003</v>
      </c>
      <c r="O20" s="65">
        <f>M20-F20</f>
        <v>1203086.6100000003</v>
      </c>
    </row>
    <row r="21" spans="1:15" s="10" customFormat="1" ht="45" x14ac:dyDescent="0.2">
      <c r="A21" s="19" t="s">
        <v>11</v>
      </c>
      <c r="B21" s="20" t="s">
        <v>8</v>
      </c>
      <c r="C21" s="20" t="s">
        <v>12</v>
      </c>
      <c r="D21" s="8"/>
      <c r="E21" s="9"/>
      <c r="F21" s="80">
        <v>101105300</v>
      </c>
      <c r="G21" s="80">
        <v>101439349</v>
      </c>
      <c r="H21" s="24">
        <f>G21-F21</f>
        <v>334049</v>
      </c>
      <c r="I21" s="80">
        <v>105160771.14</v>
      </c>
      <c r="J21" s="24">
        <f t="shared" ref="J21:J28" si="8">I21-G21</f>
        <v>3721422.1400000006</v>
      </c>
      <c r="K21" s="80">
        <v>108579851.48999999</v>
      </c>
      <c r="L21" s="24">
        <f t="shared" ref="L21:L28" si="9">K21-I21</f>
        <v>3419080.349999994</v>
      </c>
      <c r="M21" s="80">
        <v>112944661.7</v>
      </c>
      <c r="N21" s="24">
        <f t="shared" ref="N21:N28" si="10">M21-K21</f>
        <v>4364810.2100000083</v>
      </c>
      <c r="O21" s="65">
        <f t="shared" ref="O21:O28" si="11">M21-F21</f>
        <v>11839361.700000003</v>
      </c>
    </row>
    <row r="22" spans="1:15" s="10" customFormat="1" ht="51.75" customHeight="1" x14ac:dyDescent="0.2">
      <c r="A22" s="19" t="s">
        <v>124</v>
      </c>
      <c r="B22" s="20" t="s">
        <v>8</v>
      </c>
      <c r="C22" s="20" t="s">
        <v>14</v>
      </c>
      <c r="D22" s="8"/>
      <c r="E22" s="9"/>
      <c r="F22" s="80">
        <v>280721812.80000001</v>
      </c>
      <c r="G22" s="80">
        <v>295165202.69999999</v>
      </c>
      <c r="H22" s="24">
        <f t="shared" ref="H22:H28" si="12">G22-F22</f>
        <v>14443389.899999976</v>
      </c>
      <c r="I22" s="80">
        <v>296133414.55000001</v>
      </c>
      <c r="J22" s="24">
        <f t="shared" si="8"/>
        <v>968211.85000002384</v>
      </c>
      <c r="K22" s="80">
        <v>295855017.55000001</v>
      </c>
      <c r="L22" s="24">
        <f t="shared" si="9"/>
        <v>-278397</v>
      </c>
      <c r="M22" s="80">
        <v>303507377.55000001</v>
      </c>
      <c r="N22" s="24">
        <f t="shared" si="10"/>
        <v>7652360</v>
      </c>
      <c r="O22" s="65">
        <f t="shared" si="11"/>
        <v>22785564.75</v>
      </c>
    </row>
    <row r="23" spans="1:15" ht="16.5" x14ac:dyDescent="0.25">
      <c r="A23" s="19" t="s">
        <v>15</v>
      </c>
      <c r="B23" s="30" t="s">
        <v>8</v>
      </c>
      <c r="C23" s="30" t="s">
        <v>16</v>
      </c>
      <c r="D23" s="11"/>
      <c r="E23" s="7"/>
      <c r="F23" s="80">
        <v>16000</v>
      </c>
      <c r="G23" s="80">
        <v>16000</v>
      </c>
      <c r="H23" s="24">
        <f t="shared" si="12"/>
        <v>0</v>
      </c>
      <c r="I23" s="80">
        <v>16000</v>
      </c>
      <c r="J23" s="24">
        <f t="shared" si="8"/>
        <v>0</v>
      </c>
      <c r="K23" s="80">
        <v>16000</v>
      </c>
      <c r="L23" s="24">
        <f t="shared" si="9"/>
        <v>0</v>
      </c>
      <c r="M23" s="80">
        <v>139400</v>
      </c>
      <c r="N23" s="24">
        <f t="shared" si="10"/>
        <v>123400</v>
      </c>
      <c r="O23" s="65">
        <f t="shared" si="11"/>
        <v>123400</v>
      </c>
    </row>
    <row r="24" spans="1:15" s="10" customFormat="1" ht="45" x14ac:dyDescent="0.2">
      <c r="A24" s="19" t="s">
        <v>17</v>
      </c>
      <c r="B24" s="20" t="s">
        <v>8</v>
      </c>
      <c r="C24" s="20" t="s">
        <v>18</v>
      </c>
      <c r="D24" s="8"/>
      <c r="E24" s="9"/>
      <c r="F24" s="80">
        <v>153777196</v>
      </c>
      <c r="G24" s="80">
        <v>148842196</v>
      </c>
      <c r="H24" s="24">
        <f t="shared" si="12"/>
        <v>-4935000</v>
      </c>
      <c r="I24" s="80">
        <v>149725268</v>
      </c>
      <c r="J24" s="24">
        <f t="shared" si="8"/>
        <v>883072</v>
      </c>
      <c r="K24" s="80">
        <v>149725268</v>
      </c>
      <c r="L24" s="24">
        <f t="shared" si="9"/>
        <v>0</v>
      </c>
      <c r="M24" s="80">
        <v>153295433.34</v>
      </c>
      <c r="N24" s="24">
        <f t="shared" si="10"/>
        <v>3570165.3400000036</v>
      </c>
      <c r="O24" s="65">
        <f t="shared" si="11"/>
        <v>-481762.65999999642</v>
      </c>
    </row>
    <row r="25" spans="1:15" ht="16.5" x14ac:dyDescent="0.25">
      <c r="A25" s="19" t="s">
        <v>19</v>
      </c>
      <c r="B25" s="20" t="s">
        <v>8</v>
      </c>
      <c r="C25" s="20" t="s">
        <v>20</v>
      </c>
      <c r="D25" s="11"/>
      <c r="E25" s="7"/>
      <c r="F25" s="80">
        <v>56342000</v>
      </c>
      <c r="G25" s="80">
        <v>56342000</v>
      </c>
      <c r="H25" s="24">
        <f t="shared" si="12"/>
        <v>0</v>
      </c>
      <c r="I25" s="80">
        <v>58169141.560000002</v>
      </c>
      <c r="J25" s="24">
        <f t="shared" si="8"/>
        <v>1827141.5600000024</v>
      </c>
      <c r="K25" s="80">
        <v>58169141.560000002</v>
      </c>
      <c r="L25" s="24">
        <f t="shared" si="9"/>
        <v>0</v>
      </c>
      <c r="M25" s="80">
        <v>61050240.799999997</v>
      </c>
      <c r="N25" s="24">
        <f t="shared" si="10"/>
        <v>2881099.2399999946</v>
      </c>
      <c r="O25" s="65">
        <f t="shared" si="11"/>
        <v>4708240.799999997</v>
      </c>
    </row>
    <row r="26" spans="1:15" ht="30" x14ac:dyDescent="0.25">
      <c r="A26" s="19" t="s">
        <v>125</v>
      </c>
      <c r="B26" s="20" t="s">
        <v>8</v>
      </c>
      <c r="C26" s="20" t="s">
        <v>44</v>
      </c>
      <c r="D26" s="11"/>
      <c r="E26" s="7"/>
      <c r="F26" s="80"/>
      <c r="G26" s="80"/>
      <c r="H26" s="24"/>
      <c r="I26" s="80">
        <v>227449800</v>
      </c>
      <c r="J26" s="24"/>
      <c r="K26" s="80">
        <v>227449800</v>
      </c>
      <c r="L26" s="24"/>
      <c r="M26" s="80">
        <v>227449800</v>
      </c>
      <c r="N26" s="24"/>
      <c r="O26" s="65">
        <f t="shared" si="11"/>
        <v>227449800</v>
      </c>
    </row>
    <row r="27" spans="1:15" ht="16.5" x14ac:dyDescent="0.25">
      <c r="A27" s="19" t="s">
        <v>22</v>
      </c>
      <c r="B27" s="20" t="s">
        <v>8</v>
      </c>
      <c r="C27" s="20" t="s">
        <v>23</v>
      </c>
      <c r="D27" s="11"/>
      <c r="E27" s="7"/>
      <c r="F27" s="80">
        <v>1000000000</v>
      </c>
      <c r="G27" s="80">
        <v>1250000000</v>
      </c>
      <c r="H27" s="24">
        <f t="shared" si="12"/>
        <v>250000000</v>
      </c>
      <c r="I27" s="80">
        <v>2250000000</v>
      </c>
      <c r="J27" s="24">
        <f t="shared" si="8"/>
        <v>1000000000</v>
      </c>
      <c r="K27" s="80">
        <v>2300000000</v>
      </c>
      <c r="L27" s="24">
        <f t="shared" si="9"/>
        <v>50000000</v>
      </c>
      <c r="M27" s="80">
        <v>2800000000</v>
      </c>
      <c r="N27" s="24">
        <f t="shared" si="10"/>
        <v>500000000</v>
      </c>
      <c r="O27" s="65">
        <f t="shared" si="11"/>
        <v>1800000000</v>
      </c>
    </row>
    <row r="28" spans="1:15" ht="16.5" x14ac:dyDescent="0.25">
      <c r="A28" s="19" t="s">
        <v>24</v>
      </c>
      <c r="B28" s="20" t="s">
        <v>8</v>
      </c>
      <c r="C28" s="20" t="s">
        <v>25</v>
      </c>
      <c r="D28" s="11"/>
      <c r="E28" s="7"/>
      <c r="F28" s="80">
        <v>3475673255.8200002</v>
      </c>
      <c r="G28" s="80">
        <v>4776032205.5900002</v>
      </c>
      <c r="H28" s="24">
        <f t="shared" si="12"/>
        <v>1300358949.77</v>
      </c>
      <c r="I28" s="80">
        <v>5233256866.4300003</v>
      </c>
      <c r="J28" s="24">
        <f t="shared" si="8"/>
        <v>457224660.84000015</v>
      </c>
      <c r="K28" s="80">
        <v>6241011665.5699997</v>
      </c>
      <c r="L28" s="24">
        <f t="shared" si="9"/>
        <v>1007754799.1399994</v>
      </c>
      <c r="M28" s="80">
        <v>5713873423.1199999</v>
      </c>
      <c r="N28" s="24">
        <f t="shared" si="10"/>
        <v>-527138242.44999981</v>
      </c>
      <c r="O28" s="65">
        <f t="shared" si="11"/>
        <v>2238200167.2999997</v>
      </c>
    </row>
    <row r="29" spans="1:15" s="61" customFormat="1" ht="18" customHeight="1" x14ac:dyDescent="0.2">
      <c r="A29" s="28" t="s">
        <v>26</v>
      </c>
      <c r="B29" s="29" t="s">
        <v>10</v>
      </c>
      <c r="C29" s="29" t="s">
        <v>9</v>
      </c>
      <c r="D29" s="6">
        <f>SUM(D30:D31)</f>
        <v>0</v>
      </c>
      <c r="E29" s="6"/>
      <c r="F29" s="37">
        <f t="shared" ref="F29:N29" si="13">SUM(F30:F31)</f>
        <v>221735344</v>
      </c>
      <c r="G29" s="37">
        <f t="shared" si="13"/>
        <v>221735344</v>
      </c>
      <c r="H29" s="38">
        <f t="shared" si="13"/>
        <v>0</v>
      </c>
      <c r="I29" s="37">
        <f t="shared" si="13"/>
        <v>221735344</v>
      </c>
      <c r="J29" s="38">
        <f t="shared" si="13"/>
        <v>0</v>
      </c>
      <c r="K29" s="37">
        <f t="shared" si="13"/>
        <v>221735344</v>
      </c>
      <c r="L29" s="38">
        <f t="shared" si="13"/>
        <v>0</v>
      </c>
      <c r="M29" s="37">
        <f t="shared" si="13"/>
        <v>221735252</v>
      </c>
      <c r="N29" s="38">
        <f t="shared" si="13"/>
        <v>-92</v>
      </c>
      <c r="O29" s="70">
        <f>SUM(O30:O31)</f>
        <v>-92</v>
      </c>
    </row>
    <row r="30" spans="1:15" ht="16.5" x14ac:dyDescent="0.25">
      <c r="A30" s="78" t="s">
        <v>27</v>
      </c>
      <c r="B30" s="20" t="s">
        <v>10</v>
      </c>
      <c r="C30" s="20" t="s">
        <v>12</v>
      </c>
      <c r="D30" s="12"/>
      <c r="E30" s="7"/>
      <c r="F30" s="80">
        <v>38789000</v>
      </c>
      <c r="G30" s="80">
        <v>38789000</v>
      </c>
      <c r="H30" s="24">
        <f>G30-F30</f>
        <v>0</v>
      </c>
      <c r="I30" s="80">
        <v>38789000</v>
      </c>
      <c r="J30" s="24">
        <f>I30-G30</f>
        <v>0</v>
      </c>
      <c r="K30" s="80">
        <v>38789000</v>
      </c>
      <c r="L30" s="24">
        <f>K30-I30</f>
        <v>0</v>
      </c>
      <c r="M30" s="80">
        <v>38789000</v>
      </c>
      <c r="N30" s="24">
        <f>M30-K30</f>
        <v>0</v>
      </c>
      <c r="O30" s="65">
        <f t="shared" ref="O30:O31" si="14">M30-F30</f>
        <v>0</v>
      </c>
    </row>
    <row r="31" spans="1:15" ht="16.5" x14ac:dyDescent="0.25">
      <c r="A31" s="78" t="s">
        <v>28</v>
      </c>
      <c r="B31" s="20" t="s">
        <v>10</v>
      </c>
      <c r="C31" s="20" t="s">
        <v>14</v>
      </c>
      <c r="D31" s="4"/>
      <c r="E31" s="7"/>
      <c r="F31" s="80">
        <v>182946344</v>
      </c>
      <c r="G31" s="80">
        <v>182946344</v>
      </c>
      <c r="H31" s="24">
        <f>G31-F31</f>
        <v>0</v>
      </c>
      <c r="I31" s="80">
        <v>182946344</v>
      </c>
      <c r="J31" s="24">
        <f>I31-G31</f>
        <v>0</v>
      </c>
      <c r="K31" s="80">
        <v>182946344</v>
      </c>
      <c r="L31" s="24">
        <f>K31-I31</f>
        <v>0</v>
      </c>
      <c r="M31" s="80">
        <v>182946252</v>
      </c>
      <c r="N31" s="24">
        <f>M31-K31</f>
        <v>-92</v>
      </c>
      <c r="O31" s="65">
        <f t="shared" si="14"/>
        <v>-92</v>
      </c>
    </row>
    <row r="32" spans="1:15" s="62" customFormat="1" ht="28.5" x14ac:dyDescent="0.2">
      <c r="A32" s="28" t="s">
        <v>29</v>
      </c>
      <c r="B32" s="29" t="s">
        <v>12</v>
      </c>
      <c r="C32" s="29" t="s">
        <v>9</v>
      </c>
      <c r="D32" s="13">
        <f>SUM(D33:D38)</f>
        <v>0</v>
      </c>
      <c r="E32" s="13">
        <f>SUM(E33:E38)</f>
        <v>0</v>
      </c>
      <c r="F32" s="37">
        <f>F34+F36+F37+F38</f>
        <v>1030049112.27</v>
      </c>
      <c r="G32" s="37">
        <f>G34+G36+G37+G38</f>
        <v>1086374066.1399999</v>
      </c>
      <c r="H32" s="38">
        <f t="shared" ref="H32:O32" si="15">SUM(H33:H38)</f>
        <v>56324953.870000005</v>
      </c>
      <c r="I32" s="37">
        <f t="shared" si="15"/>
        <v>1120537942.45</v>
      </c>
      <c r="J32" s="38">
        <f t="shared" si="15"/>
        <v>34163876.310000055</v>
      </c>
      <c r="K32" s="44">
        <f t="shared" si="15"/>
        <v>1120537942.45</v>
      </c>
      <c r="L32" s="38">
        <f t="shared" si="15"/>
        <v>0</v>
      </c>
      <c r="M32" s="37">
        <f t="shared" si="15"/>
        <v>1182703690.9299998</v>
      </c>
      <c r="N32" s="38">
        <f t="shared" si="15"/>
        <v>62165748.480000019</v>
      </c>
      <c r="O32" s="70">
        <f t="shared" si="15"/>
        <v>152654578.66000009</v>
      </c>
    </row>
    <row r="33" spans="1:15" ht="15" hidden="1" customHeight="1" x14ac:dyDescent="0.25">
      <c r="A33" s="19" t="s">
        <v>30</v>
      </c>
      <c r="B33" s="20" t="s">
        <v>12</v>
      </c>
      <c r="C33" s="20" t="s">
        <v>10</v>
      </c>
      <c r="D33" s="11"/>
      <c r="E33" s="7"/>
      <c r="F33" s="23"/>
      <c r="G33" s="23"/>
      <c r="H33" s="57"/>
      <c r="I33" s="23"/>
      <c r="J33" s="57"/>
      <c r="K33" s="25"/>
      <c r="L33" s="57"/>
      <c r="M33" s="25"/>
      <c r="N33" s="57"/>
      <c r="O33" s="58"/>
    </row>
    <row r="34" spans="1:15" ht="16.5" x14ac:dyDescent="0.25">
      <c r="A34" s="19" t="s">
        <v>31</v>
      </c>
      <c r="B34" s="20" t="s">
        <v>12</v>
      </c>
      <c r="C34" s="20" t="s">
        <v>14</v>
      </c>
      <c r="D34" s="11"/>
      <c r="E34" s="7"/>
      <c r="F34" s="80">
        <v>88809100</v>
      </c>
      <c r="G34" s="80">
        <v>88809100</v>
      </c>
      <c r="H34" s="24">
        <f t="shared" ref="H34:H38" si="16">G34-F34</f>
        <v>0</v>
      </c>
      <c r="I34" s="80">
        <v>88809100</v>
      </c>
      <c r="J34" s="24">
        <f>I34-G34</f>
        <v>0</v>
      </c>
      <c r="K34" s="80">
        <v>88809100</v>
      </c>
      <c r="L34" s="24">
        <f>K34-I34</f>
        <v>0</v>
      </c>
      <c r="M34" s="80">
        <v>100018802.18000001</v>
      </c>
      <c r="N34" s="24">
        <f t="shared" ref="N34:N38" si="17">M34-K34</f>
        <v>11209702.180000007</v>
      </c>
      <c r="O34" s="65">
        <f t="shared" ref="O34:O38" si="18">M34-F34</f>
        <v>11209702.180000007</v>
      </c>
    </row>
    <row r="35" spans="1:15" ht="16.5" x14ac:dyDescent="0.25">
      <c r="A35" s="19" t="s">
        <v>127</v>
      </c>
      <c r="B35" s="20" t="s">
        <v>12</v>
      </c>
      <c r="C35" s="20" t="s">
        <v>33</v>
      </c>
      <c r="D35" s="11"/>
      <c r="E35" s="7"/>
      <c r="F35" s="80"/>
      <c r="G35" s="23"/>
      <c r="H35" s="24">
        <f t="shared" si="16"/>
        <v>0</v>
      </c>
      <c r="I35" s="80">
        <v>1135500.8700000001</v>
      </c>
      <c r="J35" s="24">
        <f>I35-G35</f>
        <v>1135500.8700000001</v>
      </c>
      <c r="K35" s="80">
        <v>1135500.8700000001</v>
      </c>
      <c r="L35" s="24">
        <f>K35-I35</f>
        <v>0</v>
      </c>
      <c r="M35" s="80">
        <v>1135500.8700000001</v>
      </c>
      <c r="N35" s="24">
        <f t="shared" si="17"/>
        <v>0</v>
      </c>
      <c r="O35" s="65">
        <f t="shared" si="18"/>
        <v>1135500.8700000001</v>
      </c>
    </row>
    <row r="36" spans="1:15" ht="45" x14ac:dyDescent="0.25">
      <c r="A36" s="19" t="s">
        <v>128</v>
      </c>
      <c r="B36" s="20" t="s">
        <v>12</v>
      </c>
      <c r="C36" s="20" t="s">
        <v>21</v>
      </c>
      <c r="D36" s="11"/>
      <c r="E36" s="7"/>
      <c r="F36" s="80">
        <v>805055542.26999998</v>
      </c>
      <c r="G36" s="80">
        <v>805055542.26999998</v>
      </c>
      <c r="H36" s="24">
        <f t="shared" si="16"/>
        <v>0</v>
      </c>
      <c r="I36" s="80">
        <v>811692342.71000004</v>
      </c>
      <c r="J36" s="24">
        <f>I36-G36</f>
        <v>6636800.4400000572</v>
      </c>
      <c r="K36" s="80">
        <v>811692342.71000004</v>
      </c>
      <c r="L36" s="24">
        <f>K36-I36</f>
        <v>0</v>
      </c>
      <c r="M36" s="80">
        <v>844147362.71000004</v>
      </c>
      <c r="N36" s="24">
        <f t="shared" si="17"/>
        <v>32455020</v>
      </c>
      <c r="O36" s="65">
        <f t="shared" si="18"/>
        <v>39091820.440000057</v>
      </c>
    </row>
    <row r="37" spans="1:15" ht="16.5" x14ac:dyDescent="0.25">
      <c r="A37" s="19" t="s">
        <v>35</v>
      </c>
      <c r="B37" s="20" t="s">
        <v>12</v>
      </c>
      <c r="C37" s="20" t="s">
        <v>23</v>
      </c>
      <c r="D37" s="11"/>
      <c r="E37" s="7"/>
      <c r="F37" s="80">
        <v>62385000</v>
      </c>
      <c r="G37" s="80">
        <v>112385000</v>
      </c>
      <c r="H37" s="24">
        <f t="shared" si="16"/>
        <v>50000000</v>
      </c>
      <c r="I37" s="80">
        <v>138776575</v>
      </c>
      <c r="J37" s="24">
        <f>I37-G37</f>
        <v>26391575</v>
      </c>
      <c r="K37" s="80">
        <v>138776575</v>
      </c>
      <c r="L37" s="24">
        <f>K37-I37</f>
        <v>0</v>
      </c>
      <c r="M37" s="80">
        <v>156916911.30000001</v>
      </c>
      <c r="N37" s="24">
        <f t="shared" si="17"/>
        <v>18140336.300000012</v>
      </c>
      <c r="O37" s="65">
        <f t="shared" si="18"/>
        <v>94531911.300000012</v>
      </c>
    </row>
    <row r="38" spans="1:15" s="10" customFormat="1" ht="30" x14ac:dyDescent="0.2">
      <c r="A38" s="19" t="s">
        <v>36</v>
      </c>
      <c r="B38" s="20" t="s">
        <v>12</v>
      </c>
      <c r="C38" s="20" t="s">
        <v>37</v>
      </c>
      <c r="D38" s="14"/>
      <c r="E38" s="9"/>
      <c r="F38" s="80">
        <v>73799470</v>
      </c>
      <c r="G38" s="80">
        <v>80124423.870000005</v>
      </c>
      <c r="H38" s="24">
        <f t="shared" si="16"/>
        <v>6324953.8700000048</v>
      </c>
      <c r="I38" s="80">
        <v>80124423.870000005</v>
      </c>
      <c r="J38" s="24">
        <f>I38-G38</f>
        <v>0</v>
      </c>
      <c r="K38" s="80">
        <v>80124423.870000005</v>
      </c>
      <c r="L38" s="24">
        <f>K38-I38</f>
        <v>0</v>
      </c>
      <c r="M38" s="80">
        <v>80485113.870000005</v>
      </c>
      <c r="N38" s="24">
        <f t="shared" si="17"/>
        <v>360690</v>
      </c>
      <c r="O38" s="65">
        <f t="shared" si="18"/>
        <v>6685643.8700000048</v>
      </c>
    </row>
    <row r="39" spans="1:15" s="61" customFormat="1" ht="19.5" customHeight="1" x14ac:dyDescent="0.2">
      <c r="A39" s="31" t="s">
        <v>38</v>
      </c>
      <c r="B39" s="32" t="s">
        <v>14</v>
      </c>
      <c r="C39" s="29" t="s">
        <v>9</v>
      </c>
      <c r="D39" s="6">
        <f t="shared" ref="D39:M39" si="19">SUM(D40:D48)</f>
        <v>0</v>
      </c>
      <c r="E39" s="6">
        <f t="shared" si="19"/>
        <v>0</v>
      </c>
      <c r="F39" s="37">
        <f>SUM(F40:F48)</f>
        <v>22040896304.139999</v>
      </c>
      <c r="G39" s="37">
        <f t="shared" si="19"/>
        <v>24954332123.829998</v>
      </c>
      <c r="H39" s="38">
        <f>SUM(H40:H48)</f>
        <v>2913435819.6900001</v>
      </c>
      <c r="I39" s="37">
        <f t="shared" si="19"/>
        <v>25144230084.699997</v>
      </c>
      <c r="J39" s="38">
        <f>SUM(J40:J48)</f>
        <v>189897960.86999995</v>
      </c>
      <c r="K39" s="37">
        <f t="shared" si="19"/>
        <v>28293584609.709999</v>
      </c>
      <c r="L39" s="41">
        <f>SUM(L40:L48)</f>
        <v>3149354525.0100002</v>
      </c>
      <c r="M39" s="37">
        <f t="shared" si="19"/>
        <v>28821018941.959999</v>
      </c>
      <c r="N39" s="38">
        <f>SUM(N40:N48)</f>
        <v>527434332.2499997</v>
      </c>
      <c r="O39" s="70">
        <f>SUM(O40:O48)</f>
        <v>6780122637.8199997</v>
      </c>
    </row>
    <row r="40" spans="1:15" ht="16.5" x14ac:dyDescent="0.25">
      <c r="A40" s="19" t="s">
        <v>39</v>
      </c>
      <c r="B40" s="20" t="s">
        <v>14</v>
      </c>
      <c r="C40" s="20" t="s">
        <v>8</v>
      </c>
      <c r="D40" s="12"/>
      <c r="E40" s="7"/>
      <c r="F40" s="80">
        <v>771478383.04999995</v>
      </c>
      <c r="G40" s="80">
        <v>700777244.35000002</v>
      </c>
      <c r="H40" s="24">
        <f>G40-F40</f>
        <v>-70701138.699999928</v>
      </c>
      <c r="I40" s="80">
        <v>703594817.55999994</v>
      </c>
      <c r="J40" s="24">
        <f>I40-G40</f>
        <v>2817573.2099999189</v>
      </c>
      <c r="K40" s="80">
        <v>703619842.55999994</v>
      </c>
      <c r="L40" s="24">
        <f>K40-I40</f>
        <v>25025</v>
      </c>
      <c r="M40" s="80">
        <v>741164060.52999997</v>
      </c>
      <c r="N40" s="24">
        <f>M40-K40</f>
        <v>37544217.970000029</v>
      </c>
      <c r="O40" s="65">
        <f t="shared" ref="O40:O48" si="20">M40-F40</f>
        <v>-30314322.519999981</v>
      </c>
    </row>
    <row r="41" spans="1:15" ht="16.5" x14ac:dyDescent="0.25">
      <c r="A41" s="19" t="s">
        <v>40</v>
      </c>
      <c r="B41" s="20" t="s">
        <v>14</v>
      </c>
      <c r="C41" s="20" t="s">
        <v>14</v>
      </c>
      <c r="D41" s="11"/>
      <c r="E41" s="7"/>
      <c r="F41" s="80">
        <v>4572000</v>
      </c>
      <c r="G41" s="80">
        <v>4572000</v>
      </c>
      <c r="H41" s="24">
        <f t="shared" ref="H41:H48" si="21">G41-F41</f>
        <v>0</v>
      </c>
      <c r="I41" s="80">
        <v>3376750</v>
      </c>
      <c r="J41" s="24">
        <f t="shared" ref="J41:J48" si="22">I41-G41</f>
        <v>-1195250</v>
      </c>
      <c r="K41" s="80">
        <v>3376750</v>
      </c>
      <c r="L41" s="24">
        <f t="shared" ref="L41:L48" si="23">K41-I41</f>
        <v>0</v>
      </c>
      <c r="M41" s="80">
        <v>3376750</v>
      </c>
      <c r="N41" s="24">
        <f t="shared" ref="N41:N48" si="24">M41-K41</f>
        <v>0</v>
      </c>
      <c r="O41" s="65">
        <f t="shared" si="20"/>
        <v>-1195250</v>
      </c>
    </row>
    <row r="42" spans="1:15" ht="16.5" x14ac:dyDescent="0.25">
      <c r="A42" s="19" t="s">
        <v>41</v>
      </c>
      <c r="B42" s="20" t="s">
        <v>14</v>
      </c>
      <c r="C42" s="20" t="s">
        <v>16</v>
      </c>
      <c r="D42" s="11"/>
      <c r="E42" s="7"/>
      <c r="F42" s="80">
        <v>3472409627.02</v>
      </c>
      <c r="G42" s="80">
        <v>3472882744.2800002</v>
      </c>
      <c r="H42" s="24">
        <f t="shared" si="21"/>
        <v>473117.26000022888</v>
      </c>
      <c r="I42" s="80">
        <v>3481499409.0700002</v>
      </c>
      <c r="J42" s="24">
        <f t="shared" si="22"/>
        <v>8616664.7899999619</v>
      </c>
      <c r="K42" s="80">
        <v>3722996061.71</v>
      </c>
      <c r="L42" s="24">
        <f t="shared" si="23"/>
        <v>241496652.63999987</v>
      </c>
      <c r="M42" s="80">
        <v>3765641848.4899998</v>
      </c>
      <c r="N42" s="24">
        <f t="shared" si="24"/>
        <v>42645786.779999733</v>
      </c>
      <c r="O42" s="65">
        <f t="shared" si="20"/>
        <v>293232221.46999979</v>
      </c>
    </row>
    <row r="43" spans="1:15" ht="16.5" x14ac:dyDescent="0.25">
      <c r="A43" s="19" t="s">
        <v>91</v>
      </c>
      <c r="B43" s="20" t="s">
        <v>14</v>
      </c>
      <c r="C43" s="20" t="s">
        <v>18</v>
      </c>
      <c r="D43" s="11"/>
      <c r="E43" s="7"/>
      <c r="F43" s="80">
        <v>145745500</v>
      </c>
      <c r="G43" s="80">
        <v>145745500</v>
      </c>
      <c r="H43" s="24">
        <f t="shared" si="21"/>
        <v>0</v>
      </c>
      <c r="I43" s="80">
        <v>201217329.44</v>
      </c>
      <c r="J43" s="24">
        <f t="shared" si="22"/>
        <v>55471829.439999998</v>
      </c>
      <c r="K43" s="80">
        <v>201217329.44</v>
      </c>
      <c r="L43" s="24">
        <f t="shared" si="23"/>
        <v>0</v>
      </c>
      <c r="M43" s="80">
        <v>217474706.12</v>
      </c>
      <c r="N43" s="24">
        <f t="shared" si="24"/>
        <v>16257376.680000007</v>
      </c>
      <c r="O43" s="65">
        <f t="shared" si="20"/>
        <v>71729206.120000005</v>
      </c>
    </row>
    <row r="44" spans="1:15" ht="16.5" x14ac:dyDescent="0.25">
      <c r="A44" s="19" t="s">
        <v>42</v>
      </c>
      <c r="B44" s="20" t="s">
        <v>14</v>
      </c>
      <c r="C44" s="20" t="s">
        <v>20</v>
      </c>
      <c r="D44" s="11"/>
      <c r="E44" s="7"/>
      <c r="F44" s="80">
        <v>559281700</v>
      </c>
      <c r="G44" s="80">
        <v>569274110.95000005</v>
      </c>
      <c r="H44" s="24">
        <f t="shared" si="21"/>
        <v>9992410.9500000477</v>
      </c>
      <c r="I44" s="80">
        <v>569274110.95000005</v>
      </c>
      <c r="J44" s="24">
        <f t="shared" si="22"/>
        <v>0</v>
      </c>
      <c r="K44" s="80">
        <v>569274110.95000005</v>
      </c>
      <c r="L44" s="24">
        <f t="shared" si="23"/>
        <v>0</v>
      </c>
      <c r="M44" s="80">
        <v>596699575.35000002</v>
      </c>
      <c r="N44" s="24">
        <f t="shared" si="24"/>
        <v>27425464.399999976</v>
      </c>
      <c r="O44" s="65">
        <f t="shared" si="20"/>
        <v>37417875.350000024</v>
      </c>
    </row>
    <row r="45" spans="1:15" ht="16.5" x14ac:dyDescent="0.25">
      <c r="A45" s="19" t="s">
        <v>43</v>
      </c>
      <c r="B45" s="20" t="s">
        <v>14</v>
      </c>
      <c r="C45" s="20" t="s">
        <v>44</v>
      </c>
      <c r="D45" s="11"/>
      <c r="E45" s="7"/>
      <c r="F45" s="80">
        <v>1335436183.6199999</v>
      </c>
      <c r="G45" s="80">
        <v>1337186219.3199999</v>
      </c>
      <c r="H45" s="24">
        <f t="shared" si="21"/>
        <v>1750035.7000000477</v>
      </c>
      <c r="I45" s="80">
        <v>1259667970.96</v>
      </c>
      <c r="J45" s="24">
        <f t="shared" si="22"/>
        <v>-77518248.359999895</v>
      </c>
      <c r="K45" s="80">
        <v>3581349070.96</v>
      </c>
      <c r="L45" s="24">
        <f t="shared" si="23"/>
        <v>2321681100</v>
      </c>
      <c r="M45" s="80">
        <v>3964536960.7800002</v>
      </c>
      <c r="N45" s="24">
        <f t="shared" si="24"/>
        <v>383187889.82000017</v>
      </c>
      <c r="O45" s="65">
        <f t="shared" si="20"/>
        <v>2629100777.1600003</v>
      </c>
    </row>
    <row r="46" spans="1:15" ht="16.5" x14ac:dyDescent="0.25">
      <c r="A46" s="19" t="s">
        <v>45</v>
      </c>
      <c r="B46" s="20" t="s">
        <v>14</v>
      </c>
      <c r="C46" s="20" t="s">
        <v>33</v>
      </c>
      <c r="D46" s="11"/>
      <c r="E46" s="7"/>
      <c r="F46" s="80">
        <v>12011679911.5</v>
      </c>
      <c r="G46" s="80">
        <v>14722492305.98</v>
      </c>
      <c r="H46" s="24">
        <f t="shared" si="21"/>
        <v>2710812394.4799995</v>
      </c>
      <c r="I46" s="80">
        <v>14722492305.98</v>
      </c>
      <c r="J46" s="24">
        <f t="shared" si="22"/>
        <v>0</v>
      </c>
      <c r="K46" s="80">
        <v>15247992305.98</v>
      </c>
      <c r="L46" s="24">
        <f t="shared" si="23"/>
        <v>525500000</v>
      </c>
      <c r="M46" s="80">
        <v>15206828305.98</v>
      </c>
      <c r="N46" s="24">
        <f t="shared" si="24"/>
        <v>-41164000</v>
      </c>
      <c r="O46" s="65">
        <f t="shared" si="20"/>
        <v>3195148394.4799995</v>
      </c>
    </row>
    <row r="47" spans="1:15" ht="16.5" x14ac:dyDescent="0.25">
      <c r="A47" s="19" t="s">
        <v>114</v>
      </c>
      <c r="B47" s="20" t="s">
        <v>14</v>
      </c>
      <c r="C47" s="20" t="s">
        <v>21</v>
      </c>
      <c r="D47" s="11"/>
      <c r="E47" s="7"/>
      <c r="F47" s="80">
        <v>805024700</v>
      </c>
      <c r="G47" s="80">
        <v>969204700</v>
      </c>
      <c r="H47" s="24">
        <f t="shared" si="21"/>
        <v>164180000</v>
      </c>
      <c r="I47" s="80">
        <v>969204700</v>
      </c>
      <c r="J47" s="24">
        <f t="shared" si="22"/>
        <v>0</v>
      </c>
      <c r="K47" s="80">
        <v>969204700</v>
      </c>
      <c r="L47" s="24">
        <f t="shared" si="23"/>
        <v>0</v>
      </c>
      <c r="M47" s="80">
        <v>1020431533.42</v>
      </c>
      <c r="N47" s="24">
        <f t="shared" si="24"/>
        <v>51226833.419999957</v>
      </c>
      <c r="O47" s="65">
        <f t="shared" si="20"/>
        <v>215406833.41999996</v>
      </c>
    </row>
    <row r="48" spans="1:15" s="10" customFormat="1" ht="16.5" x14ac:dyDescent="0.2">
      <c r="A48" s="19" t="s">
        <v>46</v>
      </c>
      <c r="B48" s="20" t="s">
        <v>14</v>
      </c>
      <c r="C48" s="20" t="s">
        <v>47</v>
      </c>
      <c r="D48" s="8"/>
      <c r="E48" s="9"/>
      <c r="F48" s="80">
        <v>2935268298.9499998</v>
      </c>
      <c r="G48" s="80">
        <v>3032197298.9499998</v>
      </c>
      <c r="H48" s="24">
        <f t="shared" si="21"/>
        <v>96929000</v>
      </c>
      <c r="I48" s="80">
        <v>3233902690.7399998</v>
      </c>
      <c r="J48" s="24">
        <f t="shared" si="22"/>
        <v>201705391.78999996</v>
      </c>
      <c r="K48" s="80">
        <v>3294554438.1100001</v>
      </c>
      <c r="L48" s="24">
        <f t="shared" si="23"/>
        <v>60651747.370000362</v>
      </c>
      <c r="M48" s="80">
        <v>3304865201.29</v>
      </c>
      <c r="N48" s="24">
        <f t="shared" si="24"/>
        <v>10310763.179999828</v>
      </c>
      <c r="O48" s="65">
        <f t="shared" si="20"/>
        <v>369596902.34000015</v>
      </c>
    </row>
    <row r="49" spans="1:15" s="61" customFormat="1" ht="16.5" x14ac:dyDescent="0.2">
      <c r="A49" s="28" t="s">
        <v>48</v>
      </c>
      <c r="B49" s="29" t="s">
        <v>16</v>
      </c>
      <c r="C49" s="29" t="s">
        <v>9</v>
      </c>
      <c r="D49" s="6">
        <f t="shared" ref="D49:M49" si="25">SUM(D50:D53)</f>
        <v>0</v>
      </c>
      <c r="E49" s="6">
        <f t="shared" si="25"/>
        <v>0</v>
      </c>
      <c r="F49" s="37">
        <f t="shared" si="25"/>
        <v>4376688375.6700001</v>
      </c>
      <c r="G49" s="37">
        <f t="shared" si="25"/>
        <v>4805700682.4700003</v>
      </c>
      <c r="H49" s="38">
        <f>SUM(H50:H53)</f>
        <v>429012306.80000001</v>
      </c>
      <c r="I49" s="37">
        <f>SUM(I50:I53)</f>
        <v>5388383007.7700005</v>
      </c>
      <c r="J49" s="38">
        <f>SUM(J50:J53)</f>
        <v>582682325.29999995</v>
      </c>
      <c r="K49" s="37">
        <f t="shared" si="25"/>
        <v>6828245472.0300007</v>
      </c>
      <c r="L49" s="38">
        <f>SUM(L50:L53)</f>
        <v>1439862464.2600002</v>
      </c>
      <c r="M49" s="37">
        <f t="shared" si="25"/>
        <v>8491573394.5199995</v>
      </c>
      <c r="N49" s="38">
        <f>SUM(N50:N53)</f>
        <v>1663327922.49</v>
      </c>
      <c r="O49" s="52">
        <f t="shared" ref="O49" si="26">M49-F49</f>
        <v>4114885018.8499994</v>
      </c>
    </row>
    <row r="50" spans="1:15" ht="16.5" x14ac:dyDescent="0.25">
      <c r="A50" s="19" t="s">
        <v>49</v>
      </c>
      <c r="B50" s="20" t="s">
        <v>16</v>
      </c>
      <c r="C50" s="20" t="s">
        <v>8</v>
      </c>
      <c r="D50" s="7"/>
      <c r="E50" s="7"/>
      <c r="F50" s="80">
        <v>347136647.69</v>
      </c>
      <c r="G50" s="80">
        <v>401441201.49000001</v>
      </c>
      <c r="H50" s="24">
        <f>G50-F50</f>
        <v>54304553.800000012</v>
      </c>
      <c r="I50" s="80">
        <v>398856598.38</v>
      </c>
      <c r="J50" s="24">
        <f>I50-G50</f>
        <v>-2584603.1100000143</v>
      </c>
      <c r="K50" s="80">
        <v>400704487.85000002</v>
      </c>
      <c r="L50" s="24">
        <f>K50-I50</f>
        <v>1847889.4700000286</v>
      </c>
      <c r="M50" s="80">
        <v>448119124.69</v>
      </c>
      <c r="N50" s="24">
        <f>M50-K50</f>
        <v>47414636.839999974</v>
      </c>
      <c r="O50" s="65">
        <f>M50-F50</f>
        <v>100982477</v>
      </c>
    </row>
    <row r="51" spans="1:15" ht="16.5" x14ac:dyDescent="0.25">
      <c r="A51" s="19" t="s">
        <v>50</v>
      </c>
      <c r="B51" s="20" t="s">
        <v>16</v>
      </c>
      <c r="C51" s="20" t="s">
        <v>10</v>
      </c>
      <c r="D51" s="12"/>
      <c r="E51" s="7"/>
      <c r="F51" s="80">
        <v>2390646234.8200002</v>
      </c>
      <c r="G51" s="80">
        <v>2514593706.8200002</v>
      </c>
      <c r="H51" s="24">
        <f>G51-F51</f>
        <v>123947472</v>
      </c>
      <c r="I51" s="80">
        <v>3077542420.0900002</v>
      </c>
      <c r="J51" s="24">
        <f>I51-G51</f>
        <v>562948713.26999998</v>
      </c>
      <c r="K51" s="80">
        <v>4486587820.0900002</v>
      </c>
      <c r="L51" s="24">
        <f>K51-I51</f>
        <v>1409045400</v>
      </c>
      <c r="M51" s="80">
        <v>6099587714.3800001</v>
      </c>
      <c r="N51" s="24">
        <f>M51-K51</f>
        <v>1612999894.29</v>
      </c>
      <c r="O51" s="65">
        <f t="shared" ref="O51:O94" si="27">M51-F51</f>
        <v>3708941479.5599999</v>
      </c>
    </row>
    <row r="52" spans="1:15" ht="16.5" x14ac:dyDescent="0.25">
      <c r="A52" s="19" t="s">
        <v>51</v>
      </c>
      <c r="B52" s="20" t="s">
        <v>16</v>
      </c>
      <c r="C52" s="20" t="s">
        <v>12</v>
      </c>
      <c r="D52" s="11"/>
      <c r="E52" s="7"/>
      <c r="F52" s="80">
        <v>1211610020.5799999</v>
      </c>
      <c r="G52" s="80">
        <v>1460274120.5799999</v>
      </c>
      <c r="H52" s="24">
        <f>G52-F52</f>
        <v>248664100</v>
      </c>
      <c r="I52" s="80">
        <v>1484062083.1199999</v>
      </c>
      <c r="J52" s="24">
        <f>I52-G52</f>
        <v>23787962.539999962</v>
      </c>
      <c r="K52" s="80">
        <v>1512506600.02</v>
      </c>
      <c r="L52" s="24">
        <f>K52-I52</f>
        <v>28444516.900000095</v>
      </c>
      <c r="M52" s="80">
        <v>1511869417.8800001</v>
      </c>
      <c r="N52" s="24">
        <f>M52-K52</f>
        <v>-637182.13999986649</v>
      </c>
      <c r="O52" s="65">
        <f t="shared" si="27"/>
        <v>300259397.30000019</v>
      </c>
    </row>
    <row r="53" spans="1:15" s="10" customFormat="1" ht="30" x14ac:dyDescent="0.2">
      <c r="A53" s="19" t="s">
        <v>52</v>
      </c>
      <c r="B53" s="20" t="s">
        <v>16</v>
      </c>
      <c r="C53" s="20" t="s">
        <v>16</v>
      </c>
      <c r="D53" s="8"/>
      <c r="E53" s="9"/>
      <c r="F53" s="80">
        <v>427295472.57999998</v>
      </c>
      <c r="G53" s="80">
        <v>429391653.57999998</v>
      </c>
      <c r="H53" s="24">
        <f>G53-F53</f>
        <v>2096181</v>
      </c>
      <c r="I53" s="80">
        <v>427921906.18000001</v>
      </c>
      <c r="J53" s="24">
        <f>I53-G53</f>
        <v>-1469747.3999999762</v>
      </c>
      <c r="K53" s="80">
        <v>428446564.06999999</v>
      </c>
      <c r="L53" s="24">
        <f>K53-I53</f>
        <v>524657.88999998569</v>
      </c>
      <c r="M53" s="80">
        <v>431997137.56999999</v>
      </c>
      <c r="N53" s="24">
        <f>M53-K53</f>
        <v>3550573.5</v>
      </c>
      <c r="O53" s="65">
        <f t="shared" si="27"/>
        <v>4701664.9900000095</v>
      </c>
    </row>
    <row r="54" spans="1:15" s="61" customFormat="1" ht="16.5" x14ac:dyDescent="0.2">
      <c r="A54" s="28" t="s">
        <v>53</v>
      </c>
      <c r="B54" s="29" t="s">
        <v>18</v>
      </c>
      <c r="C54" s="29" t="s">
        <v>9</v>
      </c>
      <c r="D54" s="6">
        <f t="shared" ref="D54:M54" si="28">SUM(D55:D56)</f>
        <v>0</v>
      </c>
      <c r="E54" s="6">
        <f t="shared" si="28"/>
        <v>0</v>
      </c>
      <c r="F54" s="37">
        <f t="shared" si="28"/>
        <v>1102289100</v>
      </c>
      <c r="G54" s="37">
        <f t="shared" si="28"/>
        <v>1102289100</v>
      </c>
      <c r="H54" s="38">
        <f>SUM(H55:H56)</f>
        <v>0</v>
      </c>
      <c r="I54" s="37">
        <f t="shared" si="28"/>
        <v>1106500860.4100001</v>
      </c>
      <c r="J54" s="38">
        <f>SUM(J55:J56)</f>
        <v>4211760.4100000858</v>
      </c>
      <c r="K54" s="37">
        <f t="shared" si="28"/>
        <v>1106500860.4100001</v>
      </c>
      <c r="L54" s="38">
        <f>SUM(L55:L56)</f>
        <v>0</v>
      </c>
      <c r="M54" s="37">
        <f t="shared" si="28"/>
        <v>1075440734.5599999</v>
      </c>
      <c r="N54" s="38">
        <f>SUM(N55:N56)</f>
        <v>-31060125.850000143</v>
      </c>
      <c r="O54" s="52">
        <f t="shared" si="27"/>
        <v>-26848365.440000057</v>
      </c>
    </row>
    <row r="55" spans="1:15" ht="16.5" x14ac:dyDescent="0.25">
      <c r="A55" s="19" t="s">
        <v>92</v>
      </c>
      <c r="B55" s="20" t="s">
        <v>18</v>
      </c>
      <c r="C55" s="20" t="s">
        <v>10</v>
      </c>
      <c r="D55" s="7"/>
      <c r="E55" s="7"/>
      <c r="F55" s="80">
        <v>1000000</v>
      </c>
      <c r="G55" s="80">
        <v>1000000</v>
      </c>
      <c r="H55" s="24">
        <f>G55-F55</f>
        <v>0</v>
      </c>
      <c r="I55" s="80">
        <v>995000</v>
      </c>
      <c r="J55" s="24">
        <f>I55-G55</f>
        <v>-5000</v>
      </c>
      <c r="K55" s="80">
        <v>995000</v>
      </c>
      <c r="L55" s="24">
        <f>K55-I55</f>
        <v>0</v>
      </c>
      <c r="M55" s="80">
        <v>995000</v>
      </c>
      <c r="N55" s="24">
        <f>M55-K55</f>
        <v>0</v>
      </c>
      <c r="O55" s="65">
        <f t="shared" si="27"/>
        <v>-5000</v>
      </c>
    </row>
    <row r="56" spans="1:15" ht="16.5" x14ac:dyDescent="0.25">
      <c r="A56" s="19" t="s">
        <v>54</v>
      </c>
      <c r="B56" s="20" t="s">
        <v>18</v>
      </c>
      <c r="C56" s="20" t="s">
        <v>16</v>
      </c>
      <c r="D56" s="11"/>
      <c r="E56" s="7"/>
      <c r="F56" s="80">
        <v>1101289100</v>
      </c>
      <c r="G56" s="80">
        <v>1101289100</v>
      </c>
      <c r="H56" s="24">
        <f>G56-F56</f>
        <v>0</v>
      </c>
      <c r="I56" s="80">
        <v>1105505860.4100001</v>
      </c>
      <c r="J56" s="24">
        <f>I56-G56</f>
        <v>4216760.4100000858</v>
      </c>
      <c r="K56" s="80">
        <v>1105505860.4100001</v>
      </c>
      <c r="L56" s="24">
        <f>K56-I56</f>
        <v>0</v>
      </c>
      <c r="M56" s="80">
        <v>1074445734.5599999</v>
      </c>
      <c r="N56" s="24">
        <f>M56-K56</f>
        <v>-31060125.850000143</v>
      </c>
      <c r="O56" s="65">
        <f t="shared" si="27"/>
        <v>-26843365.440000057</v>
      </c>
    </row>
    <row r="57" spans="1:15" s="61" customFormat="1" ht="16.5" x14ac:dyDescent="0.2">
      <c r="A57" s="28" t="s">
        <v>55</v>
      </c>
      <c r="B57" s="29" t="s">
        <v>20</v>
      </c>
      <c r="C57" s="29" t="s">
        <v>9</v>
      </c>
      <c r="D57" s="6">
        <f t="shared" ref="D57:N57" si="29">SUM(D58:D64)</f>
        <v>0</v>
      </c>
      <c r="E57" s="6">
        <f t="shared" si="29"/>
        <v>0</v>
      </c>
      <c r="F57" s="37">
        <f t="shared" si="29"/>
        <v>20239249508.879997</v>
      </c>
      <c r="G57" s="37">
        <f t="shared" si="29"/>
        <v>20372026549.889999</v>
      </c>
      <c r="H57" s="38">
        <f>SUM(H58:H64)</f>
        <v>132777041.01000054</v>
      </c>
      <c r="I57" s="37">
        <f t="shared" si="29"/>
        <v>20801505765.129997</v>
      </c>
      <c r="J57" s="38">
        <f>SUM(J58:J64)</f>
        <v>429479215.23999906</v>
      </c>
      <c r="K57" s="37">
        <f t="shared" si="29"/>
        <v>20859971091.469997</v>
      </c>
      <c r="L57" s="38">
        <f t="shared" si="29"/>
        <v>58465326.340000153</v>
      </c>
      <c r="M57" s="44">
        <f t="shared" si="29"/>
        <v>21054544352.82</v>
      </c>
      <c r="N57" s="38">
        <f t="shared" si="29"/>
        <v>194573261.34999955</v>
      </c>
      <c r="O57" s="52">
        <f t="shared" si="27"/>
        <v>815294843.94000244</v>
      </c>
    </row>
    <row r="58" spans="1:15" ht="16.5" x14ac:dyDescent="0.25">
      <c r="A58" s="19" t="s">
        <v>56</v>
      </c>
      <c r="B58" s="20" t="s">
        <v>20</v>
      </c>
      <c r="C58" s="20" t="s">
        <v>8</v>
      </c>
      <c r="D58" s="12"/>
      <c r="E58" s="7"/>
      <c r="F58" s="80">
        <v>4460850950</v>
      </c>
      <c r="G58" s="80">
        <v>4460850950</v>
      </c>
      <c r="H58" s="24">
        <f>G58-F58</f>
        <v>0</v>
      </c>
      <c r="I58" s="80">
        <v>4462103148.1999998</v>
      </c>
      <c r="J58" s="24">
        <f>I58-G58</f>
        <v>1252198.1999998093</v>
      </c>
      <c r="K58" s="80">
        <v>4459816948.1999998</v>
      </c>
      <c r="L58" s="24">
        <f>K58-I58</f>
        <v>-2286200</v>
      </c>
      <c r="M58" s="80">
        <v>4430437850.3599997</v>
      </c>
      <c r="N58" s="24">
        <f>M58-K58</f>
        <v>-29379097.840000153</v>
      </c>
      <c r="O58" s="65">
        <f t="shared" si="27"/>
        <v>-30413099.640000343</v>
      </c>
    </row>
    <row r="59" spans="1:15" ht="16.5" x14ac:dyDescent="0.25">
      <c r="A59" s="19" t="s">
        <v>57</v>
      </c>
      <c r="B59" s="20" t="s">
        <v>20</v>
      </c>
      <c r="C59" s="20" t="s">
        <v>10</v>
      </c>
      <c r="D59" s="11"/>
      <c r="E59" s="7"/>
      <c r="F59" s="80">
        <v>11163916090.99</v>
      </c>
      <c r="G59" s="80">
        <v>11235348256.77</v>
      </c>
      <c r="H59" s="24">
        <f t="shared" ref="H59:H64" si="30">G59-F59</f>
        <v>71432165.780000687</v>
      </c>
      <c r="I59" s="80">
        <v>11525115041.9</v>
      </c>
      <c r="J59" s="24">
        <f t="shared" ref="J59:J64" si="31">I59-G59</f>
        <v>289766785.12999916</v>
      </c>
      <c r="K59" s="80">
        <v>11579884751.74</v>
      </c>
      <c r="L59" s="24">
        <f t="shared" ref="L59:L64" si="32">K59-I59</f>
        <v>54769709.840000153</v>
      </c>
      <c r="M59" s="80">
        <v>11936941026.65</v>
      </c>
      <c r="N59" s="24">
        <f t="shared" ref="N59:N64" si="33">M59-K59</f>
        <v>357056274.90999985</v>
      </c>
      <c r="O59" s="65">
        <f t="shared" si="27"/>
        <v>773024935.65999985</v>
      </c>
    </row>
    <row r="60" spans="1:15" ht="16.5" x14ac:dyDescent="0.25">
      <c r="A60" s="19" t="s">
        <v>95</v>
      </c>
      <c r="B60" s="20" t="s">
        <v>20</v>
      </c>
      <c r="C60" s="20" t="s">
        <v>12</v>
      </c>
      <c r="D60" s="11"/>
      <c r="E60" s="7"/>
      <c r="F60" s="80">
        <v>584211611.37</v>
      </c>
      <c r="G60" s="80">
        <v>596066450.78999996</v>
      </c>
      <c r="H60" s="24">
        <f t="shared" si="30"/>
        <v>11854839.419999957</v>
      </c>
      <c r="I60" s="80">
        <v>607388615.71000004</v>
      </c>
      <c r="J60" s="24">
        <f t="shared" si="31"/>
        <v>11322164.920000076</v>
      </c>
      <c r="K60" s="80">
        <v>608395457.21000004</v>
      </c>
      <c r="L60" s="24">
        <f t="shared" si="32"/>
        <v>1006841.5</v>
      </c>
      <c r="M60" s="80">
        <v>628498870.17999995</v>
      </c>
      <c r="N60" s="24">
        <f t="shared" si="33"/>
        <v>20103412.969999909</v>
      </c>
      <c r="O60" s="65">
        <f t="shared" si="27"/>
        <v>44287258.809999943</v>
      </c>
    </row>
    <row r="61" spans="1:15" ht="16.5" x14ac:dyDescent="0.25">
      <c r="A61" s="19" t="s">
        <v>58</v>
      </c>
      <c r="B61" s="20" t="s">
        <v>20</v>
      </c>
      <c r="C61" s="20" t="s">
        <v>14</v>
      </c>
      <c r="D61" s="11"/>
      <c r="E61" s="7"/>
      <c r="F61" s="80">
        <v>2059909398.96</v>
      </c>
      <c r="G61" s="80">
        <v>2064514781.96</v>
      </c>
      <c r="H61" s="24">
        <f t="shared" si="30"/>
        <v>4605383</v>
      </c>
      <c r="I61" s="80">
        <v>2156588669.46</v>
      </c>
      <c r="J61" s="24">
        <f t="shared" si="31"/>
        <v>92073887.5</v>
      </c>
      <c r="K61" s="80">
        <v>2161588669.46</v>
      </c>
      <c r="L61" s="24">
        <f t="shared" si="32"/>
        <v>5000000</v>
      </c>
      <c r="M61" s="80">
        <v>2234215142.3899999</v>
      </c>
      <c r="N61" s="24">
        <f t="shared" si="33"/>
        <v>72626472.929999828</v>
      </c>
      <c r="O61" s="65">
        <f t="shared" si="27"/>
        <v>174305743.42999983</v>
      </c>
    </row>
    <row r="62" spans="1:15" s="10" customFormat="1" ht="30" x14ac:dyDescent="0.2">
      <c r="A62" s="19" t="s">
        <v>59</v>
      </c>
      <c r="B62" s="20" t="s">
        <v>20</v>
      </c>
      <c r="C62" s="20" t="s">
        <v>16</v>
      </c>
      <c r="D62" s="8"/>
      <c r="E62" s="9"/>
      <c r="F62" s="80">
        <v>129046590.34999999</v>
      </c>
      <c r="G62" s="80">
        <v>132832430.79000001</v>
      </c>
      <c r="H62" s="24">
        <f t="shared" si="30"/>
        <v>3785840.4400000125</v>
      </c>
      <c r="I62" s="80">
        <v>134661621.78999999</v>
      </c>
      <c r="J62" s="24">
        <f t="shared" si="31"/>
        <v>1829190.9999999851</v>
      </c>
      <c r="K62" s="80">
        <v>134636596.78999999</v>
      </c>
      <c r="L62" s="24">
        <f t="shared" si="32"/>
        <v>-25025</v>
      </c>
      <c r="M62" s="80">
        <v>146658318.13</v>
      </c>
      <c r="N62" s="24">
        <f t="shared" si="33"/>
        <v>12021721.340000004</v>
      </c>
      <c r="O62" s="65">
        <f t="shared" si="27"/>
        <v>17611727.780000001</v>
      </c>
    </row>
    <row r="63" spans="1:15" ht="16.5" x14ac:dyDescent="0.25">
      <c r="A63" s="19" t="s">
        <v>129</v>
      </c>
      <c r="B63" s="20" t="s">
        <v>20</v>
      </c>
      <c r="C63" s="20" t="s">
        <v>20</v>
      </c>
      <c r="D63" s="11"/>
      <c r="E63" s="7"/>
      <c r="F63" s="80">
        <v>328449107</v>
      </c>
      <c r="G63" s="80">
        <v>331704107</v>
      </c>
      <c r="H63" s="24">
        <f t="shared" si="30"/>
        <v>3255000</v>
      </c>
      <c r="I63" s="80">
        <v>331704107</v>
      </c>
      <c r="J63" s="24">
        <f t="shared" si="31"/>
        <v>0</v>
      </c>
      <c r="K63" s="80">
        <v>331704107</v>
      </c>
      <c r="L63" s="24">
        <f t="shared" si="32"/>
        <v>0</v>
      </c>
      <c r="M63" s="80">
        <v>341241529.13999999</v>
      </c>
      <c r="N63" s="24">
        <f t="shared" si="33"/>
        <v>9537422.1399999857</v>
      </c>
      <c r="O63" s="65">
        <f t="shared" si="27"/>
        <v>12792422.139999986</v>
      </c>
    </row>
    <row r="64" spans="1:15" ht="16.5" x14ac:dyDescent="0.25">
      <c r="A64" s="19" t="s">
        <v>61</v>
      </c>
      <c r="B64" s="20" t="s">
        <v>20</v>
      </c>
      <c r="C64" s="20" t="s">
        <v>33</v>
      </c>
      <c r="D64" s="11"/>
      <c r="E64" s="7"/>
      <c r="F64" s="80">
        <v>1512865760.21</v>
      </c>
      <c r="G64" s="80">
        <v>1550709572.5799999</v>
      </c>
      <c r="H64" s="24">
        <f t="shared" si="30"/>
        <v>37843812.369999886</v>
      </c>
      <c r="I64" s="80">
        <v>1583944561.0699999</v>
      </c>
      <c r="J64" s="24">
        <f t="shared" si="31"/>
        <v>33234988.49000001</v>
      </c>
      <c r="K64" s="80">
        <v>1583944561.0699999</v>
      </c>
      <c r="L64" s="24">
        <f t="shared" si="32"/>
        <v>0</v>
      </c>
      <c r="M64" s="80">
        <v>1336551615.97</v>
      </c>
      <c r="N64" s="24">
        <f t="shared" si="33"/>
        <v>-247392945.0999999</v>
      </c>
      <c r="O64" s="65">
        <f t="shared" si="27"/>
        <v>-176314144.24000001</v>
      </c>
    </row>
    <row r="65" spans="1:15" s="61" customFormat="1" ht="16.5" x14ac:dyDescent="0.2">
      <c r="A65" s="28" t="s">
        <v>93</v>
      </c>
      <c r="B65" s="29" t="s">
        <v>44</v>
      </c>
      <c r="C65" s="29" t="s">
        <v>9</v>
      </c>
      <c r="D65" s="6">
        <f t="shared" ref="D65:M65" si="34">SUM(D66:D67)</f>
        <v>0</v>
      </c>
      <c r="E65" s="6">
        <f t="shared" si="34"/>
        <v>0</v>
      </c>
      <c r="F65" s="37">
        <f t="shared" si="34"/>
        <v>1712510912.0599999</v>
      </c>
      <c r="G65" s="37">
        <f t="shared" si="34"/>
        <v>1714378662.0599999</v>
      </c>
      <c r="H65" s="38">
        <f>SUM(H66:H67)</f>
        <v>1867750</v>
      </c>
      <c r="I65" s="44">
        <f t="shared" si="34"/>
        <v>1741945883.4400001</v>
      </c>
      <c r="J65" s="38">
        <f>SUM(J66:J67)</f>
        <v>27567221.380000114</v>
      </c>
      <c r="K65" s="37">
        <f t="shared" si="34"/>
        <v>1799645883.4400001</v>
      </c>
      <c r="L65" s="38">
        <f>SUM(L66:L67)</f>
        <v>57700000</v>
      </c>
      <c r="M65" s="37">
        <f t="shared" si="34"/>
        <v>1981275174.9300001</v>
      </c>
      <c r="N65" s="38">
        <f>SUM(N66:N67)</f>
        <v>181629291.49000004</v>
      </c>
      <c r="O65" s="52">
        <f t="shared" si="27"/>
        <v>268764262.87000012</v>
      </c>
    </row>
    <row r="66" spans="1:15" ht="16.5" x14ac:dyDescent="0.25">
      <c r="A66" s="19" t="s">
        <v>62</v>
      </c>
      <c r="B66" s="20" t="s">
        <v>44</v>
      </c>
      <c r="C66" s="20" t="s">
        <v>8</v>
      </c>
      <c r="D66" s="11"/>
      <c r="E66" s="7"/>
      <c r="F66" s="80">
        <v>1671822912.0599999</v>
      </c>
      <c r="G66" s="80">
        <v>1673690662.0599999</v>
      </c>
      <c r="H66" s="24">
        <f>G66-F66</f>
        <v>1867750</v>
      </c>
      <c r="I66" s="80">
        <v>1701257883.4400001</v>
      </c>
      <c r="J66" s="24">
        <f>I66-G66</f>
        <v>27567221.380000114</v>
      </c>
      <c r="K66" s="80">
        <v>1758957883.4400001</v>
      </c>
      <c r="L66" s="24">
        <f>K66-I66</f>
        <v>57700000</v>
      </c>
      <c r="M66" s="80">
        <v>1937730846.9100001</v>
      </c>
      <c r="N66" s="24">
        <f>M66-K66</f>
        <v>178772963.47000003</v>
      </c>
      <c r="O66" s="65">
        <f t="shared" si="27"/>
        <v>265907934.85000014</v>
      </c>
    </row>
    <row r="67" spans="1:15" ht="16.5" x14ac:dyDescent="0.25">
      <c r="A67" s="19" t="s">
        <v>63</v>
      </c>
      <c r="B67" s="20" t="s">
        <v>44</v>
      </c>
      <c r="C67" s="20" t="s">
        <v>14</v>
      </c>
      <c r="D67" s="11"/>
      <c r="E67" s="7"/>
      <c r="F67" s="80">
        <v>40688000</v>
      </c>
      <c r="G67" s="80">
        <v>40688000</v>
      </c>
      <c r="H67" s="24">
        <f>G67-F67</f>
        <v>0</v>
      </c>
      <c r="I67" s="80">
        <v>40688000</v>
      </c>
      <c r="J67" s="24">
        <f>I67-G67</f>
        <v>0</v>
      </c>
      <c r="K67" s="80">
        <v>40688000</v>
      </c>
      <c r="L67" s="24">
        <f>K67-I67</f>
        <v>0</v>
      </c>
      <c r="M67" s="80">
        <v>43544328.020000003</v>
      </c>
      <c r="N67" s="24">
        <f>M67-K67</f>
        <v>2856328.0200000033</v>
      </c>
      <c r="O67" s="65">
        <f t="shared" si="27"/>
        <v>2856328.0200000033</v>
      </c>
    </row>
    <row r="68" spans="1:15" s="61" customFormat="1" ht="16.5" x14ac:dyDescent="0.2">
      <c r="A68" s="28" t="s">
        <v>64</v>
      </c>
      <c r="B68" s="29" t="s">
        <v>33</v>
      </c>
      <c r="C68" s="29" t="s">
        <v>9</v>
      </c>
      <c r="D68" s="6">
        <f t="shared" ref="D68:M68" si="35">SUM(D69:D74)</f>
        <v>0</v>
      </c>
      <c r="E68" s="6">
        <f t="shared" si="35"/>
        <v>0</v>
      </c>
      <c r="F68" s="37">
        <f t="shared" si="35"/>
        <v>11433437452.110001</v>
      </c>
      <c r="G68" s="37">
        <f t="shared" si="35"/>
        <v>11352888000.84</v>
      </c>
      <c r="H68" s="38">
        <f>SUM(H69:H74)</f>
        <v>-80549451.269999832</v>
      </c>
      <c r="I68" s="37">
        <f>SUM(I69:I74)</f>
        <v>12269654514.219999</v>
      </c>
      <c r="J68" s="38">
        <f>SUM(J69:J74)</f>
        <v>916766513.38000011</v>
      </c>
      <c r="K68" s="37">
        <f>SUM(K69:K74)</f>
        <v>12400104865.709999</v>
      </c>
      <c r="L68" s="38">
        <f>SUM(L69:L74)</f>
        <v>130450351.48999977</v>
      </c>
      <c r="M68" s="37">
        <f t="shared" si="35"/>
        <v>13864983578.129999</v>
      </c>
      <c r="N68" s="38">
        <f>SUM(N69:N74)</f>
        <v>1464878712.4199996</v>
      </c>
      <c r="O68" s="52">
        <f t="shared" si="27"/>
        <v>2431546126.0199986</v>
      </c>
    </row>
    <row r="69" spans="1:15" ht="16.5" x14ac:dyDescent="0.25">
      <c r="A69" s="19" t="s">
        <v>65</v>
      </c>
      <c r="B69" s="20" t="s">
        <v>33</v>
      </c>
      <c r="C69" s="20" t="s">
        <v>8</v>
      </c>
      <c r="D69" s="11"/>
      <c r="E69" s="7"/>
      <c r="F69" s="80">
        <v>5777840913.6700001</v>
      </c>
      <c r="G69" s="80">
        <v>5787716283.6300001</v>
      </c>
      <c r="H69" s="24">
        <f t="shared" ref="H69:H74" si="36">G69-F69</f>
        <v>9875369.9600000381</v>
      </c>
      <c r="I69" s="80">
        <v>6199817224.1400003</v>
      </c>
      <c r="J69" s="24">
        <f t="shared" ref="J69:J74" si="37">I69-G69</f>
        <v>412100940.51000023</v>
      </c>
      <c r="K69" s="80">
        <v>6194817224.1400003</v>
      </c>
      <c r="L69" s="24">
        <f t="shared" ref="L69:L74" si="38">K69-I69</f>
        <v>-5000000</v>
      </c>
      <c r="M69" s="80">
        <v>6621379979.4899998</v>
      </c>
      <c r="N69" s="24">
        <f t="shared" ref="N69:N74" si="39">M69-K69</f>
        <v>426562755.34999943</v>
      </c>
      <c r="O69" s="65">
        <f t="shared" si="27"/>
        <v>843539065.81999969</v>
      </c>
    </row>
    <row r="70" spans="1:15" ht="16.5" x14ac:dyDescent="0.25">
      <c r="A70" s="19" t="s">
        <v>66</v>
      </c>
      <c r="B70" s="20" t="s">
        <v>33</v>
      </c>
      <c r="C70" s="20" t="s">
        <v>10</v>
      </c>
      <c r="D70" s="12"/>
      <c r="E70" s="7"/>
      <c r="F70" s="80">
        <v>2231220841.8000002</v>
      </c>
      <c r="G70" s="80">
        <v>2307100569.27</v>
      </c>
      <c r="H70" s="24">
        <f t="shared" si="36"/>
        <v>75879727.46999979</v>
      </c>
      <c r="I70" s="80">
        <v>2407579179.5300002</v>
      </c>
      <c r="J70" s="24">
        <f t="shared" si="37"/>
        <v>100478610.26000023</v>
      </c>
      <c r="K70" s="80">
        <v>2412627432.1599998</v>
      </c>
      <c r="L70" s="24">
        <f t="shared" si="38"/>
        <v>5048252.6299996376</v>
      </c>
      <c r="M70" s="80">
        <v>2559858066.2600002</v>
      </c>
      <c r="N70" s="24">
        <f t="shared" si="39"/>
        <v>147230634.10000038</v>
      </c>
      <c r="O70" s="65">
        <f t="shared" si="27"/>
        <v>328637224.46000004</v>
      </c>
    </row>
    <row r="71" spans="1:15" ht="16.5" x14ac:dyDescent="0.25">
      <c r="A71" s="19" t="s">
        <v>130</v>
      </c>
      <c r="B71" s="20" t="s">
        <v>33</v>
      </c>
      <c r="C71" s="20" t="s">
        <v>14</v>
      </c>
      <c r="D71" s="12"/>
      <c r="E71" s="7"/>
      <c r="F71" s="80">
        <v>105485410</v>
      </c>
      <c r="G71" s="80">
        <v>105485410</v>
      </c>
      <c r="H71" s="24">
        <f t="shared" si="36"/>
        <v>0</v>
      </c>
      <c r="I71" s="80">
        <v>105485410</v>
      </c>
      <c r="J71" s="24">
        <f t="shared" si="37"/>
        <v>0</v>
      </c>
      <c r="K71" s="80">
        <v>105485410</v>
      </c>
      <c r="L71" s="24">
        <f t="shared" si="38"/>
        <v>0</v>
      </c>
      <c r="M71" s="80">
        <v>105690710</v>
      </c>
      <c r="N71" s="24">
        <f t="shared" si="39"/>
        <v>205300</v>
      </c>
      <c r="O71" s="65">
        <f t="shared" si="27"/>
        <v>205300</v>
      </c>
    </row>
    <row r="72" spans="1:15" ht="16.5" x14ac:dyDescent="0.25">
      <c r="A72" s="19" t="s">
        <v>68</v>
      </c>
      <c r="B72" s="20" t="s">
        <v>33</v>
      </c>
      <c r="C72" s="20" t="s">
        <v>16</v>
      </c>
      <c r="D72" s="11"/>
      <c r="E72" s="7"/>
      <c r="F72" s="80">
        <v>307180928</v>
      </c>
      <c r="G72" s="80">
        <v>216308459.16</v>
      </c>
      <c r="H72" s="24">
        <f t="shared" si="36"/>
        <v>-90872468.840000004</v>
      </c>
      <c r="I72" s="80">
        <v>229065586.16</v>
      </c>
      <c r="J72" s="24">
        <f t="shared" si="37"/>
        <v>12757127</v>
      </c>
      <c r="K72" s="80">
        <v>229065586.16</v>
      </c>
      <c r="L72" s="24">
        <f t="shared" si="38"/>
        <v>0</v>
      </c>
      <c r="M72" s="80">
        <v>235528686.16</v>
      </c>
      <c r="N72" s="24">
        <f t="shared" si="39"/>
        <v>6463100</v>
      </c>
      <c r="O72" s="65">
        <f t="shared" si="27"/>
        <v>-71652241.840000004</v>
      </c>
    </row>
    <row r="73" spans="1:15" s="10" customFormat="1" ht="30" x14ac:dyDescent="0.2">
      <c r="A73" s="19" t="s">
        <v>131</v>
      </c>
      <c r="B73" s="20" t="s">
        <v>33</v>
      </c>
      <c r="C73" s="20" t="s">
        <v>18</v>
      </c>
      <c r="D73" s="8"/>
      <c r="E73" s="9"/>
      <c r="F73" s="80">
        <v>202834655</v>
      </c>
      <c r="G73" s="80">
        <v>202834655</v>
      </c>
      <c r="H73" s="24">
        <f t="shared" si="36"/>
        <v>0</v>
      </c>
      <c r="I73" s="80">
        <v>207748723.25</v>
      </c>
      <c r="J73" s="24">
        <f t="shared" si="37"/>
        <v>4914068.25</v>
      </c>
      <c r="K73" s="80">
        <v>207748723.25</v>
      </c>
      <c r="L73" s="24">
        <f t="shared" si="38"/>
        <v>0</v>
      </c>
      <c r="M73" s="80">
        <v>208433723.25</v>
      </c>
      <c r="N73" s="24">
        <f t="shared" si="39"/>
        <v>685000</v>
      </c>
      <c r="O73" s="65">
        <f t="shared" si="27"/>
        <v>5599068.25</v>
      </c>
    </row>
    <row r="74" spans="1:15" ht="16.5" x14ac:dyDescent="0.25">
      <c r="A74" s="19" t="s">
        <v>70</v>
      </c>
      <c r="B74" s="20" t="s">
        <v>33</v>
      </c>
      <c r="C74" s="20" t="s">
        <v>33</v>
      </c>
      <c r="D74" s="11"/>
      <c r="E74" s="7"/>
      <c r="F74" s="80">
        <v>2808874703.6399999</v>
      </c>
      <c r="G74" s="80">
        <v>2733442623.7800002</v>
      </c>
      <c r="H74" s="24">
        <f t="shared" si="36"/>
        <v>-75432079.859999657</v>
      </c>
      <c r="I74" s="80">
        <v>3119958391.1399999</v>
      </c>
      <c r="J74" s="24">
        <f t="shared" si="37"/>
        <v>386515767.35999966</v>
      </c>
      <c r="K74" s="80">
        <v>3250360490</v>
      </c>
      <c r="L74" s="24">
        <f t="shared" si="38"/>
        <v>130402098.86000013</v>
      </c>
      <c r="M74" s="80">
        <v>4134092412.9699998</v>
      </c>
      <c r="N74" s="24">
        <f t="shared" si="39"/>
        <v>883731922.96999979</v>
      </c>
      <c r="O74" s="65">
        <f t="shared" si="27"/>
        <v>1325217709.3299999</v>
      </c>
    </row>
    <row r="75" spans="1:15" s="61" customFormat="1" ht="16.5" x14ac:dyDescent="0.2">
      <c r="A75" s="28" t="s">
        <v>71</v>
      </c>
      <c r="B75" s="29" t="s">
        <v>21</v>
      </c>
      <c r="C75" s="29" t="s">
        <v>9</v>
      </c>
      <c r="D75" s="6">
        <f t="shared" ref="D75:M75" si="40">SUM(D76:D80)</f>
        <v>0</v>
      </c>
      <c r="E75" s="6">
        <f t="shared" si="40"/>
        <v>0</v>
      </c>
      <c r="F75" s="37">
        <f t="shared" si="40"/>
        <v>22226930623.459999</v>
      </c>
      <c r="G75" s="37">
        <f t="shared" si="40"/>
        <v>22334308128.599998</v>
      </c>
      <c r="H75" s="38">
        <f>SUM(H76:H80)</f>
        <v>107377505.14000005</v>
      </c>
      <c r="I75" s="37">
        <f>SUM(I76:I80)</f>
        <v>22769771184.07</v>
      </c>
      <c r="J75" s="38">
        <f>SUM(J76:J80)</f>
        <v>435463055.46999979</v>
      </c>
      <c r="K75" s="37">
        <f t="shared" si="40"/>
        <v>23292969438.73</v>
      </c>
      <c r="L75" s="38">
        <f>SUM(L76:L80)</f>
        <v>523198254.65999985</v>
      </c>
      <c r="M75" s="37">
        <f t="shared" si="40"/>
        <v>23075833180.810001</v>
      </c>
      <c r="N75" s="38">
        <f>SUM(N76:N80)</f>
        <v>-217136257.92000079</v>
      </c>
      <c r="O75" s="52">
        <f t="shared" si="27"/>
        <v>848902557.35000229</v>
      </c>
    </row>
    <row r="76" spans="1:15" ht="16.5" x14ac:dyDescent="0.25">
      <c r="A76" s="19" t="s">
        <v>72</v>
      </c>
      <c r="B76" s="20" t="s">
        <v>21</v>
      </c>
      <c r="C76" s="20" t="s">
        <v>8</v>
      </c>
      <c r="D76" s="4"/>
      <c r="E76" s="7"/>
      <c r="F76" s="80">
        <v>300641400</v>
      </c>
      <c r="G76" s="80">
        <v>300641400</v>
      </c>
      <c r="H76" s="24">
        <f>G76-F76</f>
        <v>0</v>
      </c>
      <c r="I76" s="80">
        <v>303641400</v>
      </c>
      <c r="J76" s="24">
        <f>I76-G76</f>
        <v>3000000</v>
      </c>
      <c r="K76" s="80">
        <v>303641400</v>
      </c>
      <c r="L76" s="24">
        <f>K76-I76</f>
        <v>0</v>
      </c>
      <c r="M76" s="80">
        <v>335197900</v>
      </c>
      <c r="N76" s="24">
        <f>M76-K76</f>
        <v>31556500</v>
      </c>
      <c r="O76" s="65">
        <f t="shared" si="27"/>
        <v>34556500</v>
      </c>
    </row>
    <row r="77" spans="1:15" ht="16.5" x14ac:dyDescent="0.25">
      <c r="A77" s="19" t="s">
        <v>73</v>
      </c>
      <c r="B77" s="20" t="s">
        <v>21</v>
      </c>
      <c r="C77" s="20" t="s">
        <v>10</v>
      </c>
      <c r="D77" s="11"/>
      <c r="E77" s="7"/>
      <c r="F77" s="80">
        <v>3180710481</v>
      </c>
      <c r="G77" s="80">
        <v>3133889047</v>
      </c>
      <c r="H77" s="24">
        <f>G77-F77</f>
        <v>-46821434</v>
      </c>
      <c r="I77" s="80">
        <v>3288140615.1399999</v>
      </c>
      <c r="J77" s="24">
        <f>I77-G77</f>
        <v>154251568.13999987</v>
      </c>
      <c r="K77" s="80">
        <v>3366695615.1399999</v>
      </c>
      <c r="L77" s="24">
        <f>K77-I77</f>
        <v>78555000</v>
      </c>
      <c r="M77" s="80">
        <v>3509492235.1500001</v>
      </c>
      <c r="N77" s="24">
        <f>M77-K77</f>
        <v>142796620.01000023</v>
      </c>
      <c r="O77" s="65">
        <f t="shared" si="27"/>
        <v>328781754.1500001</v>
      </c>
    </row>
    <row r="78" spans="1:15" ht="16.5" x14ac:dyDescent="0.25">
      <c r="A78" s="19" t="s">
        <v>74</v>
      </c>
      <c r="B78" s="20" t="s">
        <v>21</v>
      </c>
      <c r="C78" s="20" t="s">
        <v>12</v>
      </c>
      <c r="D78" s="12"/>
      <c r="E78" s="7"/>
      <c r="F78" s="80">
        <v>12192729916.84</v>
      </c>
      <c r="G78" s="80">
        <v>12260482196.84</v>
      </c>
      <c r="H78" s="24">
        <f>G78-F78</f>
        <v>67752280</v>
      </c>
      <c r="I78" s="80">
        <v>12679967138.84</v>
      </c>
      <c r="J78" s="24">
        <f>I78-G78</f>
        <v>419484942</v>
      </c>
      <c r="K78" s="80">
        <v>13188263038.5</v>
      </c>
      <c r="L78" s="24">
        <f>K78-I78</f>
        <v>508295899.65999985</v>
      </c>
      <c r="M78" s="80">
        <v>13027337044.969999</v>
      </c>
      <c r="N78" s="24">
        <f>M78-K78</f>
        <v>-160925993.53000069</v>
      </c>
      <c r="O78" s="65">
        <f t="shared" si="27"/>
        <v>834607128.12999916</v>
      </c>
    </row>
    <row r="79" spans="1:15" ht="16.5" x14ac:dyDescent="0.25">
      <c r="A79" s="19" t="s">
        <v>75</v>
      </c>
      <c r="B79" s="20" t="s">
        <v>21</v>
      </c>
      <c r="C79" s="20" t="s">
        <v>14</v>
      </c>
      <c r="D79" s="11"/>
      <c r="E79" s="7"/>
      <c r="F79" s="80">
        <v>6133138781.3000002</v>
      </c>
      <c r="G79" s="80">
        <v>6062938781.3000002</v>
      </c>
      <c r="H79" s="24">
        <f>G79-F79</f>
        <v>-70200000</v>
      </c>
      <c r="I79" s="80">
        <v>5882322896.3000002</v>
      </c>
      <c r="J79" s="24">
        <f>I79-G79</f>
        <v>-180615885</v>
      </c>
      <c r="K79" s="80">
        <v>5817225251.3000002</v>
      </c>
      <c r="L79" s="24">
        <f>K79-I79</f>
        <v>-65097645</v>
      </c>
      <c r="M79" s="80">
        <v>5574665099.6999998</v>
      </c>
      <c r="N79" s="24">
        <f>M79-K79</f>
        <v>-242560151.60000038</v>
      </c>
      <c r="O79" s="65">
        <f t="shared" si="27"/>
        <v>-558473681.60000038</v>
      </c>
    </row>
    <row r="80" spans="1:15" ht="16.5" x14ac:dyDescent="0.25">
      <c r="A80" s="19" t="s">
        <v>76</v>
      </c>
      <c r="B80" s="20" t="s">
        <v>21</v>
      </c>
      <c r="C80" s="20" t="s">
        <v>18</v>
      </c>
      <c r="D80" s="11"/>
      <c r="E80" s="7"/>
      <c r="F80" s="80">
        <v>419710044.31999999</v>
      </c>
      <c r="G80" s="80">
        <v>576356703.46000004</v>
      </c>
      <c r="H80" s="24">
        <f>G80-F80</f>
        <v>156646659.14000005</v>
      </c>
      <c r="I80" s="80">
        <v>615699133.78999996</v>
      </c>
      <c r="J80" s="24">
        <f>I80-G80</f>
        <v>39342430.329999924</v>
      </c>
      <c r="K80" s="80">
        <v>617144133.78999996</v>
      </c>
      <c r="L80" s="24">
        <f>K80-I80</f>
        <v>1445000</v>
      </c>
      <c r="M80" s="80">
        <v>629140900.99000001</v>
      </c>
      <c r="N80" s="24">
        <f>M80-K80</f>
        <v>11996767.200000048</v>
      </c>
      <c r="O80" s="65">
        <f t="shared" si="27"/>
        <v>209430856.67000002</v>
      </c>
    </row>
    <row r="81" spans="1:17" s="61" customFormat="1" ht="15.6" customHeight="1" x14ac:dyDescent="0.2">
      <c r="A81" s="28" t="s">
        <v>77</v>
      </c>
      <c r="B81" s="29" t="s">
        <v>23</v>
      </c>
      <c r="C81" s="29" t="s">
        <v>9</v>
      </c>
      <c r="D81" s="6">
        <f>SUM(D82:D84)</f>
        <v>0</v>
      </c>
      <c r="E81" s="6"/>
      <c r="F81" s="37">
        <f t="shared" ref="F81:N81" si="41">SUM(F82:F84)</f>
        <v>1715479600</v>
      </c>
      <c r="G81" s="37">
        <f t="shared" si="41"/>
        <v>1623497579.3099999</v>
      </c>
      <c r="H81" s="38">
        <f t="shared" si="41"/>
        <v>-91982020.690000057</v>
      </c>
      <c r="I81" s="37">
        <f t="shared" si="41"/>
        <v>1946246119.8599999</v>
      </c>
      <c r="J81" s="38">
        <f t="shared" si="41"/>
        <v>322748540.55000001</v>
      </c>
      <c r="K81" s="37">
        <f t="shared" si="41"/>
        <v>1908095904.47</v>
      </c>
      <c r="L81" s="38">
        <f t="shared" si="41"/>
        <v>-38150215.389999866</v>
      </c>
      <c r="M81" s="37">
        <f t="shared" si="41"/>
        <v>2004766156.6599998</v>
      </c>
      <c r="N81" s="38">
        <f t="shared" si="41"/>
        <v>96670252.189999819</v>
      </c>
      <c r="O81" s="52">
        <f t="shared" si="27"/>
        <v>289286556.65999985</v>
      </c>
      <c r="P81" s="63"/>
      <c r="Q81" s="64"/>
    </row>
    <row r="82" spans="1:17" ht="16.5" x14ac:dyDescent="0.25">
      <c r="A82" s="19" t="s">
        <v>78</v>
      </c>
      <c r="B82" s="20" t="s">
        <v>23</v>
      </c>
      <c r="C82" s="20" t="s">
        <v>10</v>
      </c>
      <c r="D82" s="7"/>
      <c r="E82" s="7"/>
      <c r="F82" s="80">
        <v>982675341.45000005</v>
      </c>
      <c r="G82" s="80">
        <v>885029495.75999999</v>
      </c>
      <c r="H82" s="24">
        <f>G82-F82</f>
        <v>-97645845.690000057</v>
      </c>
      <c r="I82" s="80">
        <v>1183868932.02</v>
      </c>
      <c r="J82" s="24">
        <f>I82-G82</f>
        <v>298839436.25999999</v>
      </c>
      <c r="K82" s="80">
        <v>1145718716.6300001</v>
      </c>
      <c r="L82" s="24">
        <f>K82-I82</f>
        <v>-38150215.389999866</v>
      </c>
      <c r="M82" s="80">
        <v>1173820664.8199999</v>
      </c>
      <c r="N82" s="24">
        <f>M82-K82</f>
        <v>28101948.189999819</v>
      </c>
      <c r="O82" s="65">
        <f t="shared" si="27"/>
        <v>191145323.36999989</v>
      </c>
    </row>
    <row r="83" spans="1:17" ht="16.5" x14ac:dyDescent="0.25">
      <c r="A83" s="19" t="s">
        <v>79</v>
      </c>
      <c r="B83" s="20" t="s">
        <v>23</v>
      </c>
      <c r="C83" s="20" t="s">
        <v>12</v>
      </c>
      <c r="D83" s="12"/>
      <c r="E83" s="7"/>
      <c r="F83" s="80">
        <v>714229858.54999995</v>
      </c>
      <c r="G83" s="80">
        <v>719893683.54999995</v>
      </c>
      <c r="H83" s="24">
        <f>G83-F83</f>
        <v>5663825</v>
      </c>
      <c r="I83" s="80">
        <v>742963967.54999995</v>
      </c>
      <c r="J83" s="24">
        <f>I83-G83</f>
        <v>23070284</v>
      </c>
      <c r="K83" s="80">
        <v>742963967.54999995</v>
      </c>
      <c r="L83" s="24">
        <f>K83-I83</f>
        <v>0</v>
      </c>
      <c r="M83" s="80">
        <v>811196327.54999995</v>
      </c>
      <c r="N83" s="24">
        <f>M83-K83</f>
        <v>68232360</v>
      </c>
      <c r="O83" s="65">
        <f t="shared" si="27"/>
        <v>96966469</v>
      </c>
    </row>
    <row r="84" spans="1:17" ht="16.5" x14ac:dyDescent="0.25">
      <c r="A84" s="19" t="s">
        <v>80</v>
      </c>
      <c r="B84" s="20" t="s">
        <v>23</v>
      </c>
      <c r="C84" s="20" t="s">
        <v>16</v>
      </c>
      <c r="D84" s="11"/>
      <c r="E84" s="7"/>
      <c r="F84" s="80">
        <v>18574400</v>
      </c>
      <c r="G84" s="80">
        <v>18574400</v>
      </c>
      <c r="H84" s="24">
        <f>G84-F84</f>
        <v>0</v>
      </c>
      <c r="I84" s="80">
        <v>19413220.289999999</v>
      </c>
      <c r="J84" s="24">
        <f>I84-G84</f>
        <v>838820.28999999911</v>
      </c>
      <c r="K84" s="80">
        <v>19413220.289999999</v>
      </c>
      <c r="L84" s="24">
        <f>K84-I84</f>
        <v>0</v>
      </c>
      <c r="M84" s="80">
        <v>19749164.289999999</v>
      </c>
      <c r="N84" s="24">
        <f>M84-K84</f>
        <v>335944</v>
      </c>
      <c r="O84" s="65">
        <f t="shared" si="27"/>
        <v>1174764.2899999991</v>
      </c>
    </row>
    <row r="85" spans="1:17" s="61" customFormat="1" ht="16.5" x14ac:dyDescent="0.2">
      <c r="A85" s="28" t="s">
        <v>81</v>
      </c>
      <c r="B85" s="29" t="s">
        <v>47</v>
      </c>
      <c r="C85" s="29" t="s">
        <v>9</v>
      </c>
      <c r="D85" s="6">
        <f t="shared" ref="D85:M85" si="42">SUM(D86:D88)</f>
        <v>0</v>
      </c>
      <c r="E85" s="6">
        <f t="shared" si="42"/>
        <v>0</v>
      </c>
      <c r="F85" s="37">
        <f t="shared" si="42"/>
        <v>230348700</v>
      </c>
      <c r="G85" s="37">
        <f t="shared" si="42"/>
        <v>231188700</v>
      </c>
      <c r="H85" s="38">
        <f>SUM(H86:H88)</f>
        <v>840000</v>
      </c>
      <c r="I85" s="37">
        <f>SUM(I86:I88)</f>
        <v>233216700</v>
      </c>
      <c r="J85" s="38">
        <f>SUM(J86:J88)</f>
        <v>2028000</v>
      </c>
      <c r="K85" s="37">
        <f>SUM(K86:K88)</f>
        <v>233216700</v>
      </c>
      <c r="L85" s="38">
        <f>SUM(L86:L88)</f>
        <v>0</v>
      </c>
      <c r="M85" s="37">
        <f t="shared" si="42"/>
        <v>235379111.36000001</v>
      </c>
      <c r="N85" s="38">
        <f>SUM(N86:N88)</f>
        <v>2162411.3599999994</v>
      </c>
      <c r="O85" s="52">
        <f t="shared" si="27"/>
        <v>5030411.3600000143</v>
      </c>
    </row>
    <row r="86" spans="1:17" ht="16.5" x14ac:dyDescent="0.25">
      <c r="A86" s="19" t="s">
        <v>82</v>
      </c>
      <c r="B86" s="20" t="s">
        <v>47</v>
      </c>
      <c r="C86" s="20" t="s">
        <v>8</v>
      </c>
      <c r="D86" s="7"/>
      <c r="E86" s="7"/>
      <c r="F86" s="80">
        <v>80798330</v>
      </c>
      <c r="G86" s="80">
        <v>81638330</v>
      </c>
      <c r="H86" s="24">
        <f>G86-F86</f>
        <v>840000</v>
      </c>
      <c r="I86" s="80">
        <v>81638330</v>
      </c>
      <c r="J86" s="24">
        <f>I86-G86</f>
        <v>0</v>
      </c>
      <c r="K86" s="80">
        <v>81638330</v>
      </c>
      <c r="L86" s="24">
        <f>K86-I86</f>
        <v>0</v>
      </c>
      <c r="M86" s="80">
        <v>83366912.519999996</v>
      </c>
      <c r="N86" s="24">
        <f>M86-K86</f>
        <v>1728582.5199999958</v>
      </c>
      <c r="O86" s="65">
        <f t="shared" si="27"/>
        <v>2568582.5199999958</v>
      </c>
    </row>
    <row r="87" spans="1:17" ht="16.5" x14ac:dyDescent="0.25">
      <c r="A87" s="19" t="s">
        <v>83</v>
      </c>
      <c r="B87" s="20" t="s">
        <v>47</v>
      </c>
      <c r="C87" s="20" t="s">
        <v>10</v>
      </c>
      <c r="D87" s="7"/>
      <c r="E87" s="7"/>
      <c r="F87" s="80">
        <v>117722270</v>
      </c>
      <c r="G87" s="80">
        <v>117722270</v>
      </c>
      <c r="H87" s="24">
        <f>G87-F87</f>
        <v>0</v>
      </c>
      <c r="I87" s="80">
        <v>119750270</v>
      </c>
      <c r="J87" s="24">
        <f>I87-G87</f>
        <v>2028000</v>
      </c>
      <c r="K87" s="80">
        <v>119750270</v>
      </c>
      <c r="L87" s="24">
        <f>K87-I87</f>
        <v>0</v>
      </c>
      <c r="M87" s="80">
        <v>119726019.84</v>
      </c>
      <c r="N87" s="24">
        <f>M87-K87</f>
        <v>-24250.159999996424</v>
      </c>
      <c r="O87" s="65">
        <f t="shared" si="27"/>
        <v>2003749.8400000036</v>
      </c>
    </row>
    <row r="88" spans="1:17" s="16" customFormat="1" ht="16.5" x14ac:dyDescent="0.2">
      <c r="A88" s="19" t="s">
        <v>84</v>
      </c>
      <c r="B88" s="20" t="s">
        <v>47</v>
      </c>
      <c r="C88" s="20" t="s">
        <v>14</v>
      </c>
      <c r="D88" s="9"/>
      <c r="E88" s="9"/>
      <c r="F88" s="80">
        <v>31828100</v>
      </c>
      <c r="G88" s="80">
        <v>31828100</v>
      </c>
      <c r="H88" s="24">
        <f>G88-F88</f>
        <v>0</v>
      </c>
      <c r="I88" s="80">
        <v>31828100</v>
      </c>
      <c r="J88" s="24">
        <f>I88-G88</f>
        <v>0</v>
      </c>
      <c r="K88" s="80">
        <v>31828100</v>
      </c>
      <c r="L88" s="24">
        <f>K88-I88</f>
        <v>0</v>
      </c>
      <c r="M88" s="80">
        <v>32286179</v>
      </c>
      <c r="N88" s="24">
        <f>M88-K88</f>
        <v>458079</v>
      </c>
      <c r="O88" s="65">
        <f t="shared" si="27"/>
        <v>458079</v>
      </c>
    </row>
    <row r="89" spans="1:17" s="62" customFormat="1" ht="28.5" x14ac:dyDescent="0.2">
      <c r="A89" s="28" t="s">
        <v>85</v>
      </c>
      <c r="B89" s="29" t="s">
        <v>25</v>
      </c>
      <c r="C89" s="29" t="s">
        <v>9</v>
      </c>
      <c r="D89" s="13">
        <f t="shared" ref="D89:M89" si="43">SUM(D90)</f>
        <v>0</v>
      </c>
      <c r="E89" s="13">
        <f t="shared" si="43"/>
        <v>0</v>
      </c>
      <c r="F89" s="37">
        <f>F90</f>
        <v>380000000</v>
      </c>
      <c r="G89" s="37">
        <f t="shared" si="43"/>
        <v>384935000</v>
      </c>
      <c r="H89" s="38">
        <f>SUM(H90)</f>
        <v>4935000</v>
      </c>
      <c r="I89" s="37">
        <f t="shared" si="43"/>
        <v>384935000</v>
      </c>
      <c r="J89" s="38">
        <f>SUM(J90)</f>
        <v>0</v>
      </c>
      <c r="K89" s="37">
        <f t="shared" si="43"/>
        <v>384935000</v>
      </c>
      <c r="L89" s="38">
        <f>SUM(L90)</f>
        <v>0</v>
      </c>
      <c r="M89" s="37">
        <f t="shared" si="43"/>
        <v>384935000</v>
      </c>
      <c r="N89" s="38">
        <f>SUM(N90)</f>
        <v>0</v>
      </c>
      <c r="O89" s="52">
        <f t="shared" si="27"/>
        <v>4935000</v>
      </c>
    </row>
    <row r="90" spans="1:17" s="10" customFormat="1" ht="30" x14ac:dyDescent="0.2">
      <c r="A90" s="19" t="s">
        <v>86</v>
      </c>
      <c r="B90" s="20" t="s">
        <v>25</v>
      </c>
      <c r="C90" s="20" t="s">
        <v>8</v>
      </c>
      <c r="D90" s="17"/>
      <c r="E90" s="9"/>
      <c r="F90" s="80">
        <v>380000000</v>
      </c>
      <c r="G90" s="80">
        <v>384935000</v>
      </c>
      <c r="H90" s="24">
        <f>G90-F90</f>
        <v>4935000</v>
      </c>
      <c r="I90" s="80">
        <v>384935000</v>
      </c>
      <c r="J90" s="24">
        <f>I90-G90</f>
        <v>0</v>
      </c>
      <c r="K90" s="80">
        <v>384935000</v>
      </c>
      <c r="L90" s="24">
        <f>K90-I90</f>
        <v>0</v>
      </c>
      <c r="M90" s="80">
        <v>384935000</v>
      </c>
      <c r="N90" s="24">
        <f>M90-K90</f>
        <v>0</v>
      </c>
      <c r="O90" s="65">
        <f t="shared" si="27"/>
        <v>4935000</v>
      </c>
    </row>
    <row r="91" spans="1:17" s="62" customFormat="1" ht="42.75" x14ac:dyDescent="0.2">
      <c r="A91" s="28" t="s">
        <v>94</v>
      </c>
      <c r="B91" s="29" t="s">
        <v>37</v>
      </c>
      <c r="C91" s="29" t="s">
        <v>9</v>
      </c>
      <c r="D91" s="13">
        <f t="shared" ref="D91:M91" si="44">SUM(D92:D94)</f>
        <v>0</v>
      </c>
      <c r="E91" s="13">
        <f t="shared" si="44"/>
        <v>0</v>
      </c>
      <c r="F91" s="37">
        <f t="shared" si="44"/>
        <v>3269107400</v>
      </c>
      <c r="G91" s="37">
        <f t="shared" si="44"/>
        <v>3409830532</v>
      </c>
      <c r="H91" s="38">
        <f>SUM(H92:H94)</f>
        <v>140723132</v>
      </c>
      <c r="I91" s="37">
        <f>SUM(I92:I94)</f>
        <v>5420418263.04</v>
      </c>
      <c r="J91" s="38">
        <f>SUM(J92:J94)</f>
        <v>2010587731.04</v>
      </c>
      <c r="K91" s="37">
        <f t="shared" si="44"/>
        <v>5800431960.5299997</v>
      </c>
      <c r="L91" s="38">
        <f>SUM(L92:L94)</f>
        <v>380013697.49000001</v>
      </c>
      <c r="M91" s="37">
        <f t="shared" si="44"/>
        <v>5806431960.5299997</v>
      </c>
      <c r="N91" s="38">
        <f>SUM(N92:N94)</f>
        <v>6000000</v>
      </c>
      <c r="O91" s="52">
        <f t="shared" si="27"/>
        <v>2537324560.5299997</v>
      </c>
    </row>
    <row r="92" spans="1:17" s="10" customFormat="1" ht="45" x14ac:dyDescent="0.2">
      <c r="A92" s="19" t="s">
        <v>87</v>
      </c>
      <c r="B92" s="20" t="s">
        <v>37</v>
      </c>
      <c r="C92" s="20" t="s">
        <v>8</v>
      </c>
      <c r="D92" s="17"/>
      <c r="E92" s="9"/>
      <c r="F92" s="80">
        <v>1923712229.5999999</v>
      </c>
      <c r="G92" s="80">
        <v>1899022203</v>
      </c>
      <c r="H92" s="24">
        <f>G92-F92</f>
        <v>-24690026.599999905</v>
      </c>
      <c r="I92" s="80">
        <v>1899022203</v>
      </c>
      <c r="J92" s="24">
        <f>I92-G92</f>
        <v>0</v>
      </c>
      <c r="K92" s="80">
        <v>1899022203</v>
      </c>
      <c r="L92" s="24">
        <f>K92-I92</f>
        <v>0</v>
      </c>
      <c r="M92" s="80">
        <v>1899022203</v>
      </c>
      <c r="N92" s="24">
        <f>M92-K92</f>
        <v>0</v>
      </c>
      <c r="O92" s="65">
        <f t="shared" si="27"/>
        <v>-24690026.599999905</v>
      </c>
    </row>
    <row r="93" spans="1:17" ht="16.5" x14ac:dyDescent="0.25">
      <c r="A93" s="19" t="s">
        <v>88</v>
      </c>
      <c r="B93" s="20" t="s">
        <v>37</v>
      </c>
      <c r="C93" s="20" t="s">
        <v>10</v>
      </c>
      <c r="D93" s="7"/>
      <c r="E93" s="7"/>
      <c r="F93" s="80">
        <v>1113179170.4000001</v>
      </c>
      <c r="G93" s="80">
        <v>1221592329</v>
      </c>
      <c r="H93" s="24">
        <f>G93-F93</f>
        <v>108413158.5999999</v>
      </c>
      <c r="I93" s="80">
        <v>3232180060.04</v>
      </c>
      <c r="J93" s="24">
        <f>I93-G93</f>
        <v>2010587731.04</v>
      </c>
      <c r="K93" s="80">
        <v>3646680060.04</v>
      </c>
      <c r="L93" s="24">
        <f>K93-I93</f>
        <v>414500000</v>
      </c>
      <c r="M93" s="80">
        <v>3646680060.04</v>
      </c>
      <c r="N93" s="24">
        <f>M93-K93</f>
        <v>0</v>
      </c>
      <c r="O93" s="65">
        <f t="shared" si="27"/>
        <v>2533500889.6399999</v>
      </c>
    </row>
    <row r="94" spans="1:17" ht="16.5" x14ac:dyDescent="0.25">
      <c r="A94" s="19" t="s">
        <v>89</v>
      </c>
      <c r="B94" s="20" t="s">
        <v>37</v>
      </c>
      <c r="C94" s="20" t="s">
        <v>12</v>
      </c>
      <c r="D94" s="7"/>
      <c r="E94" s="7"/>
      <c r="F94" s="80">
        <v>232216000</v>
      </c>
      <c r="G94" s="80">
        <v>289216000</v>
      </c>
      <c r="H94" s="24">
        <f>G94-F94</f>
        <v>57000000</v>
      </c>
      <c r="I94" s="80">
        <v>289216000</v>
      </c>
      <c r="J94" s="24">
        <f>I94-G94</f>
        <v>0</v>
      </c>
      <c r="K94" s="80">
        <v>254729697.49000001</v>
      </c>
      <c r="L94" s="24">
        <f>K94-I94</f>
        <v>-34486302.50999999</v>
      </c>
      <c r="M94" s="80">
        <v>260729697.49000001</v>
      </c>
      <c r="N94" s="24">
        <f>M94-K94</f>
        <v>6000000</v>
      </c>
      <c r="O94" s="65">
        <f t="shared" si="27"/>
        <v>28513697.49000001</v>
      </c>
    </row>
    <row r="95" spans="1:17" x14ac:dyDescent="0.2">
      <c r="F95" s="45"/>
      <c r="G95" s="45"/>
      <c r="H95" s="46"/>
      <c r="I95" s="46"/>
      <c r="J95" s="46"/>
      <c r="K95" s="46"/>
      <c r="L95" s="46"/>
      <c r="M95" s="46"/>
      <c r="N95" s="46"/>
    </row>
    <row r="96" spans="1:17" x14ac:dyDescent="0.2">
      <c r="F96" s="68">
        <f>95052518950.21-F17</f>
        <v>0</v>
      </c>
      <c r="G96" s="68">
        <f>100227482375.43-G17</f>
        <v>0</v>
      </c>
      <c r="H96" s="68">
        <f>G96-F96</f>
        <v>0</v>
      </c>
      <c r="I96" s="68">
        <f>106875152883.77-I17</f>
        <v>0</v>
      </c>
      <c r="J96" s="68">
        <f>I96-G96</f>
        <v>0</v>
      </c>
      <c r="K96" s="68">
        <f>113636942770.12-K17</f>
        <v>0</v>
      </c>
      <c r="L96" s="68">
        <f>K96-I96</f>
        <v>0</v>
      </c>
      <c r="M96" s="68">
        <f>117580244905.33-M17</f>
        <v>0</v>
      </c>
      <c r="N96" s="68">
        <f>M96-K96</f>
        <v>0</v>
      </c>
      <c r="O96" s="71">
        <f>O17-O19-O29-O32-O39-O49-O54-O57-O65-O68-O75-O81-O85-O89-O91</f>
        <v>-7.152557373046875E-6</v>
      </c>
    </row>
    <row r="97" spans="6:14" x14ac:dyDescent="0.2">
      <c r="F97" s="45"/>
      <c r="G97" s="47"/>
      <c r="H97" s="46"/>
      <c r="I97" s="46"/>
      <c r="J97" s="46"/>
      <c r="K97" s="46"/>
      <c r="L97" s="46"/>
      <c r="M97" s="46"/>
      <c r="N97" s="46"/>
    </row>
    <row r="98" spans="6:14" x14ac:dyDescent="0.2">
      <c r="F98" s="45"/>
      <c r="G98" s="45"/>
      <c r="H98" s="46"/>
      <c r="I98" s="46"/>
      <c r="J98" s="46"/>
      <c r="K98" s="46"/>
      <c r="L98" s="46"/>
      <c r="M98" s="46"/>
      <c r="N98" s="46"/>
    </row>
    <row r="99" spans="6:14" x14ac:dyDescent="0.2">
      <c r="F99" s="45"/>
      <c r="G99" s="45"/>
      <c r="H99" s="46"/>
      <c r="I99" s="46"/>
      <c r="J99" s="46"/>
      <c r="K99" s="46"/>
      <c r="L99" s="46"/>
      <c r="M99" s="46"/>
      <c r="N99" s="46"/>
    </row>
    <row r="100" spans="6:14" x14ac:dyDescent="0.2">
      <c r="F100" s="45"/>
      <c r="G100" s="45"/>
      <c r="H100" s="46"/>
      <c r="I100" s="46"/>
      <c r="J100" s="46"/>
      <c r="K100" s="46"/>
      <c r="L100" s="46"/>
      <c r="M100" s="46"/>
      <c r="N100" s="46"/>
    </row>
    <row r="101" spans="6:14" x14ac:dyDescent="0.2">
      <c r="F101" s="45"/>
      <c r="G101" s="45"/>
      <c r="H101" s="46"/>
      <c r="I101" s="46"/>
      <c r="J101" s="46"/>
      <c r="K101" s="46"/>
      <c r="L101" s="46"/>
      <c r="M101" s="46"/>
      <c r="N101" s="46"/>
    </row>
    <row r="102" spans="6:14" x14ac:dyDescent="0.2">
      <c r="F102" s="45"/>
      <c r="G102" s="45"/>
      <c r="H102" s="46"/>
      <c r="I102" s="46"/>
      <c r="J102" s="46"/>
      <c r="K102" s="46"/>
      <c r="L102" s="46"/>
      <c r="M102" s="46"/>
      <c r="N102" s="46"/>
    </row>
    <row r="103" spans="6:14" x14ac:dyDescent="0.2">
      <c r="F103" s="45"/>
      <c r="G103" s="45"/>
      <c r="H103" s="46"/>
      <c r="I103" s="46"/>
      <c r="J103" s="46"/>
      <c r="K103" s="46"/>
      <c r="L103" s="46"/>
      <c r="M103" s="46"/>
      <c r="N103" s="46"/>
    </row>
    <row r="104" spans="6:14" x14ac:dyDescent="0.2">
      <c r="F104" s="45"/>
      <c r="G104" s="45"/>
      <c r="H104" s="46"/>
      <c r="I104" s="46"/>
      <c r="J104" s="46"/>
      <c r="K104" s="46"/>
      <c r="L104" s="46"/>
      <c r="M104" s="46"/>
      <c r="N104" s="46"/>
    </row>
    <row r="105" spans="6:14" x14ac:dyDescent="0.2">
      <c r="F105" s="45"/>
      <c r="G105" s="45"/>
      <c r="H105" s="46"/>
      <c r="I105" s="46"/>
      <c r="J105" s="46"/>
      <c r="K105" s="46"/>
      <c r="L105" s="46"/>
      <c r="M105" s="46"/>
      <c r="N105" s="46"/>
    </row>
    <row r="106" spans="6:14" x14ac:dyDescent="0.2">
      <c r="F106" s="45"/>
      <c r="G106" s="45"/>
      <c r="H106" s="46"/>
      <c r="I106" s="46"/>
      <c r="J106" s="46"/>
      <c r="K106" s="46"/>
      <c r="L106" s="46"/>
      <c r="M106" s="46"/>
      <c r="N106" s="46"/>
    </row>
    <row r="107" spans="6:14" x14ac:dyDescent="0.2">
      <c r="F107" s="45"/>
      <c r="G107" s="45"/>
      <c r="H107" s="46"/>
      <c r="I107" s="46"/>
      <c r="J107" s="46"/>
      <c r="K107" s="46"/>
      <c r="L107" s="46"/>
      <c r="M107" s="46"/>
      <c r="N107" s="46"/>
    </row>
    <row r="108" spans="6:14" x14ac:dyDescent="0.2">
      <c r="F108" s="45"/>
      <c r="G108" s="45"/>
      <c r="H108" s="46"/>
      <c r="I108" s="46"/>
      <c r="J108" s="46"/>
      <c r="K108" s="46"/>
      <c r="L108" s="46"/>
      <c r="M108" s="46"/>
      <c r="N108" s="46"/>
    </row>
    <row r="109" spans="6:14" x14ac:dyDescent="0.2">
      <c r="F109" s="45"/>
      <c r="G109" s="45"/>
      <c r="H109" s="46"/>
      <c r="I109" s="46"/>
      <c r="J109" s="46"/>
      <c r="K109" s="46"/>
      <c r="L109" s="46"/>
      <c r="M109" s="46"/>
      <c r="N109" s="46"/>
    </row>
    <row r="110" spans="6:14" x14ac:dyDescent="0.2">
      <c r="F110" s="45"/>
      <c r="G110" s="45"/>
      <c r="H110" s="46"/>
      <c r="I110" s="46"/>
      <c r="J110" s="46"/>
      <c r="K110" s="46"/>
      <c r="L110" s="46"/>
      <c r="M110" s="46"/>
      <c r="N110" s="46"/>
    </row>
    <row r="111" spans="6:14" x14ac:dyDescent="0.2">
      <c r="F111" s="45"/>
      <c r="G111" s="45"/>
      <c r="H111" s="46"/>
      <c r="I111" s="46"/>
      <c r="J111" s="46"/>
      <c r="K111" s="46"/>
      <c r="L111" s="46"/>
      <c r="M111" s="46"/>
      <c r="N111" s="46"/>
    </row>
    <row r="112" spans="6:14" x14ac:dyDescent="0.2">
      <c r="F112" s="45"/>
      <c r="G112" s="45"/>
      <c r="H112" s="46"/>
      <c r="I112" s="46"/>
      <c r="J112" s="46"/>
      <c r="K112" s="46"/>
      <c r="L112" s="46"/>
      <c r="M112" s="46"/>
      <c r="N112" s="46"/>
    </row>
    <row r="113" spans="6:14" x14ac:dyDescent="0.2">
      <c r="F113" s="45"/>
      <c r="G113" s="45"/>
      <c r="H113" s="46"/>
      <c r="I113" s="46"/>
      <c r="J113" s="46"/>
      <c r="K113" s="46"/>
      <c r="L113" s="46"/>
      <c r="M113" s="46"/>
      <c r="N113" s="46"/>
    </row>
    <row r="114" spans="6:14" x14ac:dyDescent="0.2">
      <c r="F114" s="45"/>
      <c r="G114" s="45"/>
      <c r="H114" s="46"/>
      <c r="I114" s="46"/>
      <c r="J114" s="46"/>
      <c r="K114" s="46"/>
      <c r="L114" s="46"/>
      <c r="M114" s="46"/>
      <c r="N114" s="46"/>
    </row>
    <row r="115" spans="6:14" x14ac:dyDescent="0.2">
      <c r="F115" s="45"/>
      <c r="G115" s="45"/>
      <c r="H115" s="46"/>
      <c r="I115" s="46"/>
      <c r="J115" s="46"/>
      <c r="K115" s="46"/>
      <c r="L115" s="46"/>
      <c r="M115" s="46"/>
      <c r="N115" s="46"/>
    </row>
    <row r="116" spans="6:14" x14ac:dyDescent="0.2">
      <c r="F116" s="45"/>
      <c r="G116" s="45"/>
      <c r="H116" s="46"/>
      <c r="I116" s="46"/>
      <c r="J116" s="46"/>
      <c r="K116" s="46"/>
      <c r="L116" s="46"/>
      <c r="M116" s="46"/>
      <c r="N116" s="46"/>
    </row>
    <row r="117" spans="6:14" x14ac:dyDescent="0.2">
      <c r="F117" s="45"/>
      <c r="G117" s="45"/>
      <c r="H117" s="46"/>
      <c r="I117" s="46"/>
      <c r="J117" s="46"/>
      <c r="K117" s="46"/>
      <c r="L117" s="46"/>
      <c r="M117" s="46"/>
      <c r="N117" s="46"/>
    </row>
    <row r="118" spans="6:14" x14ac:dyDescent="0.2">
      <c r="F118" s="45"/>
      <c r="G118" s="45"/>
      <c r="H118" s="46"/>
      <c r="I118" s="46"/>
      <c r="J118" s="46"/>
      <c r="K118" s="46"/>
      <c r="L118" s="46"/>
      <c r="M118" s="46"/>
      <c r="N118" s="46"/>
    </row>
    <row r="119" spans="6:14" x14ac:dyDescent="0.2">
      <c r="F119" s="45"/>
      <c r="G119" s="45"/>
      <c r="H119" s="46"/>
      <c r="I119" s="46"/>
      <c r="J119" s="46"/>
      <c r="K119" s="46"/>
      <c r="L119" s="46"/>
      <c r="M119" s="46"/>
      <c r="N119" s="46"/>
    </row>
    <row r="120" spans="6:14" x14ac:dyDescent="0.2">
      <c r="F120" s="45"/>
      <c r="G120" s="45"/>
      <c r="H120" s="46"/>
      <c r="I120" s="46"/>
      <c r="J120" s="46"/>
      <c r="K120" s="46"/>
      <c r="L120" s="46"/>
      <c r="M120" s="46"/>
      <c r="N120" s="46"/>
    </row>
    <row r="121" spans="6:14" x14ac:dyDescent="0.2">
      <c r="F121" s="45"/>
      <c r="G121" s="45"/>
      <c r="H121" s="46"/>
      <c r="I121" s="46"/>
      <c r="J121" s="46"/>
      <c r="K121" s="46"/>
      <c r="L121" s="46"/>
      <c r="M121" s="46"/>
      <c r="N121" s="46"/>
    </row>
    <row r="122" spans="6:14" x14ac:dyDescent="0.2">
      <c r="F122" s="45"/>
      <c r="G122" s="45"/>
      <c r="H122" s="46"/>
      <c r="I122" s="46"/>
      <c r="J122" s="46"/>
      <c r="K122" s="46"/>
      <c r="L122" s="46"/>
      <c r="M122" s="46"/>
      <c r="N122" s="46"/>
    </row>
    <row r="123" spans="6:14" x14ac:dyDescent="0.2">
      <c r="F123" s="45"/>
      <c r="G123" s="45"/>
      <c r="H123" s="46"/>
      <c r="I123" s="46"/>
      <c r="J123" s="46"/>
      <c r="K123" s="46"/>
      <c r="L123" s="46"/>
      <c r="M123" s="46"/>
      <c r="N123" s="46"/>
    </row>
    <row r="124" spans="6:14" x14ac:dyDescent="0.2">
      <c r="F124" s="45"/>
      <c r="G124" s="45"/>
      <c r="H124" s="46"/>
      <c r="I124" s="46"/>
      <c r="J124" s="46"/>
      <c r="K124" s="46"/>
      <c r="L124" s="46"/>
      <c r="M124" s="46"/>
      <c r="N124" s="46"/>
    </row>
    <row r="125" spans="6:14" x14ac:dyDescent="0.2">
      <c r="F125" s="45"/>
      <c r="G125" s="45"/>
      <c r="H125" s="46"/>
      <c r="I125" s="46"/>
      <c r="J125" s="46"/>
      <c r="K125" s="46"/>
      <c r="L125" s="46"/>
      <c r="M125" s="46"/>
      <c r="N125" s="46"/>
    </row>
    <row r="126" spans="6:14" x14ac:dyDescent="0.2">
      <c r="F126" s="45"/>
      <c r="G126" s="45"/>
      <c r="H126" s="46"/>
      <c r="I126" s="46"/>
      <c r="J126" s="46"/>
      <c r="K126" s="46"/>
      <c r="L126" s="46"/>
      <c r="M126" s="46"/>
      <c r="N126" s="46"/>
    </row>
    <row r="127" spans="6:14" x14ac:dyDescent="0.2">
      <c r="F127" s="45"/>
      <c r="G127" s="45"/>
      <c r="H127" s="46"/>
      <c r="I127" s="46"/>
      <c r="J127" s="46"/>
      <c r="K127" s="46"/>
      <c r="L127" s="46"/>
      <c r="M127" s="46"/>
      <c r="N127" s="46"/>
    </row>
    <row r="128" spans="6:14" x14ac:dyDescent="0.2">
      <c r="F128" s="45"/>
      <c r="G128" s="45"/>
      <c r="H128" s="46"/>
      <c r="I128" s="46"/>
      <c r="J128" s="46"/>
      <c r="K128" s="46"/>
      <c r="L128" s="46"/>
      <c r="M128" s="46"/>
      <c r="N128" s="46"/>
    </row>
    <row r="129" spans="6:14" x14ac:dyDescent="0.2">
      <c r="F129" s="45"/>
      <c r="G129" s="45"/>
      <c r="H129" s="46"/>
      <c r="I129" s="46"/>
      <c r="J129" s="46"/>
      <c r="K129" s="46"/>
      <c r="L129" s="46"/>
      <c r="M129" s="46"/>
      <c r="N129" s="46"/>
    </row>
    <row r="130" spans="6:14" x14ac:dyDescent="0.2">
      <c r="F130" s="45"/>
      <c r="G130" s="45"/>
      <c r="H130" s="46"/>
      <c r="I130" s="46"/>
      <c r="J130" s="46"/>
      <c r="K130" s="46"/>
      <c r="L130" s="46"/>
      <c r="M130" s="46"/>
      <c r="N130" s="46"/>
    </row>
    <row r="131" spans="6:14" x14ac:dyDescent="0.2">
      <c r="F131" s="45"/>
      <c r="G131" s="45"/>
      <c r="H131" s="46"/>
      <c r="I131" s="46"/>
      <c r="J131" s="46"/>
      <c r="K131" s="46"/>
      <c r="L131" s="46"/>
      <c r="M131" s="46"/>
      <c r="N131" s="46"/>
    </row>
    <row r="132" spans="6:14" x14ac:dyDescent="0.2">
      <c r="F132" s="45"/>
      <c r="G132" s="45"/>
      <c r="H132" s="46"/>
      <c r="I132" s="46"/>
      <c r="J132" s="46"/>
      <c r="K132" s="46"/>
      <c r="L132" s="46"/>
      <c r="M132" s="46"/>
      <c r="N132" s="46"/>
    </row>
    <row r="133" spans="6:14" x14ac:dyDescent="0.2">
      <c r="F133" s="45"/>
      <c r="G133" s="45"/>
      <c r="H133" s="46"/>
      <c r="I133" s="46"/>
      <c r="J133" s="46"/>
      <c r="K133" s="46"/>
      <c r="L133" s="46"/>
      <c r="M133" s="46"/>
      <c r="N133" s="46"/>
    </row>
    <row r="134" spans="6:14" x14ac:dyDescent="0.2">
      <c r="F134" s="45"/>
      <c r="G134" s="45"/>
      <c r="H134" s="46"/>
      <c r="I134" s="46"/>
      <c r="J134" s="46"/>
      <c r="K134" s="46"/>
      <c r="L134" s="46"/>
      <c r="M134" s="46"/>
      <c r="N134" s="46"/>
    </row>
    <row r="135" spans="6:14" x14ac:dyDescent="0.2">
      <c r="F135" s="45"/>
      <c r="G135" s="45"/>
      <c r="H135" s="46"/>
      <c r="I135" s="46"/>
      <c r="J135" s="46"/>
      <c r="K135" s="46"/>
      <c r="L135" s="46"/>
      <c r="M135" s="46"/>
      <c r="N135" s="46"/>
    </row>
    <row r="136" spans="6:14" x14ac:dyDescent="0.2">
      <c r="F136" s="45"/>
      <c r="G136" s="45"/>
      <c r="H136" s="46"/>
      <c r="I136" s="46"/>
      <c r="J136" s="46"/>
      <c r="K136" s="46"/>
      <c r="L136" s="46"/>
      <c r="M136" s="46"/>
      <c r="N136" s="46"/>
    </row>
    <row r="137" spans="6:14" x14ac:dyDescent="0.2">
      <c r="F137" s="45"/>
      <c r="G137" s="45"/>
      <c r="H137" s="46"/>
      <c r="I137" s="46"/>
      <c r="J137" s="46"/>
      <c r="K137" s="46"/>
      <c r="L137" s="46"/>
      <c r="M137" s="46"/>
      <c r="N137" s="46"/>
    </row>
    <row r="138" spans="6:14" x14ac:dyDescent="0.2">
      <c r="F138" s="45"/>
      <c r="G138" s="45"/>
      <c r="H138" s="46"/>
      <c r="I138" s="46"/>
      <c r="J138" s="46"/>
      <c r="K138" s="46"/>
      <c r="L138" s="46"/>
      <c r="M138" s="46"/>
      <c r="N138" s="46"/>
    </row>
    <row r="139" spans="6:14" x14ac:dyDescent="0.2">
      <c r="F139" s="45"/>
      <c r="G139" s="45"/>
      <c r="H139" s="46"/>
      <c r="I139" s="46"/>
      <c r="J139" s="46"/>
      <c r="K139" s="46"/>
      <c r="L139" s="46"/>
      <c r="M139" s="46"/>
      <c r="N139" s="46"/>
    </row>
    <row r="140" spans="6:14" x14ac:dyDescent="0.2">
      <c r="F140" s="45"/>
      <c r="G140" s="45"/>
      <c r="H140" s="46"/>
      <c r="I140" s="46"/>
      <c r="J140" s="46"/>
      <c r="K140" s="46"/>
      <c r="L140" s="46"/>
      <c r="M140" s="46"/>
      <c r="N140" s="46"/>
    </row>
    <row r="141" spans="6:14" x14ac:dyDescent="0.2">
      <c r="F141" s="45"/>
      <c r="G141" s="45"/>
      <c r="H141" s="46"/>
      <c r="I141" s="46"/>
      <c r="J141" s="46"/>
      <c r="K141" s="46"/>
      <c r="L141" s="46"/>
      <c r="M141" s="46"/>
      <c r="N141" s="46"/>
    </row>
    <row r="142" spans="6:14" x14ac:dyDescent="0.2">
      <c r="F142" s="45"/>
      <c r="G142" s="45"/>
      <c r="H142" s="46"/>
      <c r="I142" s="46"/>
      <c r="J142" s="46"/>
      <c r="K142" s="46"/>
      <c r="L142" s="46"/>
      <c r="M142" s="46"/>
      <c r="N142" s="46"/>
    </row>
    <row r="143" spans="6:14" x14ac:dyDescent="0.2">
      <c r="F143" s="45"/>
      <c r="G143" s="45"/>
      <c r="H143" s="46"/>
      <c r="I143" s="46"/>
      <c r="J143" s="46"/>
      <c r="K143" s="46"/>
      <c r="L143" s="46"/>
      <c r="M143" s="46"/>
      <c r="N143" s="46"/>
    </row>
    <row r="144" spans="6:14" x14ac:dyDescent="0.2">
      <c r="F144" s="45"/>
      <c r="G144" s="45"/>
      <c r="H144" s="46"/>
      <c r="I144" s="46"/>
      <c r="J144" s="46"/>
      <c r="K144" s="46"/>
      <c r="L144" s="46"/>
      <c r="M144" s="46"/>
      <c r="N144" s="46"/>
    </row>
    <row r="145" spans="6:14" x14ac:dyDescent="0.2">
      <c r="F145" s="45"/>
      <c r="G145" s="45"/>
      <c r="H145" s="46"/>
      <c r="I145" s="46"/>
      <c r="J145" s="46"/>
      <c r="K145" s="46"/>
      <c r="L145" s="46"/>
      <c r="M145" s="46"/>
      <c r="N145" s="46"/>
    </row>
    <row r="146" spans="6:14" x14ac:dyDescent="0.2">
      <c r="F146" s="45"/>
      <c r="G146" s="45"/>
      <c r="H146" s="46"/>
      <c r="I146" s="46"/>
      <c r="J146" s="46"/>
      <c r="K146" s="46"/>
      <c r="L146" s="46"/>
      <c r="M146" s="46"/>
      <c r="N146" s="46"/>
    </row>
    <row r="147" spans="6:14" x14ac:dyDescent="0.2">
      <c r="F147" s="45"/>
      <c r="G147" s="45"/>
      <c r="H147" s="46"/>
      <c r="I147" s="46"/>
      <c r="J147" s="46"/>
      <c r="K147" s="46"/>
      <c r="L147" s="46"/>
      <c r="M147" s="46"/>
      <c r="N147" s="46"/>
    </row>
    <row r="148" spans="6:14" x14ac:dyDescent="0.2">
      <c r="F148" s="45"/>
      <c r="G148" s="45"/>
      <c r="H148" s="46"/>
      <c r="I148" s="46"/>
      <c r="J148" s="46"/>
      <c r="K148" s="46"/>
      <c r="L148" s="46"/>
      <c r="M148" s="46"/>
      <c r="N148" s="46"/>
    </row>
    <row r="149" spans="6:14" x14ac:dyDescent="0.2">
      <c r="F149" s="45"/>
      <c r="G149" s="45"/>
      <c r="H149" s="46"/>
      <c r="I149" s="46"/>
      <c r="J149" s="46"/>
      <c r="K149" s="46"/>
      <c r="L149" s="46"/>
      <c r="M149" s="46"/>
      <c r="N149" s="46"/>
    </row>
    <row r="150" spans="6:14" x14ac:dyDescent="0.2">
      <c r="F150" s="45"/>
      <c r="G150" s="45"/>
      <c r="H150" s="46"/>
      <c r="I150" s="46"/>
      <c r="J150" s="46"/>
      <c r="K150" s="46"/>
      <c r="L150" s="46"/>
      <c r="M150" s="46"/>
      <c r="N150" s="46"/>
    </row>
    <row r="151" spans="6:14" x14ac:dyDescent="0.2">
      <c r="F151" s="45"/>
      <c r="G151" s="45"/>
      <c r="H151" s="46"/>
      <c r="I151" s="46"/>
      <c r="J151" s="46"/>
      <c r="K151" s="46"/>
      <c r="L151" s="46"/>
      <c r="M151" s="46"/>
      <c r="N151" s="46"/>
    </row>
    <row r="152" spans="6:14" x14ac:dyDescent="0.2">
      <c r="F152" s="45"/>
      <c r="G152" s="45"/>
      <c r="H152" s="46"/>
      <c r="I152" s="46"/>
      <c r="J152" s="46"/>
      <c r="K152" s="46"/>
      <c r="L152" s="46"/>
      <c r="M152" s="46"/>
      <c r="N152" s="46"/>
    </row>
    <row r="153" spans="6:14" x14ac:dyDescent="0.2">
      <c r="F153" s="45"/>
      <c r="G153" s="45"/>
      <c r="H153" s="46"/>
      <c r="I153" s="46"/>
      <c r="J153" s="46"/>
      <c r="K153" s="46"/>
      <c r="L153" s="46"/>
      <c r="M153" s="46"/>
      <c r="N153" s="46"/>
    </row>
    <row r="154" spans="6:14" x14ac:dyDescent="0.2">
      <c r="F154" s="45"/>
      <c r="G154" s="45"/>
      <c r="H154" s="46"/>
      <c r="I154" s="46"/>
      <c r="J154" s="46"/>
      <c r="K154" s="46"/>
      <c r="L154" s="46"/>
      <c r="M154" s="46"/>
      <c r="N154" s="46"/>
    </row>
    <row r="155" spans="6:14" x14ac:dyDescent="0.2">
      <c r="F155" s="45"/>
      <c r="G155" s="45"/>
      <c r="H155" s="46"/>
      <c r="I155" s="46"/>
      <c r="J155" s="46"/>
      <c r="K155" s="46"/>
      <c r="L155" s="46"/>
      <c r="M155" s="46"/>
      <c r="N155" s="46"/>
    </row>
    <row r="156" spans="6:14" x14ac:dyDescent="0.2">
      <c r="F156" s="45"/>
      <c r="G156" s="45"/>
      <c r="H156" s="46"/>
      <c r="I156" s="46"/>
      <c r="J156" s="46"/>
      <c r="K156" s="46"/>
      <c r="L156" s="46"/>
      <c r="M156" s="46"/>
      <c r="N156" s="46"/>
    </row>
    <row r="157" spans="6:14" x14ac:dyDescent="0.2">
      <c r="F157" s="45"/>
      <c r="G157" s="45"/>
      <c r="H157" s="46"/>
      <c r="I157" s="46"/>
      <c r="J157" s="46"/>
      <c r="K157" s="46"/>
      <c r="L157" s="46"/>
      <c r="M157" s="46"/>
      <c r="N157" s="46"/>
    </row>
    <row r="158" spans="6:14" x14ac:dyDescent="0.2">
      <c r="F158" s="45"/>
      <c r="G158" s="45"/>
      <c r="H158" s="46"/>
      <c r="I158" s="46"/>
      <c r="J158" s="46"/>
      <c r="K158" s="46"/>
      <c r="L158" s="46"/>
      <c r="M158" s="46"/>
      <c r="N158" s="46"/>
    </row>
    <row r="159" spans="6:14" x14ac:dyDescent="0.2">
      <c r="F159" s="45"/>
      <c r="G159" s="45"/>
      <c r="H159" s="46"/>
      <c r="I159" s="46"/>
      <c r="J159" s="46"/>
      <c r="K159" s="46"/>
      <c r="L159" s="46"/>
      <c r="M159" s="46"/>
      <c r="N159" s="46"/>
    </row>
    <row r="160" spans="6:14" x14ac:dyDescent="0.2">
      <c r="F160" s="45"/>
      <c r="G160" s="45"/>
      <c r="H160" s="46"/>
      <c r="I160" s="46"/>
      <c r="J160" s="46"/>
      <c r="K160" s="46"/>
      <c r="L160" s="46"/>
      <c r="M160" s="46"/>
      <c r="N160" s="46"/>
    </row>
    <row r="161" spans="6:14" x14ac:dyDescent="0.2">
      <c r="F161" s="45"/>
      <c r="G161" s="45"/>
      <c r="H161" s="46"/>
      <c r="I161" s="46"/>
      <c r="J161" s="46"/>
      <c r="K161" s="46"/>
      <c r="L161" s="46"/>
      <c r="M161" s="46"/>
      <c r="N161" s="46"/>
    </row>
    <row r="162" spans="6:14" x14ac:dyDescent="0.2">
      <c r="F162" s="45"/>
      <c r="G162" s="45"/>
      <c r="H162" s="46"/>
      <c r="I162" s="46"/>
      <c r="J162" s="46"/>
      <c r="K162" s="46"/>
      <c r="L162" s="46"/>
      <c r="M162" s="46"/>
      <c r="N162" s="46"/>
    </row>
    <row r="163" spans="6:14" x14ac:dyDescent="0.2">
      <c r="F163" s="45"/>
      <c r="G163" s="45"/>
      <c r="H163" s="46"/>
      <c r="I163" s="46"/>
      <c r="J163" s="46"/>
      <c r="K163" s="46"/>
      <c r="L163" s="46"/>
      <c r="M163" s="46"/>
      <c r="N163" s="46"/>
    </row>
    <row r="164" spans="6:14" x14ac:dyDescent="0.2">
      <c r="F164" s="45"/>
      <c r="G164" s="45"/>
      <c r="H164" s="46"/>
      <c r="I164" s="46"/>
      <c r="J164" s="46"/>
      <c r="K164" s="46"/>
      <c r="L164" s="46"/>
      <c r="M164" s="46"/>
      <c r="N164" s="46"/>
    </row>
    <row r="165" spans="6:14" x14ac:dyDescent="0.2">
      <c r="F165" s="45"/>
      <c r="G165" s="45"/>
      <c r="H165" s="46"/>
      <c r="I165" s="46"/>
      <c r="J165" s="46"/>
      <c r="K165" s="46"/>
      <c r="L165" s="46"/>
      <c r="M165" s="46"/>
      <c r="N165" s="46"/>
    </row>
    <row r="166" spans="6:14" x14ac:dyDescent="0.2">
      <c r="F166" s="45"/>
      <c r="G166" s="45"/>
      <c r="H166" s="46"/>
      <c r="I166" s="46"/>
      <c r="J166" s="46"/>
      <c r="K166" s="46"/>
      <c r="L166" s="46"/>
      <c r="M166" s="46"/>
      <c r="N166" s="46"/>
    </row>
    <row r="167" spans="6:14" x14ac:dyDescent="0.2">
      <c r="F167" s="45"/>
      <c r="G167" s="45"/>
      <c r="H167" s="46"/>
      <c r="I167" s="46"/>
      <c r="J167" s="46"/>
      <c r="K167" s="46"/>
      <c r="L167" s="46"/>
      <c r="M167" s="46"/>
      <c r="N167" s="46"/>
    </row>
    <row r="168" spans="6:14" x14ac:dyDescent="0.2">
      <c r="F168" s="45"/>
      <c r="G168" s="45"/>
      <c r="H168" s="46"/>
      <c r="I168" s="46"/>
      <c r="J168" s="46"/>
      <c r="K168" s="46"/>
      <c r="L168" s="46"/>
      <c r="M168" s="46"/>
      <c r="N168" s="46"/>
    </row>
    <row r="169" spans="6:14" x14ac:dyDescent="0.2">
      <c r="F169" s="45"/>
      <c r="G169" s="45"/>
      <c r="H169" s="46"/>
      <c r="I169" s="46"/>
      <c r="J169" s="46"/>
      <c r="K169" s="46"/>
      <c r="L169" s="46"/>
      <c r="M169" s="46"/>
      <c r="N169" s="46"/>
    </row>
    <row r="170" spans="6:14" x14ac:dyDescent="0.2">
      <c r="F170" s="45"/>
      <c r="G170" s="45"/>
      <c r="H170" s="46"/>
      <c r="I170" s="46"/>
      <c r="J170" s="46"/>
      <c r="K170" s="46"/>
      <c r="L170" s="46"/>
      <c r="M170" s="46"/>
      <c r="N170" s="46"/>
    </row>
    <row r="171" spans="6:14" x14ac:dyDescent="0.2">
      <c r="F171" s="45"/>
      <c r="G171" s="45"/>
      <c r="H171" s="46"/>
      <c r="I171" s="46"/>
      <c r="J171" s="46"/>
      <c r="K171" s="46"/>
      <c r="L171" s="46"/>
      <c r="M171" s="46"/>
      <c r="N171" s="46"/>
    </row>
    <row r="172" spans="6:14" x14ac:dyDescent="0.2">
      <c r="F172" s="45"/>
      <c r="G172" s="45"/>
      <c r="H172" s="46"/>
      <c r="I172" s="46"/>
      <c r="J172" s="46"/>
      <c r="K172" s="46"/>
      <c r="L172" s="46"/>
      <c r="M172" s="46"/>
      <c r="N172" s="46"/>
    </row>
    <row r="173" spans="6:14" x14ac:dyDescent="0.2">
      <c r="F173" s="45"/>
      <c r="G173" s="45"/>
      <c r="H173" s="46"/>
      <c r="I173" s="46"/>
      <c r="J173" s="46"/>
      <c r="K173" s="46"/>
      <c r="L173" s="46"/>
      <c r="M173" s="46"/>
      <c r="N173" s="46"/>
    </row>
    <row r="174" spans="6:14" x14ac:dyDescent="0.2">
      <c r="F174" s="10"/>
      <c r="G174" s="10"/>
      <c r="H174" s="26"/>
      <c r="I174" s="26"/>
      <c r="J174" s="26"/>
      <c r="K174" s="26"/>
      <c r="L174" s="26"/>
      <c r="M174" s="26"/>
      <c r="N174" s="26"/>
    </row>
    <row r="175" spans="6:14" x14ac:dyDescent="0.2">
      <c r="F175" s="10"/>
      <c r="G175" s="10"/>
      <c r="H175" s="26"/>
      <c r="I175" s="26"/>
      <c r="J175" s="26"/>
      <c r="K175" s="26"/>
      <c r="L175" s="26"/>
      <c r="M175" s="26"/>
      <c r="N175" s="26"/>
    </row>
    <row r="176" spans="6:14" x14ac:dyDescent="0.2">
      <c r="F176" s="10"/>
      <c r="G176" s="10"/>
      <c r="H176" s="26"/>
      <c r="I176" s="26"/>
      <c r="J176" s="26"/>
      <c r="K176" s="26"/>
      <c r="L176" s="26"/>
      <c r="M176" s="26"/>
      <c r="N176" s="26"/>
    </row>
    <row r="177" spans="6:14" x14ac:dyDescent="0.2">
      <c r="F177" s="10"/>
      <c r="G177" s="10"/>
      <c r="H177" s="26"/>
      <c r="I177" s="26"/>
      <c r="J177" s="26"/>
      <c r="K177" s="26"/>
      <c r="L177" s="26"/>
      <c r="M177" s="26"/>
      <c r="N177" s="26"/>
    </row>
    <row r="178" spans="6:14" x14ac:dyDescent="0.2">
      <c r="F178" s="10"/>
      <c r="G178" s="10"/>
      <c r="H178" s="26"/>
      <c r="I178" s="26"/>
      <c r="J178" s="26"/>
      <c r="K178" s="26"/>
      <c r="L178" s="26"/>
      <c r="M178" s="26"/>
      <c r="N178" s="26"/>
    </row>
    <row r="179" spans="6:14" x14ac:dyDescent="0.2">
      <c r="F179" s="10"/>
      <c r="G179" s="10"/>
      <c r="H179" s="26"/>
      <c r="I179" s="26"/>
      <c r="J179" s="26"/>
      <c r="K179" s="26"/>
      <c r="L179" s="26"/>
      <c r="M179" s="26"/>
      <c r="N179" s="26"/>
    </row>
    <row r="180" spans="6:14" x14ac:dyDescent="0.2">
      <c r="F180" s="10"/>
      <c r="G180" s="10"/>
      <c r="H180" s="26"/>
      <c r="I180" s="26"/>
      <c r="J180" s="26"/>
      <c r="K180" s="26"/>
      <c r="L180" s="26"/>
      <c r="M180" s="26"/>
      <c r="N180" s="26"/>
    </row>
    <row r="181" spans="6:14" x14ac:dyDescent="0.2">
      <c r="F181" s="10"/>
      <c r="G181" s="10"/>
      <c r="H181" s="26"/>
      <c r="I181" s="26"/>
      <c r="J181" s="26"/>
      <c r="K181" s="26"/>
      <c r="L181" s="26"/>
      <c r="M181" s="26"/>
      <c r="N181" s="26"/>
    </row>
    <row r="182" spans="6:14" x14ac:dyDescent="0.2">
      <c r="F182" s="10"/>
      <c r="G182" s="10"/>
      <c r="H182" s="26"/>
      <c r="I182" s="26"/>
      <c r="J182" s="26"/>
      <c r="K182" s="26"/>
      <c r="L182" s="26"/>
      <c r="M182" s="26"/>
      <c r="N182" s="26"/>
    </row>
    <row r="183" spans="6:14" x14ac:dyDescent="0.2">
      <c r="F183" s="10"/>
      <c r="G183" s="10"/>
      <c r="H183" s="26"/>
      <c r="I183" s="26"/>
      <c r="J183" s="26"/>
      <c r="K183" s="26"/>
      <c r="L183" s="26"/>
      <c r="M183" s="26"/>
      <c r="N183" s="26"/>
    </row>
    <row r="184" spans="6:14" x14ac:dyDescent="0.2">
      <c r="F184" s="10"/>
      <c r="G184" s="10"/>
      <c r="H184" s="26"/>
      <c r="I184" s="26"/>
      <c r="J184" s="26"/>
      <c r="K184" s="26"/>
      <c r="L184" s="26"/>
      <c r="M184" s="26"/>
      <c r="N184" s="26"/>
    </row>
    <row r="185" spans="6:14" x14ac:dyDescent="0.2">
      <c r="F185" s="10"/>
      <c r="G185" s="10"/>
      <c r="H185" s="26"/>
      <c r="I185" s="26"/>
      <c r="J185" s="26"/>
      <c r="K185" s="26"/>
      <c r="L185" s="26"/>
      <c r="M185" s="26"/>
      <c r="N185" s="26"/>
    </row>
    <row r="186" spans="6:14" x14ac:dyDescent="0.2">
      <c r="F186" s="10"/>
      <c r="G186" s="10"/>
      <c r="H186" s="26"/>
      <c r="I186" s="26"/>
      <c r="J186" s="26"/>
      <c r="K186" s="26"/>
      <c r="L186" s="26"/>
      <c r="M186" s="26"/>
      <c r="N186" s="26"/>
    </row>
    <row r="187" spans="6:14" x14ac:dyDescent="0.2">
      <c r="F187" s="10"/>
      <c r="G187" s="10"/>
      <c r="H187" s="26"/>
      <c r="I187" s="26"/>
      <c r="J187" s="26"/>
      <c r="K187" s="26"/>
      <c r="L187" s="26"/>
      <c r="M187" s="26"/>
      <c r="N187" s="26"/>
    </row>
    <row r="188" spans="6:14" x14ac:dyDescent="0.2">
      <c r="F188" s="10"/>
      <c r="G188" s="10"/>
      <c r="H188" s="26"/>
      <c r="I188" s="26"/>
      <c r="J188" s="26"/>
      <c r="K188" s="26"/>
      <c r="L188" s="26"/>
      <c r="M188" s="26"/>
      <c r="N188" s="26"/>
    </row>
    <row r="189" spans="6:14" x14ac:dyDescent="0.2">
      <c r="H189" s="15"/>
      <c r="I189" s="15"/>
      <c r="J189" s="15"/>
      <c r="K189" s="15"/>
      <c r="L189" s="15"/>
      <c r="M189" s="15"/>
      <c r="N189" s="15"/>
    </row>
    <row r="190" spans="6:14" x14ac:dyDescent="0.2">
      <c r="H190" s="15"/>
      <c r="I190" s="15"/>
      <c r="J190" s="15"/>
      <c r="K190" s="15"/>
      <c r="L190" s="15"/>
      <c r="M190" s="15"/>
      <c r="N190" s="15"/>
    </row>
    <row r="191" spans="6:14" x14ac:dyDescent="0.2">
      <c r="H191" s="15"/>
      <c r="I191" s="15"/>
      <c r="J191" s="15"/>
      <c r="K191" s="15"/>
      <c r="L191" s="15"/>
      <c r="M191" s="15"/>
      <c r="N191" s="15"/>
    </row>
    <row r="192" spans="6:14" x14ac:dyDescent="0.2">
      <c r="H192" s="15"/>
      <c r="I192" s="15"/>
      <c r="J192" s="15"/>
      <c r="K192" s="15"/>
      <c r="L192" s="15"/>
      <c r="M192" s="15"/>
      <c r="N192" s="15"/>
    </row>
    <row r="193" spans="8:14" x14ac:dyDescent="0.2">
      <c r="H193" s="15"/>
      <c r="I193" s="15"/>
      <c r="J193" s="15"/>
      <c r="K193" s="15"/>
      <c r="L193" s="15"/>
      <c r="M193" s="15"/>
      <c r="N193" s="15"/>
    </row>
    <row r="194" spans="8:14" x14ac:dyDescent="0.2">
      <c r="H194" s="15"/>
      <c r="I194" s="15"/>
      <c r="J194" s="15"/>
      <c r="K194" s="15"/>
      <c r="L194" s="15"/>
      <c r="M194" s="15"/>
      <c r="N194" s="15"/>
    </row>
    <row r="195" spans="8:14" x14ac:dyDescent="0.2">
      <c r="H195" s="15"/>
      <c r="I195" s="15"/>
      <c r="J195" s="15"/>
      <c r="K195" s="15"/>
      <c r="L195" s="15"/>
      <c r="M195" s="15"/>
      <c r="N195" s="15"/>
    </row>
    <row r="196" spans="8:14" x14ac:dyDescent="0.2">
      <c r="H196" s="15"/>
      <c r="I196" s="15"/>
      <c r="J196" s="15"/>
      <c r="K196" s="15"/>
      <c r="L196" s="15"/>
      <c r="M196" s="15"/>
      <c r="N196" s="15"/>
    </row>
    <row r="197" spans="8:14" x14ac:dyDescent="0.2">
      <c r="H197" s="15"/>
      <c r="I197" s="15"/>
      <c r="J197" s="15"/>
      <c r="K197" s="15"/>
      <c r="L197" s="15"/>
      <c r="M197" s="15"/>
      <c r="N197" s="15"/>
    </row>
    <row r="198" spans="8:14" x14ac:dyDescent="0.2">
      <c r="H198" s="15"/>
      <c r="I198" s="15"/>
      <c r="J198" s="15"/>
      <c r="K198" s="15"/>
      <c r="L198" s="15"/>
      <c r="M198" s="15"/>
      <c r="N198" s="15"/>
    </row>
    <row r="199" spans="8:14" x14ac:dyDescent="0.2">
      <c r="H199" s="15"/>
      <c r="I199" s="15"/>
      <c r="J199" s="15"/>
      <c r="K199" s="15"/>
      <c r="L199" s="15"/>
      <c r="M199" s="15"/>
      <c r="N199" s="15"/>
    </row>
    <row r="200" spans="8:14" x14ac:dyDescent="0.2">
      <c r="H200" s="15"/>
      <c r="I200" s="15"/>
      <c r="J200" s="15"/>
      <c r="K200" s="15"/>
      <c r="L200" s="15"/>
      <c r="M200" s="15"/>
      <c r="N200" s="15"/>
    </row>
    <row r="201" spans="8:14" x14ac:dyDescent="0.2">
      <c r="H201" s="15"/>
      <c r="I201" s="15"/>
      <c r="J201" s="15"/>
      <c r="K201" s="15"/>
      <c r="L201" s="15"/>
      <c r="M201" s="15"/>
      <c r="N201" s="15"/>
    </row>
    <row r="202" spans="8:14" x14ac:dyDescent="0.2">
      <c r="H202" s="15"/>
      <c r="I202" s="15"/>
      <c r="J202" s="15"/>
      <c r="K202" s="15"/>
      <c r="L202" s="15"/>
      <c r="M202" s="15"/>
      <c r="N202" s="15"/>
    </row>
    <row r="203" spans="8:14" x14ac:dyDescent="0.2">
      <c r="H203" s="15"/>
      <c r="I203" s="15"/>
      <c r="J203" s="15"/>
      <c r="K203" s="15"/>
      <c r="L203" s="15"/>
      <c r="M203" s="15"/>
      <c r="N203" s="15"/>
    </row>
    <row r="204" spans="8:14" x14ac:dyDescent="0.2">
      <c r="H204" s="15"/>
      <c r="I204" s="15"/>
      <c r="J204" s="15"/>
      <c r="K204" s="15"/>
      <c r="L204" s="15"/>
      <c r="M204" s="15"/>
      <c r="N204" s="15"/>
    </row>
    <row r="205" spans="8:14" x14ac:dyDescent="0.2">
      <c r="H205" s="15"/>
      <c r="I205" s="15"/>
      <c r="J205" s="15"/>
      <c r="K205" s="15"/>
      <c r="L205" s="15"/>
      <c r="M205" s="15"/>
      <c r="N205" s="15"/>
    </row>
    <row r="206" spans="8:14" x14ac:dyDescent="0.2">
      <c r="H206" s="15"/>
      <c r="I206" s="15"/>
      <c r="J206" s="15"/>
      <c r="K206" s="15"/>
      <c r="L206" s="15"/>
      <c r="M206" s="15"/>
      <c r="N206" s="15"/>
    </row>
    <row r="207" spans="8:14" x14ac:dyDescent="0.2">
      <c r="H207" s="15"/>
      <c r="I207" s="15"/>
      <c r="J207" s="15"/>
      <c r="K207" s="15"/>
      <c r="L207" s="15"/>
      <c r="M207" s="15"/>
      <c r="N207" s="15"/>
    </row>
    <row r="208" spans="8:14" x14ac:dyDescent="0.2">
      <c r="H208" s="15"/>
      <c r="I208" s="15"/>
      <c r="J208" s="15"/>
      <c r="K208" s="15"/>
      <c r="L208" s="15"/>
      <c r="M208" s="15"/>
      <c r="N208" s="15"/>
    </row>
    <row r="209" spans="8:14" x14ac:dyDescent="0.2">
      <c r="H209" s="15"/>
      <c r="I209" s="15"/>
      <c r="J209" s="15"/>
      <c r="K209" s="15"/>
      <c r="L209" s="15"/>
      <c r="M209" s="15"/>
      <c r="N209" s="15"/>
    </row>
    <row r="210" spans="8:14" x14ac:dyDescent="0.2">
      <c r="H210" s="15"/>
      <c r="I210" s="15"/>
      <c r="J210" s="15"/>
      <c r="K210" s="15"/>
      <c r="L210" s="15"/>
      <c r="M210" s="15"/>
      <c r="N210" s="15"/>
    </row>
    <row r="211" spans="8:14" x14ac:dyDescent="0.2">
      <c r="H211" s="15"/>
      <c r="I211" s="15"/>
      <c r="J211" s="15"/>
      <c r="K211" s="15"/>
      <c r="L211" s="15"/>
      <c r="M211" s="15"/>
      <c r="N211" s="15"/>
    </row>
    <row r="212" spans="8:14" x14ac:dyDescent="0.2">
      <c r="H212" s="15"/>
      <c r="I212" s="15"/>
      <c r="J212" s="15"/>
      <c r="K212" s="15"/>
      <c r="L212" s="15"/>
      <c r="M212" s="15"/>
      <c r="N212" s="15"/>
    </row>
    <row r="213" spans="8:14" x14ac:dyDescent="0.2">
      <c r="H213" s="15"/>
      <c r="I213" s="15"/>
      <c r="J213" s="15"/>
      <c r="K213" s="15"/>
      <c r="L213" s="15"/>
      <c r="M213" s="15"/>
      <c r="N213" s="15"/>
    </row>
    <row r="214" spans="8:14" x14ac:dyDescent="0.2">
      <c r="H214" s="15"/>
      <c r="I214" s="15"/>
      <c r="J214" s="15"/>
      <c r="K214" s="15"/>
      <c r="L214" s="15"/>
      <c r="M214" s="15"/>
      <c r="N214" s="15"/>
    </row>
    <row r="215" spans="8:14" x14ac:dyDescent="0.2">
      <c r="H215" s="15"/>
      <c r="I215" s="15"/>
      <c r="J215" s="15"/>
      <c r="K215" s="15"/>
      <c r="L215" s="15"/>
      <c r="M215" s="15"/>
      <c r="N215" s="15"/>
    </row>
    <row r="216" spans="8:14" x14ac:dyDescent="0.2">
      <c r="H216" s="15"/>
      <c r="I216" s="15"/>
      <c r="J216" s="15"/>
      <c r="K216" s="15"/>
      <c r="L216" s="15"/>
      <c r="M216" s="15"/>
      <c r="N216" s="15"/>
    </row>
    <row r="217" spans="8:14" x14ac:dyDescent="0.2">
      <c r="H217" s="15"/>
      <c r="I217" s="15"/>
      <c r="J217" s="15"/>
      <c r="K217" s="15"/>
      <c r="L217" s="15"/>
      <c r="M217" s="15"/>
      <c r="N217" s="15"/>
    </row>
    <row r="218" spans="8:14" x14ac:dyDescent="0.2">
      <c r="H218" s="15"/>
      <c r="I218" s="15"/>
      <c r="J218" s="15"/>
      <c r="K218" s="15"/>
      <c r="L218" s="15"/>
      <c r="M218" s="15"/>
      <c r="N218" s="15"/>
    </row>
    <row r="219" spans="8:14" x14ac:dyDescent="0.2">
      <c r="H219" s="15"/>
      <c r="I219" s="15"/>
      <c r="J219" s="15"/>
      <c r="K219" s="15"/>
      <c r="L219" s="15"/>
      <c r="M219" s="15"/>
      <c r="N219" s="15"/>
    </row>
    <row r="220" spans="8:14" x14ac:dyDescent="0.2">
      <c r="H220" s="15"/>
      <c r="I220" s="15"/>
      <c r="J220" s="15"/>
      <c r="K220" s="15"/>
      <c r="L220" s="15"/>
      <c r="M220" s="15"/>
      <c r="N220" s="15"/>
    </row>
    <row r="221" spans="8:14" x14ac:dyDescent="0.2">
      <c r="H221" s="15"/>
      <c r="I221" s="15"/>
      <c r="J221" s="15"/>
      <c r="K221" s="15"/>
      <c r="L221" s="15"/>
      <c r="M221" s="15"/>
      <c r="N221" s="15"/>
    </row>
    <row r="222" spans="8:14" x14ac:dyDescent="0.2">
      <c r="H222" s="15"/>
      <c r="I222" s="15"/>
      <c r="J222" s="15"/>
      <c r="K222" s="15"/>
      <c r="L222" s="15"/>
      <c r="M222" s="15"/>
      <c r="N222" s="15"/>
    </row>
    <row r="223" spans="8:14" x14ac:dyDescent="0.2">
      <c r="H223" s="15"/>
      <c r="I223" s="15"/>
      <c r="J223" s="15"/>
      <c r="K223" s="15"/>
      <c r="L223" s="15"/>
      <c r="M223" s="15"/>
      <c r="N223" s="15"/>
    </row>
    <row r="224" spans="8:14" x14ac:dyDescent="0.2">
      <c r="H224" s="15"/>
      <c r="I224" s="15"/>
      <c r="J224" s="15"/>
      <c r="K224" s="15"/>
      <c r="L224" s="15"/>
      <c r="M224" s="15"/>
      <c r="N224" s="15"/>
    </row>
    <row r="225" spans="8:14" x14ac:dyDescent="0.2">
      <c r="H225" s="15"/>
      <c r="I225" s="15"/>
      <c r="J225" s="15"/>
      <c r="K225" s="15"/>
      <c r="L225" s="15"/>
      <c r="M225" s="15"/>
      <c r="N225" s="15"/>
    </row>
    <row r="226" spans="8:14" x14ac:dyDescent="0.2">
      <c r="H226" s="15"/>
      <c r="I226" s="15"/>
      <c r="J226" s="15"/>
      <c r="K226" s="15"/>
      <c r="L226" s="15"/>
      <c r="M226" s="15"/>
      <c r="N226" s="15"/>
    </row>
    <row r="227" spans="8:14" x14ac:dyDescent="0.2">
      <c r="H227" s="15"/>
      <c r="I227" s="15"/>
      <c r="J227" s="15"/>
      <c r="K227" s="15"/>
      <c r="L227" s="15"/>
      <c r="M227" s="15"/>
      <c r="N227" s="15"/>
    </row>
    <row r="228" spans="8:14" x14ac:dyDescent="0.2">
      <c r="H228" s="15"/>
      <c r="I228" s="15"/>
      <c r="J228" s="15"/>
      <c r="K228" s="15"/>
      <c r="L228" s="15"/>
      <c r="M228" s="15"/>
      <c r="N228" s="15"/>
    </row>
    <row r="229" spans="8:14" x14ac:dyDescent="0.2">
      <c r="H229" s="15"/>
      <c r="I229" s="15"/>
      <c r="J229" s="15"/>
      <c r="K229" s="15"/>
      <c r="L229" s="15"/>
      <c r="M229" s="15"/>
      <c r="N229" s="15"/>
    </row>
    <row r="230" spans="8:14" x14ac:dyDescent="0.2">
      <c r="H230" s="15"/>
      <c r="I230" s="15"/>
      <c r="J230" s="15"/>
      <c r="K230" s="15"/>
      <c r="L230" s="15"/>
      <c r="M230" s="15"/>
      <c r="N230" s="15"/>
    </row>
    <row r="231" spans="8:14" x14ac:dyDescent="0.2">
      <c r="H231" s="15"/>
      <c r="I231" s="15"/>
      <c r="J231" s="15"/>
      <c r="K231" s="15"/>
      <c r="L231" s="15"/>
      <c r="M231" s="15"/>
      <c r="N231" s="15"/>
    </row>
    <row r="232" spans="8:14" x14ac:dyDescent="0.2">
      <c r="H232" s="15"/>
      <c r="I232" s="15"/>
      <c r="J232" s="15"/>
      <c r="K232" s="15"/>
      <c r="L232" s="15"/>
      <c r="M232" s="15"/>
      <c r="N232" s="15"/>
    </row>
    <row r="233" spans="8:14" x14ac:dyDescent="0.2">
      <c r="H233" s="15"/>
      <c r="I233" s="15"/>
      <c r="J233" s="15"/>
      <c r="K233" s="15"/>
      <c r="L233" s="15"/>
      <c r="M233" s="15"/>
      <c r="N233" s="15"/>
    </row>
    <row r="234" spans="8:14" x14ac:dyDescent="0.2">
      <c r="H234" s="15"/>
      <c r="I234" s="15"/>
      <c r="J234" s="15"/>
      <c r="K234" s="15"/>
      <c r="L234" s="15"/>
      <c r="M234" s="15"/>
      <c r="N234" s="15"/>
    </row>
    <row r="235" spans="8:14" x14ac:dyDescent="0.2">
      <c r="H235" s="15"/>
      <c r="I235" s="15"/>
      <c r="J235" s="15"/>
      <c r="K235" s="15"/>
      <c r="L235" s="15"/>
      <c r="M235" s="15"/>
      <c r="N235" s="15"/>
    </row>
    <row r="236" spans="8:14" x14ac:dyDescent="0.2">
      <c r="H236" s="15"/>
      <c r="I236" s="15"/>
      <c r="J236" s="15"/>
      <c r="K236" s="15"/>
      <c r="L236" s="15"/>
      <c r="M236" s="15"/>
      <c r="N236" s="15"/>
    </row>
    <row r="237" spans="8:14" x14ac:dyDescent="0.2">
      <c r="H237" s="15"/>
      <c r="I237" s="15"/>
      <c r="J237" s="15"/>
      <c r="K237" s="15"/>
      <c r="L237" s="15"/>
      <c r="M237" s="15"/>
      <c r="N237" s="15"/>
    </row>
    <row r="238" spans="8:14" x14ac:dyDescent="0.2">
      <c r="H238" s="15"/>
      <c r="I238" s="15"/>
      <c r="J238" s="15"/>
      <c r="K238" s="15"/>
      <c r="L238" s="15"/>
      <c r="M238" s="15"/>
      <c r="N238" s="15"/>
    </row>
    <row r="239" spans="8:14" x14ac:dyDescent="0.2">
      <c r="H239" s="15"/>
      <c r="I239" s="15"/>
      <c r="J239" s="15"/>
      <c r="K239" s="15"/>
      <c r="L239" s="15"/>
      <c r="M239" s="15"/>
      <c r="N239" s="15"/>
    </row>
    <row r="240" spans="8:14" x14ac:dyDescent="0.2">
      <c r="H240" s="15"/>
      <c r="I240" s="15"/>
      <c r="J240" s="15"/>
      <c r="K240" s="15"/>
      <c r="L240" s="15"/>
      <c r="M240" s="15"/>
      <c r="N240" s="15"/>
    </row>
    <row r="241" spans="8:14" x14ac:dyDescent="0.2">
      <c r="H241" s="15"/>
      <c r="I241" s="15"/>
      <c r="J241" s="15"/>
      <c r="K241" s="15"/>
      <c r="L241" s="15"/>
      <c r="M241" s="15"/>
      <c r="N241" s="15"/>
    </row>
    <row r="242" spans="8:14" x14ac:dyDescent="0.2">
      <c r="H242" s="15"/>
      <c r="I242" s="15"/>
      <c r="J242" s="15"/>
      <c r="K242" s="15"/>
      <c r="L242" s="15"/>
      <c r="M242" s="15"/>
      <c r="N242" s="15"/>
    </row>
    <row r="243" spans="8:14" x14ac:dyDescent="0.2">
      <c r="H243" s="15"/>
      <c r="I243" s="15"/>
      <c r="J243" s="15"/>
      <c r="K243" s="15"/>
      <c r="L243" s="15"/>
      <c r="M243" s="15"/>
      <c r="N243" s="15"/>
    </row>
    <row r="244" spans="8:14" x14ac:dyDescent="0.2">
      <c r="H244" s="15"/>
      <c r="I244" s="15"/>
      <c r="J244" s="15"/>
      <c r="K244" s="15"/>
      <c r="L244" s="15"/>
      <c r="M244" s="15"/>
      <c r="N244" s="15"/>
    </row>
    <row r="245" spans="8:14" x14ac:dyDescent="0.2">
      <c r="H245" s="15"/>
      <c r="I245" s="15"/>
      <c r="J245" s="15"/>
      <c r="K245" s="15"/>
      <c r="L245" s="15"/>
      <c r="M245" s="15"/>
      <c r="N245" s="15"/>
    </row>
    <row r="246" spans="8:14" x14ac:dyDescent="0.2">
      <c r="H246" s="15"/>
      <c r="I246" s="15"/>
      <c r="J246" s="15"/>
      <c r="K246" s="15"/>
      <c r="L246" s="15"/>
      <c r="M246" s="15"/>
      <c r="N246" s="15"/>
    </row>
    <row r="247" spans="8:14" x14ac:dyDescent="0.2">
      <c r="H247" s="15"/>
      <c r="I247" s="15"/>
      <c r="J247" s="15"/>
      <c r="K247" s="15"/>
      <c r="L247" s="15"/>
      <c r="M247" s="15"/>
      <c r="N247" s="15"/>
    </row>
    <row r="248" spans="8:14" x14ac:dyDescent="0.2">
      <c r="H248" s="15"/>
      <c r="I248" s="15"/>
      <c r="J248" s="15"/>
      <c r="K248" s="15"/>
      <c r="L248" s="15"/>
      <c r="M248" s="15"/>
      <c r="N248" s="15"/>
    </row>
    <row r="249" spans="8:14" x14ac:dyDescent="0.2">
      <c r="H249" s="15"/>
      <c r="I249" s="15"/>
      <c r="J249" s="15"/>
      <c r="K249" s="15"/>
      <c r="L249" s="15"/>
      <c r="M249" s="15"/>
      <c r="N249" s="15"/>
    </row>
    <row r="250" spans="8:14" x14ac:dyDescent="0.2">
      <c r="H250" s="15"/>
      <c r="I250" s="15"/>
      <c r="J250" s="15"/>
      <c r="K250" s="15"/>
      <c r="L250" s="15"/>
      <c r="M250" s="15"/>
      <c r="N250" s="15"/>
    </row>
    <row r="251" spans="8:14" x14ac:dyDescent="0.2">
      <c r="H251" s="15"/>
      <c r="I251" s="15"/>
      <c r="J251" s="15"/>
      <c r="K251" s="15"/>
      <c r="L251" s="15"/>
      <c r="M251" s="15"/>
      <c r="N251" s="15"/>
    </row>
    <row r="252" spans="8:14" x14ac:dyDescent="0.2">
      <c r="H252" s="15"/>
      <c r="I252" s="15"/>
      <c r="J252" s="15"/>
      <c r="K252" s="15"/>
      <c r="L252" s="15"/>
      <c r="M252" s="15"/>
      <c r="N252" s="15"/>
    </row>
    <row r="253" spans="8:14" x14ac:dyDescent="0.2">
      <c r="H253" s="15"/>
      <c r="I253" s="15"/>
      <c r="J253" s="15"/>
      <c r="K253" s="15"/>
      <c r="L253" s="15"/>
      <c r="M253" s="15"/>
      <c r="N253" s="15"/>
    </row>
    <row r="254" spans="8:14" x14ac:dyDescent="0.2">
      <c r="H254" s="15"/>
      <c r="I254" s="15"/>
      <c r="J254" s="15"/>
      <c r="K254" s="15"/>
      <c r="L254" s="15"/>
      <c r="M254" s="15"/>
      <c r="N254" s="15"/>
    </row>
    <row r="255" spans="8:14" x14ac:dyDescent="0.2">
      <c r="H255" s="15"/>
      <c r="I255" s="15"/>
      <c r="J255" s="15"/>
      <c r="K255" s="15"/>
      <c r="L255" s="15"/>
      <c r="M255" s="15"/>
      <c r="N255" s="15"/>
    </row>
    <row r="256" spans="8:14" x14ac:dyDescent="0.2">
      <c r="H256" s="15"/>
      <c r="I256" s="15"/>
      <c r="J256" s="15"/>
      <c r="K256" s="15"/>
      <c r="L256" s="15"/>
      <c r="M256" s="15"/>
      <c r="N256" s="15"/>
    </row>
    <row r="257" spans="8:14" x14ac:dyDescent="0.2">
      <c r="H257" s="15"/>
      <c r="I257" s="15"/>
      <c r="J257" s="15"/>
      <c r="K257" s="15"/>
      <c r="L257" s="15"/>
      <c r="M257" s="15"/>
      <c r="N257" s="15"/>
    </row>
    <row r="258" spans="8:14" x14ac:dyDescent="0.2">
      <c r="H258" s="15"/>
      <c r="I258" s="15"/>
      <c r="J258" s="15"/>
      <c r="K258" s="15"/>
      <c r="L258" s="15"/>
      <c r="M258" s="15"/>
      <c r="N258" s="15"/>
    </row>
    <row r="259" spans="8:14" x14ac:dyDescent="0.2">
      <c r="H259" s="15"/>
      <c r="I259" s="15"/>
      <c r="J259" s="15"/>
      <c r="K259" s="15"/>
      <c r="L259" s="15"/>
      <c r="M259" s="15"/>
      <c r="N259" s="15"/>
    </row>
    <row r="260" spans="8:14" x14ac:dyDescent="0.2">
      <c r="H260" s="15"/>
      <c r="I260" s="15"/>
      <c r="J260" s="15"/>
      <c r="K260" s="15"/>
      <c r="L260" s="15"/>
      <c r="M260" s="15"/>
      <c r="N260" s="15"/>
    </row>
    <row r="261" spans="8:14" x14ac:dyDescent="0.2">
      <c r="H261" s="15"/>
      <c r="I261" s="15"/>
      <c r="J261" s="15"/>
      <c r="K261" s="15"/>
      <c r="L261" s="15"/>
      <c r="M261" s="15"/>
      <c r="N261" s="15"/>
    </row>
    <row r="262" spans="8:14" x14ac:dyDescent="0.2">
      <c r="H262" s="15"/>
      <c r="I262" s="15"/>
      <c r="J262" s="15"/>
      <c r="K262" s="15"/>
      <c r="L262" s="15"/>
      <c r="M262" s="15"/>
      <c r="N262" s="15"/>
    </row>
    <row r="263" spans="8:14" x14ac:dyDescent="0.2">
      <c r="H263" s="15"/>
      <c r="I263" s="15"/>
      <c r="J263" s="15"/>
      <c r="K263" s="15"/>
      <c r="L263" s="15"/>
      <c r="M263" s="15"/>
      <c r="N263" s="15"/>
    </row>
    <row r="264" spans="8:14" x14ac:dyDescent="0.2">
      <c r="H264" s="15"/>
      <c r="I264" s="15"/>
      <c r="J264" s="15"/>
      <c r="K264" s="15"/>
      <c r="L264" s="15"/>
      <c r="M264" s="15"/>
      <c r="N264" s="15"/>
    </row>
    <row r="265" spans="8:14" x14ac:dyDescent="0.2">
      <c r="H265" s="15"/>
      <c r="I265" s="15"/>
      <c r="J265" s="15"/>
      <c r="K265" s="15"/>
      <c r="L265" s="15"/>
      <c r="M265" s="15"/>
      <c r="N265" s="15"/>
    </row>
    <row r="266" spans="8:14" x14ac:dyDescent="0.2">
      <c r="H266" s="15"/>
      <c r="I266" s="15"/>
      <c r="J266" s="15"/>
      <c r="K266" s="15"/>
      <c r="L266" s="15"/>
      <c r="M266" s="15"/>
      <c r="N266" s="15"/>
    </row>
    <row r="267" spans="8:14" x14ac:dyDescent="0.2">
      <c r="H267" s="15"/>
      <c r="I267" s="15"/>
      <c r="J267" s="15"/>
      <c r="K267" s="15"/>
      <c r="L267" s="15"/>
      <c r="M267" s="15"/>
      <c r="N267" s="15"/>
    </row>
    <row r="268" spans="8:14" x14ac:dyDescent="0.2">
      <c r="H268" s="15"/>
      <c r="I268" s="15"/>
      <c r="J268" s="15"/>
      <c r="K268" s="15"/>
      <c r="L268" s="15"/>
      <c r="M268" s="15"/>
      <c r="N268" s="15"/>
    </row>
    <row r="269" spans="8:14" x14ac:dyDescent="0.2">
      <c r="H269" s="15"/>
      <c r="I269" s="15"/>
      <c r="J269" s="15"/>
      <c r="K269" s="15"/>
      <c r="L269" s="15"/>
      <c r="M269" s="15"/>
      <c r="N269" s="15"/>
    </row>
    <row r="270" spans="8:14" x14ac:dyDescent="0.2">
      <c r="H270" s="15"/>
      <c r="I270" s="15"/>
      <c r="J270" s="15"/>
      <c r="K270" s="15"/>
      <c r="L270" s="15"/>
      <c r="M270" s="15"/>
      <c r="N270" s="15"/>
    </row>
    <row r="271" spans="8:14" x14ac:dyDescent="0.2">
      <c r="H271" s="15"/>
      <c r="I271" s="15"/>
      <c r="J271" s="15"/>
      <c r="K271" s="15"/>
      <c r="L271" s="15"/>
      <c r="M271" s="15"/>
      <c r="N271" s="15"/>
    </row>
    <row r="272" spans="8:14" x14ac:dyDescent="0.2">
      <c r="H272" s="15"/>
      <c r="I272" s="15"/>
      <c r="J272" s="15"/>
      <c r="K272" s="15"/>
      <c r="L272" s="15"/>
      <c r="M272" s="15"/>
      <c r="N272" s="15"/>
    </row>
    <row r="273" spans="8:14" x14ac:dyDescent="0.2">
      <c r="H273" s="15"/>
      <c r="I273" s="15"/>
      <c r="J273" s="15"/>
      <c r="K273" s="15"/>
      <c r="L273" s="15"/>
      <c r="M273" s="15"/>
      <c r="N273" s="15"/>
    </row>
    <row r="274" spans="8:14" x14ac:dyDescent="0.2">
      <c r="H274" s="15"/>
      <c r="I274" s="15"/>
      <c r="J274" s="15"/>
      <c r="K274" s="15"/>
      <c r="L274" s="15"/>
      <c r="M274" s="15"/>
      <c r="N274" s="15"/>
    </row>
    <row r="275" spans="8:14" x14ac:dyDescent="0.2">
      <c r="H275" s="15"/>
      <c r="I275" s="15"/>
      <c r="J275" s="15"/>
      <c r="K275" s="15"/>
      <c r="L275" s="15"/>
      <c r="M275" s="15"/>
      <c r="N275" s="15"/>
    </row>
    <row r="276" spans="8:14" x14ac:dyDescent="0.2">
      <c r="H276" s="15"/>
      <c r="I276" s="15"/>
      <c r="J276" s="15"/>
      <c r="K276" s="15"/>
      <c r="L276" s="15"/>
      <c r="M276" s="15"/>
      <c r="N276" s="15"/>
    </row>
    <row r="277" spans="8:14" x14ac:dyDescent="0.2">
      <c r="H277" s="15"/>
      <c r="I277" s="15"/>
      <c r="J277" s="15"/>
      <c r="K277" s="15"/>
      <c r="L277" s="15"/>
      <c r="M277" s="15"/>
      <c r="N277" s="15"/>
    </row>
    <row r="278" spans="8:14" x14ac:dyDescent="0.2">
      <c r="H278" s="15"/>
      <c r="I278" s="15"/>
      <c r="J278" s="15"/>
      <c r="K278" s="15"/>
      <c r="L278" s="15"/>
      <c r="M278" s="15"/>
      <c r="N278" s="15"/>
    </row>
    <row r="279" spans="8:14" x14ac:dyDescent="0.2">
      <c r="H279" s="15"/>
      <c r="I279" s="15"/>
      <c r="J279" s="15"/>
      <c r="K279" s="15"/>
      <c r="L279" s="15"/>
      <c r="M279" s="15"/>
      <c r="N279" s="15"/>
    </row>
    <row r="280" spans="8:14" x14ac:dyDescent="0.2">
      <c r="H280" s="15"/>
      <c r="I280" s="15"/>
      <c r="J280" s="15"/>
      <c r="K280" s="15"/>
      <c r="L280" s="15"/>
      <c r="M280" s="15"/>
      <c r="N280" s="15"/>
    </row>
    <row r="281" spans="8:14" x14ac:dyDescent="0.2">
      <c r="H281" s="15"/>
      <c r="I281" s="15"/>
      <c r="J281" s="15"/>
      <c r="K281" s="15"/>
      <c r="L281" s="15"/>
      <c r="M281" s="15"/>
      <c r="N281" s="15"/>
    </row>
    <row r="282" spans="8:14" x14ac:dyDescent="0.2">
      <c r="H282" s="15"/>
      <c r="I282" s="15"/>
      <c r="J282" s="15"/>
      <c r="K282" s="15"/>
      <c r="L282" s="15"/>
      <c r="M282" s="15"/>
      <c r="N282" s="15"/>
    </row>
    <row r="283" spans="8:14" x14ac:dyDescent="0.2">
      <c r="H283" s="15"/>
      <c r="I283" s="15"/>
      <c r="J283" s="15"/>
      <c r="K283" s="15"/>
      <c r="L283" s="15"/>
      <c r="M283" s="15"/>
      <c r="N283" s="15"/>
    </row>
    <row r="284" spans="8:14" x14ac:dyDescent="0.2">
      <c r="H284" s="15"/>
      <c r="I284" s="15"/>
      <c r="J284" s="15"/>
      <c r="K284" s="15"/>
      <c r="L284" s="15"/>
      <c r="M284" s="15"/>
      <c r="N284" s="15"/>
    </row>
    <row r="285" spans="8:14" x14ac:dyDescent="0.2">
      <c r="H285" s="15"/>
      <c r="I285" s="15"/>
      <c r="J285" s="15"/>
      <c r="K285" s="15"/>
      <c r="L285" s="15"/>
      <c r="M285" s="15"/>
      <c r="N285" s="15"/>
    </row>
    <row r="286" spans="8:14" x14ac:dyDescent="0.2">
      <c r="H286" s="15"/>
      <c r="I286" s="15"/>
      <c r="J286" s="15"/>
      <c r="K286" s="15"/>
      <c r="L286" s="15"/>
      <c r="M286" s="15"/>
      <c r="N286" s="15"/>
    </row>
    <row r="287" spans="8:14" x14ac:dyDescent="0.2">
      <c r="H287" s="15"/>
      <c r="I287" s="15"/>
      <c r="J287" s="15"/>
      <c r="K287" s="15"/>
      <c r="L287" s="15"/>
      <c r="M287" s="15"/>
      <c r="N287" s="15"/>
    </row>
    <row r="288" spans="8:14" x14ac:dyDescent="0.2">
      <c r="H288" s="15"/>
      <c r="I288" s="15"/>
      <c r="J288" s="15"/>
      <c r="K288" s="15"/>
      <c r="L288" s="15"/>
      <c r="M288" s="15"/>
      <c r="N288" s="15"/>
    </row>
    <row r="289" spans="8:14" x14ac:dyDescent="0.2">
      <c r="H289" s="15"/>
      <c r="I289" s="15"/>
      <c r="J289" s="15"/>
      <c r="K289" s="15"/>
      <c r="L289" s="15"/>
      <c r="M289" s="15"/>
      <c r="N289" s="15"/>
    </row>
    <row r="290" spans="8:14" x14ac:dyDescent="0.2">
      <c r="H290" s="15"/>
      <c r="I290" s="15"/>
      <c r="J290" s="15"/>
      <c r="K290" s="15"/>
      <c r="L290" s="15"/>
      <c r="M290" s="15"/>
      <c r="N290" s="15"/>
    </row>
    <row r="291" spans="8:14" x14ac:dyDescent="0.2">
      <c r="H291" s="15"/>
      <c r="I291" s="15"/>
      <c r="J291" s="15"/>
      <c r="K291" s="15"/>
      <c r="L291" s="15"/>
      <c r="M291" s="15"/>
      <c r="N291" s="15"/>
    </row>
    <row r="292" spans="8:14" x14ac:dyDescent="0.2">
      <c r="H292" s="15"/>
      <c r="I292" s="15"/>
      <c r="J292" s="15"/>
      <c r="K292" s="15"/>
      <c r="L292" s="15"/>
      <c r="M292" s="15"/>
      <c r="N292" s="15"/>
    </row>
    <row r="293" spans="8:14" x14ac:dyDescent="0.2">
      <c r="H293" s="15"/>
      <c r="I293" s="15"/>
      <c r="J293" s="15"/>
      <c r="K293" s="15"/>
      <c r="L293" s="15"/>
      <c r="M293" s="15"/>
      <c r="N293" s="15"/>
    </row>
    <row r="294" spans="8:14" x14ac:dyDescent="0.2">
      <c r="H294" s="15"/>
      <c r="I294" s="15"/>
      <c r="J294" s="15"/>
      <c r="K294" s="15"/>
      <c r="L294" s="15"/>
      <c r="M294" s="15"/>
      <c r="N294" s="15"/>
    </row>
    <row r="295" spans="8:14" x14ac:dyDescent="0.2">
      <c r="H295" s="15"/>
      <c r="I295" s="15"/>
      <c r="J295" s="15"/>
      <c r="K295" s="15"/>
      <c r="L295" s="15"/>
      <c r="M295" s="15"/>
      <c r="N295" s="15"/>
    </row>
    <row r="296" spans="8:14" x14ac:dyDescent="0.2">
      <c r="H296" s="15"/>
      <c r="I296" s="15"/>
      <c r="J296" s="15"/>
      <c r="K296" s="15"/>
      <c r="L296" s="15"/>
      <c r="M296" s="15"/>
      <c r="N296" s="15"/>
    </row>
    <row r="297" spans="8:14" x14ac:dyDescent="0.2">
      <c r="H297" s="15"/>
      <c r="I297" s="15"/>
      <c r="J297" s="15"/>
      <c r="K297" s="15"/>
      <c r="L297" s="15"/>
      <c r="M297" s="15"/>
      <c r="N297" s="15"/>
    </row>
    <row r="298" spans="8:14" x14ac:dyDescent="0.2">
      <c r="H298" s="15"/>
      <c r="I298" s="15"/>
      <c r="J298" s="15"/>
      <c r="K298" s="15"/>
      <c r="L298" s="15"/>
      <c r="M298" s="15"/>
      <c r="N298" s="15"/>
    </row>
    <row r="299" spans="8:14" x14ac:dyDescent="0.2">
      <c r="H299" s="15"/>
      <c r="I299" s="15"/>
      <c r="J299" s="15"/>
      <c r="K299" s="15"/>
      <c r="L299" s="15"/>
      <c r="M299" s="15"/>
      <c r="N299" s="15"/>
    </row>
    <row r="300" spans="8:14" x14ac:dyDescent="0.2">
      <c r="H300" s="15"/>
      <c r="I300" s="15"/>
      <c r="J300" s="15"/>
      <c r="K300" s="15"/>
      <c r="L300" s="15"/>
      <c r="M300" s="15"/>
      <c r="N300" s="15"/>
    </row>
    <row r="301" spans="8:14" x14ac:dyDescent="0.2">
      <c r="H301" s="15"/>
      <c r="I301" s="15"/>
      <c r="J301" s="15"/>
      <c r="K301" s="15"/>
      <c r="L301" s="15"/>
      <c r="M301" s="15"/>
      <c r="N301" s="15"/>
    </row>
    <row r="302" spans="8:14" x14ac:dyDescent="0.2">
      <c r="H302" s="15"/>
      <c r="I302" s="15"/>
      <c r="J302" s="15"/>
      <c r="K302" s="15"/>
      <c r="L302" s="15"/>
      <c r="M302" s="15"/>
      <c r="N302" s="15"/>
    </row>
    <row r="303" spans="8:14" x14ac:dyDescent="0.2">
      <c r="H303" s="15"/>
      <c r="I303" s="15"/>
      <c r="J303" s="15"/>
      <c r="K303" s="15"/>
      <c r="L303" s="15"/>
      <c r="M303" s="15"/>
      <c r="N303" s="15"/>
    </row>
    <row r="304" spans="8:14" x14ac:dyDescent="0.2">
      <c r="H304" s="15"/>
      <c r="I304" s="15"/>
      <c r="J304" s="15"/>
      <c r="K304" s="15"/>
      <c r="L304" s="15"/>
      <c r="M304" s="15"/>
      <c r="N304" s="15"/>
    </row>
    <row r="305" spans="8:14" x14ac:dyDescent="0.2">
      <c r="H305" s="15"/>
      <c r="I305" s="15"/>
      <c r="J305" s="15"/>
      <c r="K305" s="15"/>
      <c r="L305" s="15"/>
      <c r="M305" s="15"/>
      <c r="N305" s="15"/>
    </row>
    <row r="306" spans="8:14" x14ac:dyDescent="0.2">
      <c r="H306" s="15"/>
      <c r="I306" s="15"/>
      <c r="J306" s="15"/>
      <c r="K306" s="15"/>
      <c r="L306" s="15"/>
      <c r="M306" s="15"/>
      <c r="N306" s="15"/>
    </row>
    <row r="307" spans="8:14" x14ac:dyDescent="0.2">
      <c r="H307" s="15"/>
      <c r="I307" s="15"/>
      <c r="J307" s="15"/>
      <c r="K307" s="15"/>
      <c r="L307" s="15"/>
      <c r="M307" s="15"/>
      <c r="N307" s="15"/>
    </row>
    <row r="308" spans="8:14" x14ac:dyDescent="0.2">
      <c r="H308" s="15"/>
      <c r="I308" s="15"/>
      <c r="J308" s="15"/>
      <c r="K308" s="15"/>
      <c r="L308" s="15"/>
      <c r="M308" s="15"/>
      <c r="N308" s="15"/>
    </row>
    <row r="309" spans="8:14" x14ac:dyDescent="0.2">
      <c r="H309" s="15"/>
      <c r="I309" s="15"/>
      <c r="J309" s="15"/>
      <c r="K309" s="15"/>
      <c r="L309" s="15"/>
      <c r="M309" s="15"/>
      <c r="N309" s="15"/>
    </row>
    <row r="310" spans="8:14" x14ac:dyDescent="0.2">
      <c r="H310" s="15"/>
      <c r="I310" s="15"/>
      <c r="J310" s="15"/>
      <c r="K310" s="15"/>
      <c r="L310" s="15"/>
      <c r="M310" s="15"/>
      <c r="N310" s="15"/>
    </row>
    <row r="311" spans="8:14" x14ac:dyDescent="0.2">
      <c r="H311" s="15"/>
      <c r="I311" s="15"/>
      <c r="J311" s="15"/>
      <c r="K311" s="15"/>
      <c r="L311" s="15"/>
      <c r="M311" s="15"/>
      <c r="N311" s="15"/>
    </row>
    <row r="312" spans="8:14" x14ac:dyDescent="0.2">
      <c r="H312" s="15"/>
      <c r="I312" s="15"/>
      <c r="J312" s="15"/>
      <c r="K312" s="15"/>
      <c r="L312" s="15"/>
      <c r="M312" s="15"/>
      <c r="N312" s="15"/>
    </row>
    <row r="313" spans="8:14" x14ac:dyDescent="0.2">
      <c r="H313" s="15"/>
      <c r="I313" s="15"/>
      <c r="J313" s="15"/>
      <c r="K313" s="15"/>
      <c r="L313" s="15"/>
      <c r="M313" s="15"/>
      <c r="N313" s="15"/>
    </row>
    <row r="314" spans="8:14" x14ac:dyDescent="0.2">
      <c r="H314" s="15"/>
      <c r="I314" s="15"/>
      <c r="J314" s="15"/>
      <c r="K314" s="15"/>
      <c r="L314" s="15"/>
      <c r="M314" s="15"/>
      <c r="N314" s="15"/>
    </row>
    <row r="315" spans="8:14" x14ac:dyDescent="0.2">
      <c r="H315" s="15"/>
      <c r="I315" s="15"/>
      <c r="J315" s="15"/>
      <c r="K315" s="15"/>
      <c r="L315" s="15"/>
      <c r="M315" s="15"/>
      <c r="N315" s="15"/>
    </row>
    <row r="316" spans="8:14" x14ac:dyDescent="0.2">
      <c r="H316" s="15"/>
      <c r="I316" s="15"/>
      <c r="J316" s="15"/>
      <c r="K316" s="15"/>
      <c r="L316" s="15"/>
      <c r="M316" s="15"/>
      <c r="N316" s="15"/>
    </row>
    <row r="317" spans="8:14" x14ac:dyDescent="0.2">
      <c r="H317" s="15"/>
      <c r="I317" s="15"/>
      <c r="J317" s="15"/>
      <c r="K317" s="15"/>
      <c r="L317" s="15"/>
      <c r="M317" s="15"/>
      <c r="N317" s="15"/>
    </row>
    <row r="318" spans="8:14" x14ac:dyDescent="0.2">
      <c r="H318" s="15"/>
      <c r="I318" s="15"/>
      <c r="J318" s="15"/>
      <c r="K318" s="15"/>
      <c r="L318" s="15"/>
      <c r="M318" s="15"/>
      <c r="N318" s="15"/>
    </row>
    <row r="319" spans="8:14" x14ac:dyDescent="0.2">
      <c r="H319" s="15"/>
      <c r="I319" s="15"/>
      <c r="J319" s="15"/>
      <c r="K319" s="15"/>
      <c r="L319" s="15"/>
      <c r="M319" s="15"/>
      <c r="N319" s="15"/>
    </row>
    <row r="320" spans="8:14" x14ac:dyDescent="0.2">
      <c r="H320" s="15"/>
      <c r="I320" s="15"/>
      <c r="J320" s="15"/>
      <c r="K320" s="15"/>
      <c r="L320" s="15"/>
      <c r="M320" s="15"/>
      <c r="N320" s="15"/>
    </row>
    <row r="321" spans="8:14" x14ac:dyDescent="0.2">
      <c r="H321" s="15"/>
      <c r="I321" s="15"/>
      <c r="J321" s="15"/>
      <c r="K321" s="15"/>
      <c r="L321" s="15"/>
      <c r="M321" s="15"/>
      <c r="N321" s="15"/>
    </row>
    <row r="322" spans="8:14" x14ac:dyDescent="0.2">
      <c r="H322" s="15"/>
      <c r="I322" s="15"/>
      <c r="J322" s="15"/>
      <c r="K322" s="15"/>
      <c r="L322" s="15"/>
      <c r="M322" s="15"/>
      <c r="N322" s="15"/>
    </row>
    <row r="323" spans="8:14" x14ac:dyDescent="0.2">
      <c r="H323" s="15"/>
      <c r="I323" s="15"/>
      <c r="J323" s="15"/>
      <c r="K323" s="15"/>
      <c r="L323" s="15"/>
      <c r="M323" s="15"/>
      <c r="N323" s="15"/>
    </row>
    <row r="324" spans="8:14" x14ac:dyDescent="0.2">
      <c r="H324" s="15"/>
      <c r="I324" s="15"/>
      <c r="J324" s="15"/>
      <c r="K324" s="15"/>
      <c r="L324" s="15"/>
      <c r="M324" s="15"/>
      <c r="N324" s="15"/>
    </row>
    <row r="325" spans="8:14" x14ac:dyDescent="0.2">
      <c r="H325" s="15"/>
      <c r="I325" s="15"/>
      <c r="J325" s="15"/>
      <c r="K325" s="15"/>
      <c r="L325" s="15"/>
      <c r="M325" s="15"/>
      <c r="N325" s="15"/>
    </row>
    <row r="326" spans="8:14" x14ac:dyDescent="0.2">
      <c r="H326" s="15"/>
      <c r="I326" s="15"/>
      <c r="J326" s="15"/>
      <c r="K326" s="15"/>
      <c r="L326" s="15"/>
      <c r="M326" s="15"/>
      <c r="N326" s="15"/>
    </row>
    <row r="327" spans="8:14" x14ac:dyDescent="0.2">
      <c r="H327" s="15"/>
      <c r="I327" s="15"/>
      <c r="J327" s="15"/>
      <c r="K327" s="15"/>
      <c r="L327" s="15"/>
      <c r="M327" s="15"/>
      <c r="N327" s="15"/>
    </row>
    <row r="328" spans="8:14" x14ac:dyDescent="0.2">
      <c r="H328" s="15"/>
      <c r="I328" s="15"/>
      <c r="J328" s="15"/>
      <c r="K328" s="15"/>
      <c r="L328" s="15"/>
      <c r="M328" s="15"/>
      <c r="N328" s="15"/>
    </row>
    <row r="329" spans="8:14" x14ac:dyDescent="0.2">
      <c r="H329" s="15"/>
      <c r="I329" s="15"/>
      <c r="J329" s="15"/>
      <c r="K329" s="15"/>
      <c r="L329" s="15"/>
      <c r="M329" s="15"/>
      <c r="N329" s="15"/>
    </row>
    <row r="330" spans="8:14" x14ac:dyDescent="0.2">
      <c r="H330" s="15"/>
      <c r="I330" s="15"/>
      <c r="J330" s="15"/>
      <c r="K330" s="15"/>
      <c r="L330" s="15"/>
      <c r="M330" s="15"/>
      <c r="N330" s="15"/>
    </row>
    <row r="331" spans="8:14" x14ac:dyDescent="0.2">
      <c r="H331" s="15"/>
      <c r="I331" s="15"/>
      <c r="J331" s="15"/>
      <c r="K331" s="15"/>
      <c r="L331" s="15"/>
      <c r="M331" s="15"/>
      <c r="N331" s="15"/>
    </row>
    <row r="332" spans="8:14" x14ac:dyDescent="0.2">
      <c r="H332" s="15"/>
      <c r="I332" s="15"/>
      <c r="J332" s="15"/>
      <c r="K332" s="15"/>
      <c r="L332" s="15"/>
      <c r="M332" s="15"/>
      <c r="N332" s="15"/>
    </row>
    <row r="333" spans="8:14" x14ac:dyDescent="0.2">
      <c r="H333" s="15"/>
      <c r="I333" s="15"/>
      <c r="J333" s="15"/>
      <c r="K333" s="15"/>
      <c r="L333" s="15"/>
      <c r="M333" s="15"/>
      <c r="N333" s="15"/>
    </row>
    <row r="334" spans="8:14" x14ac:dyDescent="0.2">
      <c r="H334" s="15"/>
      <c r="I334" s="15"/>
      <c r="J334" s="15"/>
      <c r="K334" s="15"/>
      <c r="L334" s="15"/>
      <c r="M334" s="15"/>
      <c r="N334" s="15"/>
    </row>
    <row r="335" spans="8:14" x14ac:dyDescent="0.2">
      <c r="H335" s="15"/>
      <c r="I335" s="15"/>
      <c r="J335" s="15"/>
      <c r="K335" s="15"/>
      <c r="L335" s="15"/>
      <c r="M335" s="15"/>
      <c r="N335" s="15"/>
    </row>
    <row r="336" spans="8:14" x14ac:dyDescent="0.2">
      <c r="H336" s="15"/>
      <c r="I336" s="15"/>
      <c r="J336" s="15"/>
      <c r="K336" s="15"/>
      <c r="L336" s="15"/>
      <c r="M336" s="15"/>
      <c r="N336" s="15"/>
    </row>
    <row r="337" spans="8:14" x14ac:dyDescent="0.2">
      <c r="H337" s="15"/>
      <c r="I337" s="15"/>
      <c r="J337" s="15"/>
      <c r="K337" s="15"/>
      <c r="L337" s="15"/>
      <c r="M337" s="15"/>
      <c r="N337" s="15"/>
    </row>
    <row r="338" spans="8:14" x14ac:dyDescent="0.2">
      <c r="H338" s="15"/>
      <c r="I338" s="15"/>
      <c r="J338" s="15"/>
      <c r="K338" s="15"/>
      <c r="L338" s="15"/>
      <c r="M338" s="15"/>
      <c r="N338" s="15"/>
    </row>
    <row r="339" spans="8:14" x14ac:dyDescent="0.2">
      <c r="H339" s="15"/>
      <c r="I339" s="15"/>
      <c r="J339" s="15"/>
      <c r="K339" s="15"/>
      <c r="L339" s="15"/>
      <c r="M339" s="15"/>
      <c r="N339" s="15"/>
    </row>
    <row r="340" spans="8:14" x14ac:dyDescent="0.2">
      <c r="H340" s="15"/>
      <c r="I340" s="15"/>
      <c r="J340" s="15"/>
      <c r="K340" s="15"/>
      <c r="L340" s="15"/>
      <c r="M340" s="15"/>
      <c r="N340" s="15"/>
    </row>
    <row r="341" spans="8:14" x14ac:dyDescent="0.2">
      <c r="H341" s="15"/>
      <c r="I341" s="15"/>
      <c r="J341" s="15"/>
      <c r="K341" s="15"/>
      <c r="L341" s="15"/>
      <c r="M341" s="15"/>
      <c r="N341" s="15"/>
    </row>
    <row r="342" spans="8:14" x14ac:dyDescent="0.2">
      <c r="H342" s="15"/>
      <c r="I342" s="15"/>
      <c r="J342" s="15"/>
      <c r="K342" s="15"/>
      <c r="L342" s="15"/>
      <c r="M342" s="15"/>
      <c r="N342" s="15"/>
    </row>
    <row r="343" spans="8:14" x14ac:dyDescent="0.2">
      <c r="H343" s="15"/>
      <c r="I343" s="15"/>
      <c r="J343" s="15"/>
      <c r="K343" s="15"/>
      <c r="L343" s="15"/>
      <c r="M343" s="15"/>
      <c r="N343" s="15"/>
    </row>
    <row r="344" spans="8:14" x14ac:dyDescent="0.2">
      <c r="H344" s="15"/>
      <c r="I344" s="15"/>
      <c r="J344" s="15"/>
      <c r="K344" s="15"/>
      <c r="L344" s="15"/>
      <c r="M344" s="15"/>
      <c r="N344" s="15"/>
    </row>
    <row r="345" spans="8:14" x14ac:dyDescent="0.2">
      <c r="H345" s="15"/>
      <c r="I345" s="15"/>
      <c r="J345" s="15"/>
      <c r="K345" s="15"/>
      <c r="L345" s="15"/>
      <c r="M345" s="15"/>
      <c r="N345" s="15"/>
    </row>
    <row r="346" spans="8:14" x14ac:dyDescent="0.2">
      <c r="H346" s="15"/>
      <c r="I346" s="15"/>
      <c r="J346" s="15"/>
      <c r="K346" s="15"/>
      <c r="L346" s="15"/>
      <c r="M346" s="15"/>
      <c r="N346" s="15"/>
    </row>
    <row r="347" spans="8:14" x14ac:dyDescent="0.2">
      <c r="H347" s="15"/>
      <c r="I347" s="15"/>
      <c r="J347" s="15"/>
      <c r="K347" s="15"/>
      <c r="L347" s="15"/>
      <c r="M347" s="15"/>
      <c r="N347" s="15"/>
    </row>
    <row r="348" spans="8:14" x14ac:dyDescent="0.2">
      <c r="H348" s="15"/>
      <c r="I348" s="15"/>
      <c r="J348" s="15"/>
      <c r="K348" s="15"/>
      <c r="L348" s="15"/>
      <c r="M348" s="15"/>
      <c r="N348" s="15"/>
    </row>
    <row r="349" spans="8:14" x14ac:dyDescent="0.2">
      <c r="H349" s="15"/>
      <c r="I349" s="15"/>
      <c r="J349" s="15"/>
      <c r="K349" s="15"/>
      <c r="L349" s="15"/>
      <c r="M349" s="15"/>
      <c r="N349" s="15"/>
    </row>
    <row r="350" spans="8:14" x14ac:dyDescent="0.2">
      <c r="H350" s="15"/>
      <c r="I350" s="15"/>
      <c r="J350" s="15"/>
      <c r="K350" s="15"/>
      <c r="L350" s="15"/>
      <c r="M350" s="15"/>
      <c r="N350" s="15"/>
    </row>
    <row r="351" spans="8:14" x14ac:dyDescent="0.2">
      <c r="H351" s="15"/>
      <c r="I351" s="15"/>
      <c r="J351" s="15"/>
      <c r="K351" s="15"/>
      <c r="L351" s="15"/>
      <c r="M351" s="15"/>
      <c r="N351" s="15"/>
    </row>
    <row r="352" spans="8:14" x14ac:dyDescent="0.2">
      <c r="H352" s="15"/>
      <c r="I352" s="15"/>
      <c r="J352" s="15"/>
      <c r="K352" s="15"/>
      <c r="L352" s="15"/>
      <c r="M352" s="15"/>
      <c r="N352" s="15"/>
    </row>
    <row r="353" spans="8:14" x14ac:dyDescent="0.2">
      <c r="H353" s="15"/>
      <c r="I353" s="15"/>
      <c r="J353" s="15"/>
      <c r="K353" s="15"/>
      <c r="L353" s="15"/>
      <c r="M353" s="15"/>
      <c r="N353" s="15"/>
    </row>
    <row r="354" spans="8:14" x14ac:dyDescent="0.2">
      <c r="H354" s="15"/>
      <c r="I354" s="15"/>
      <c r="J354" s="15"/>
      <c r="K354" s="15"/>
      <c r="L354" s="15"/>
      <c r="M354" s="15"/>
      <c r="N354" s="15"/>
    </row>
    <row r="355" spans="8:14" x14ac:dyDescent="0.2">
      <c r="H355" s="15"/>
      <c r="I355" s="15"/>
      <c r="J355" s="15"/>
      <c r="K355" s="15"/>
      <c r="L355" s="15"/>
      <c r="M355" s="15"/>
      <c r="N355" s="15"/>
    </row>
    <row r="356" spans="8:14" x14ac:dyDescent="0.2">
      <c r="H356" s="15"/>
      <c r="I356" s="15"/>
      <c r="J356" s="15"/>
      <c r="K356" s="15"/>
      <c r="L356" s="15"/>
      <c r="M356" s="15"/>
      <c r="N356" s="15"/>
    </row>
    <row r="357" spans="8:14" x14ac:dyDescent="0.2">
      <c r="H357" s="15"/>
      <c r="I357" s="15"/>
      <c r="J357" s="15"/>
      <c r="K357" s="15"/>
      <c r="L357" s="15"/>
      <c r="M357" s="15"/>
      <c r="N357" s="15"/>
    </row>
    <row r="358" spans="8:14" x14ac:dyDescent="0.2">
      <c r="H358" s="15"/>
      <c r="I358" s="15"/>
      <c r="J358" s="15"/>
      <c r="K358" s="15"/>
      <c r="L358" s="15"/>
      <c r="M358" s="15"/>
      <c r="N358" s="15"/>
    </row>
    <row r="359" spans="8:14" x14ac:dyDescent="0.2">
      <c r="H359" s="15"/>
      <c r="I359" s="15"/>
      <c r="J359" s="15"/>
      <c r="K359" s="15"/>
      <c r="L359" s="15"/>
      <c r="M359" s="15"/>
      <c r="N359" s="15"/>
    </row>
    <row r="360" spans="8:14" x14ac:dyDescent="0.2">
      <c r="H360" s="15"/>
      <c r="I360" s="15"/>
      <c r="J360" s="15"/>
      <c r="K360" s="15"/>
      <c r="L360" s="15"/>
      <c r="M360" s="15"/>
      <c r="N360" s="15"/>
    </row>
    <row r="361" spans="8:14" x14ac:dyDescent="0.2">
      <c r="H361" s="15"/>
      <c r="I361" s="15"/>
      <c r="J361" s="15"/>
      <c r="K361" s="15"/>
      <c r="L361" s="15"/>
      <c r="M361" s="15"/>
      <c r="N361" s="15"/>
    </row>
    <row r="362" spans="8:14" x14ac:dyDescent="0.2">
      <c r="H362" s="15"/>
      <c r="I362" s="15"/>
      <c r="J362" s="15"/>
      <c r="K362" s="15"/>
      <c r="L362" s="15"/>
      <c r="M362" s="15"/>
      <c r="N362" s="15"/>
    </row>
    <row r="363" spans="8:14" x14ac:dyDescent="0.2">
      <c r="H363" s="15"/>
      <c r="I363" s="15"/>
      <c r="J363" s="15"/>
      <c r="K363" s="15"/>
      <c r="L363" s="15"/>
      <c r="M363" s="15"/>
      <c r="N363" s="15"/>
    </row>
    <row r="364" spans="8:14" x14ac:dyDescent="0.2">
      <c r="H364" s="15"/>
      <c r="I364" s="15"/>
      <c r="J364" s="15"/>
      <c r="K364" s="15"/>
      <c r="L364" s="15"/>
      <c r="M364" s="15"/>
      <c r="N364" s="15"/>
    </row>
    <row r="365" spans="8:14" x14ac:dyDescent="0.2">
      <c r="H365" s="15"/>
      <c r="I365" s="15"/>
      <c r="J365" s="15"/>
      <c r="K365" s="15"/>
      <c r="L365" s="15"/>
      <c r="M365" s="15"/>
      <c r="N365" s="15"/>
    </row>
    <row r="366" spans="8:14" x14ac:dyDescent="0.2">
      <c r="H366" s="15"/>
      <c r="I366" s="15"/>
      <c r="J366" s="15"/>
      <c r="K366" s="15"/>
      <c r="L366" s="15"/>
      <c r="M366" s="15"/>
      <c r="N366" s="15"/>
    </row>
    <row r="367" spans="8:14" x14ac:dyDescent="0.2">
      <c r="H367" s="15"/>
      <c r="I367" s="15"/>
      <c r="J367" s="15"/>
      <c r="K367" s="15"/>
      <c r="L367" s="15"/>
      <c r="M367" s="15"/>
      <c r="N367" s="15"/>
    </row>
    <row r="368" spans="8:14" x14ac:dyDescent="0.2">
      <c r="H368" s="15"/>
      <c r="I368" s="15"/>
      <c r="J368" s="15"/>
      <c r="K368" s="15"/>
      <c r="L368" s="15"/>
      <c r="M368" s="15"/>
      <c r="N368" s="15"/>
    </row>
    <row r="369" spans="8:14" x14ac:dyDescent="0.2">
      <c r="H369" s="15"/>
      <c r="I369" s="15"/>
      <c r="J369" s="15"/>
      <c r="K369" s="15"/>
      <c r="L369" s="15"/>
      <c r="M369" s="15"/>
      <c r="N369" s="15"/>
    </row>
    <row r="370" spans="8:14" x14ac:dyDescent="0.2">
      <c r="H370" s="15"/>
      <c r="I370" s="15"/>
      <c r="J370" s="15"/>
      <c r="K370" s="15"/>
      <c r="L370" s="15"/>
      <c r="M370" s="15"/>
      <c r="N370" s="15"/>
    </row>
    <row r="371" spans="8:14" x14ac:dyDescent="0.2">
      <c r="H371" s="15"/>
      <c r="I371" s="15"/>
      <c r="J371" s="15"/>
      <c r="K371" s="15"/>
      <c r="L371" s="15"/>
      <c r="M371" s="15"/>
      <c r="N371" s="15"/>
    </row>
    <row r="372" spans="8:14" x14ac:dyDescent="0.2">
      <c r="H372" s="15"/>
      <c r="I372" s="15"/>
      <c r="J372" s="15"/>
      <c r="K372" s="15"/>
      <c r="L372" s="15"/>
      <c r="M372" s="15"/>
      <c r="N372" s="15"/>
    </row>
    <row r="373" spans="8:14" x14ac:dyDescent="0.2">
      <c r="H373" s="15"/>
      <c r="I373" s="15"/>
      <c r="J373" s="15"/>
      <c r="K373" s="15"/>
      <c r="L373" s="15"/>
      <c r="M373" s="15"/>
      <c r="N373" s="15"/>
    </row>
    <row r="374" spans="8:14" x14ac:dyDescent="0.2">
      <c r="H374" s="15"/>
      <c r="I374" s="15"/>
      <c r="J374" s="15"/>
      <c r="K374" s="15"/>
      <c r="L374" s="15"/>
      <c r="M374" s="15"/>
      <c r="N374" s="15"/>
    </row>
    <row r="375" spans="8:14" x14ac:dyDescent="0.2">
      <c r="H375" s="15"/>
      <c r="I375" s="15"/>
      <c r="J375" s="15"/>
      <c r="K375" s="15"/>
      <c r="L375" s="15"/>
      <c r="M375" s="15"/>
      <c r="N375" s="15"/>
    </row>
    <row r="376" spans="8:14" x14ac:dyDescent="0.2">
      <c r="H376" s="15"/>
      <c r="I376" s="15"/>
      <c r="J376" s="15"/>
      <c r="K376" s="15"/>
      <c r="L376" s="15"/>
      <c r="M376" s="15"/>
      <c r="N376" s="15"/>
    </row>
    <row r="377" spans="8:14" x14ac:dyDescent="0.2">
      <c r="H377" s="15"/>
      <c r="I377" s="15"/>
      <c r="J377" s="15"/>
      <c r="K377" s="15"/>
      <c r="L377" s="15"/>
      <c r="M377" s="15"/>
      <c r="N377" s="15"/>
    </row>
    <row r="378" spans="8:14" x14ac:dyDescent="0.2">
      <c r="H378" s="15"/>
      <c r="I378" s="15"/>
      <c r="J378" s="15"/>
      <c r="K378" s="15"/>
      <c r="L378" s="15"/>
      <c r="M378" s="15"/>
      <c r="N378" s="15"/>
    </row>
    <row r="379" spans="8:14" x14ac:dyDescent="0.2">
      <c r="H379" s="15"/>
      <c r="I379" s="15"/>
      <c r="J379" s="15"/>
      <c r="K379" s="15"/>
      <c r="L379" s="15"/>
      <c r="M379" s="15"/>
      <c r="N379" s="15"/>
    </row>
    <row r="380" spans="8:14" x14ac:dyDescent="0.2">
      <c r="H380" s="15"/>
      <c r="I380" s="15"/>
      <c r="J380" s="15"/>
      <c r="K380" s="15"/>
      <c r="L380" s="15"/>
      <c r="M380" s="15"/>
      <c r="N380" s="15"/>
    </row>
    <row r="381" spans="8:14" x14ac:dyDescent="0.2">
      <c r="H381" s="15"/>
      <c r="I381" s="15"/>
      <c r="J381" s="15"/>
      <c r="K381" s="15"/>
      <c r="L381" s="15"/>
      <c r="M381" s="15"/>
      <c r="N381" s="15"/>
    </row>
    <row r="382" spans="8:14" x14ac:dyDescent="0.2">
      <c r="H382" s="15"/>
      <c r="I382" s="15"/>
      <c r="J382" s="15"/>
      <c r="K382" s="15"/>
      <c r="L382" s="15"/>
      <c r="M382" s="15"/>
      <c r="N382" s="15"/>
    </row>
    <row r="383" spans="8:14" x14ac:dyDescent="0.2">
      <c r="H383" s="15"/>
      <c r="I383" s="15"/>
      <c r="J383" s="15"/>
      <c r="K383" s="15"/>
      <c r="L383" s="15"/>
      <c r="M383" s="15"/>
      <c r="N383" s="15"/>
    </row>
    <row r="384" spans="8:14" x14ac:dyDescent="0.2">
      <c r="H384" s="15"/>
      <c r="I384" s="15"/>
      <c r="J384" s="15"/>
      <c r="K384" s="15"/>
      <c r="L384" s="15"/>
      <c r="M384" s="15"/>
      <c r="N384" s="15"/>
    </row>
    <row r="385" spans="8:14" x14ac:dyDescent="0.2">
      <c r="H385" s="15"/>
      <c r="I385" s="15"/>
      <c r="J385" s="15"/>
      <c r="K385" s="15"/>
      <c r="L385" s="15"/>
      <c r="M385" s="15"/>
      <c r="N385" s="15"/>
    </row>
    <row r="386" spans="8:14" x14ac:dyDescent="0.2">
      <c r="H386" s="15"/>
      <c r="I386" s="15"/>
      <c r="J386" s="15"/>
      <c r="K386" s="15"/>
      <c r="L386" s="15"/>
      <c r="M386" s="15"/>
      <c r="N386" s="15"/>
    </row>
    <row r="387" spans="8:14" x14ac:dyDescent="0.2">
      <c r="H387" s="15"/>
      <c r="I387" s="15"/>
      <c r="J387" s="15"/>
      <c r="K387" s="15"/>
      <c r="L387" s="15"/>
      <c r="M387" s="15"/>
      <c r="N387" s="15"/>
    </row>
    <row r="388" spans="8:14" x14ac:dyDescent="0.2">
      <c r="H388" s="15"/>
      <c r="I388" s="15"/>
      <c r="J388" s="15"/>
      <c r="K388" s="15"/>
      <c r="L388" s="15"/>
      <c r="M388" s="15"/>
      <c r="N388" s="15"/>
    </row>
    <row r="389" spans="8:14" x14ac:dyDescent="0.2">
      <c r="H389" s="15"/>
      <c r="I389" s="15"/>
      <c r="J389" s="15"/>
      <c r="K389" s="15"/>
      <c r="L389" s="15"/>
      <c r="M389" s="15"/>
      <c r="N389" s="15"/>
    </row>
    <row r="390" spans="8:14" x14ac:dyDescent="0.2">
      <c r="H390" s="15"/>
      <c r="I390" s="15"/>
      <c r="J390" s="15"/>
      <c r="K390" s="15"/>
      <c r="L390" s="15"/>
      <c r="M390" s="15"/>
      <c r="N390" s="15"/>
    </row>
    <row r="391" spans="8:14" x14ac:dyDescent="0.2">
      <c r="H391" s="15"/>
      <c r="I391" s="15"/>
      <c r="J391" s="15"/>
      <c r="K391" s="15"/>
      <c r="L391" s="15"/>
      <c r="M391" s="15"/>
      <c r="N391" s="15"/>
    </row>
    <row r="392" spans="8:14" x14ac:dyDescent="0.2">
      <c r="H392" s="15"/>
      <c r="I392" s="15"/>
      <c r="J392" s="15"/>
      <c r="K392" s="15"/>
      <c r="L392" s="15"/>
      <c r="M392" s="15"/>
      <c r="N392" s="15"/>
    </row>
    <row r="393" spans="8:14" x14ac:dyDescent="0.2">
      <c r="H393" s="15"/>
      <c r="I393" s="15"/>
      <c r="J393" s="15"/>
      <c r="K393" s="15"/>
      <c r="L393" s="15"/>
      <c r="M393" s="15"/>
      <c r="N393" s="15"/>
    </row>
    <row r="394" spans="8:14" x14ac:dyDescent="0.2">
      <c r="H394" s="15"/>
      <c r="I394" s="15"/>
      <c r="J394" s="15"/>
      <c r="K394" s="15"/>
      <c r="L394" s="15"/>
      <c r="M394" s="15"/>
      <c r="N394" s="15"/>
    </row>
    <row r="395" spans="8:14" x14ac:dyDescent="0.2">
      <c r="H395" s="15"/>
      <c r="I395" s="15"/>
      <c r="J395" s="15"/>
      <c r="K395" s="15"/>
      <c r="L395" s="15"/>
      <c r="M395" s="15"/>
      <c r="N395" s="15"/>
    </row>
    <row r="396" spans="8:14" x14ac:dyDescent="0.2">
      <c r="H396" s="15"/>
      <c r="I396" s="15"/>
      <c r="J396" s="15"/>
      <c r="K396" s="15"/>
      <c r="L396" s="15"/>
      <c r="M396" s="15"/>
      <c r="N396" s="15"/>
    </row>
    <row r="397" spans="8:14" x14ac:dyDescent="0.2">
      <c r="H397" s="15"/>
      <c r="I397" s="15"/>
      <c r="J397" s="15"/>
      <c r="K397" s="15"/>
      <c r="L397" s="15"/>
      <c r="M397" s="15"/>
      <c r="N397" s="15"/>
    </row>
    <row r="398" spans="8:14" x14ac:dyDescent="0.2">
      <c r="H398" s="15"/>
      <c r="I398" s="15"/>
      <c r="J398" s="15"/>
      <c r="K398" s="15"/>
      <c r="L398" s="15"/>
      <c r="M398" s="15"/>
      <c r="N398" s="15"/>
    </row>
    <row r="399" spans="8:14" x14ac:dyDescent="0.2">
      <c r="H399" s="15"/>
      <c r="I399" s="15"/>
      <c r="J399" s="15"/>
      <c r="K399" s="15"/>
      <c r="L399" s="15"/>
      <c r="M399" s="15"/>
      <c r="N399" s="15"/>
    </row>
    <row r="400" spans="8:14" x14ac:dyDescent="0.2">
      <c r="H400" s="15"/>
      <c r="I400" s="15"/>
      <c r="J400" s="15"/>
      <c r="K400" s="15"/>
      <c r="L400" s="15"/>
      <c r="M400" s="15"/>
      <c r="N400" s="15"/>
    </row>
    <row r="401" spans="8:14" x14ac:dyDescent="0.2">
      <c r="H401" s="15"/>
      <c r="I401" s="15"/>
      <c r="J401" s="15"/>
      <c r="K401" s="15"/>
      <c r="L401" s="15"/>
      <c r="M401" s="15"/>
      <c r="N401" s="15"/>
    </row>
    <row r="402" spans="8:14" x14ac:dyDescent="0.2">
      <c r="H402" s="15"/>
      <c r="I402" s="15"/>
      <c r="J402" s="15"/>
      <c r="K402" s="15"/>
      <c r="L402" s="15"/>
      <c r="M402" s="15"/>
      <c r="N402" s="15"/>
    </row>
    <row r="403" spans="8:14" x14ac:dyDescent="0.2">
      <c r="H403" s="15"/>
      <c r="I403" s="15"/>
      <c r="J403" s="15"/>
      <c r="K403" s="15"/>
      <c r="L403" s="15"/>
      <c r="M403" s="15"/>
      <c r="N403" s="15"/>
    </row>
    <row r="404" spans="8:14" x14ac:dyDescent="0.2">
      <c r="H404" s="15"/>
      <c r="I404" s="15"/>
      <c r="J404" s="15"/>
      <c r="K404" s="15"/>
      <c r="L404" s="15"/>
      <c r="M404" s="15"/>
      <c r="N404" s="15"/>
    </row>
    <row r="405" spans="8:14" x14ac:dyDescent="0.2">
      <c r="H405" s="15"/>
      <c r="I405" s="15"/>
      <c r="J405" s="15"/>
      <c r="K405" s="15"/>
      <c r="L405" s="15"/>
      <c r="M405" s="15"/>
      <c r="N405" s="15"/>
    </row>
    <row r="406" spans="8:14" x14ac:dyDescent="0.2">
      <c r="H406" s="15"/>
      <c r="I406" s="15"/>
      <c r="J406" s="15"/>
      <c r="K406" s="15"/>
      <c r="L406" s="15"/>
      <c r="M406" s="15"/>
      <c r="N406" s="15"/>
    </row>
    <row r="407" spans="8:14" x14ac:dyDescent="0.2">
      <c r="H407" s="15"/>
      <c r="I407" s="15"/>
      <c r="J407" s="15"/>
      <c r="K407" s="15"/>
      <c r="L407" s="15"/>
      <c r="M407" s="15"/>
      <c r="N407" s="15"/>
    </row>
    <row r="408" spans="8:14" x14ac:dyDescent="0.2">
      <c r="H408" s="15"/>
      <c r="I408" s="15"/>
      <c r="J408" s="15"/>
      <c r="K408" s="15"/>
      <c r="L408" s="15"/>
      <c r="M408" s="15"/>
      <c r="N408" s="15"/>
    </row>
    <row r="409" spans="8:14" x14ac:dyDescent="0.2">
      <c r="H409" s="15"/>
      <c r="I409" s="15"/>
      <c r="J409" s="15"/>
      <c r="K409" s="15"/>
      <c r="L409" s="15"/>
      <c r="M409" s="15"/>
      <c r="N409" s="15"/>
    </row>
    <row r="410" spans="8:14" x14ac:dyDescent="0.2">
      <c r="H410" s="15"/>
      <c r="I410" s="15"/>
      <c r="J410" s="15"/>
      <c r="K410" s="15"/>
      <c r="L410" s="15"/>
      <c r="M410" s="15"/>
      <c r="N410" s="15"/>
    </row>
    <row r="411" spans="8:14" x14ac:dyDescent="0.2">
      <c r="H411" s="15"/>
      <c r="I411" s="15"/>
      <c r="J411" s="15"/>
      <c r="K411" s="15"/>
      <c r="L411" s="15"/>
      <c r="M411" s="15"/>
      <c r="N411" s="15"/>
    </row>
    <row r="412" spans="8:14" x14ac:dyDescent="0.2">
      <c r="H412" s="15"/>
      <c r="I412" s="15"/>
      <c r="J412" s="15"/>
      <c r="K412" s="15"/>
      <c r="L412" s="15"/>
      <c r="M412" s="15"/>
      <c r="N412" s="15"/>
    </row>
    <row r="413" spans="8:14" x14ac:dyDescent="0.2">
      <c r="H413" s="15"/>
      <c r="I413" s="15"/>
      <c r="J413" s="15"/>
      <c r="K413" s="15"/>
      <c r="L413" s="15"/>
      <c r="M413" s="15"/>
      <c r="N413" s="15"/>
    </row>
    <row r="414" spans="8:14" x14ac:dyDescent="0.2">
      <c r="H414" s="15"/>
      <c r="I414" s="15"/>
      <c r="J414" s="15"/>
      <c r="K414" s="15"/>
      <c r="L414" s="15"/>
      <c r="M414" s="15"/>
      <c r="N414" s="15"/>
    </row>
    <row r="415" spans="8:14" x14ac:dyDescent="0.2">
      <c r="H415" s="15"/>
      <c r="I415" s="15"/>
      <c r="J415" s="15"/>
      <c r="K415" s="15"/>
      <c r="L415" s="15"/>
      <c r="M415" s="15"/>
      <c r="N415" s="15"/>
    </row>
    <row r="416" spans="8:14" x14ac:dyDescent="0.2">
      <c r="H416" s="15"/>
      <c r="I416" s="15"/>
      <c r="J416" s="15"/>
      <c r="K416" s="15"/>
      <c r="L416" s="15"/>
      <c r="M416" s="15"/>
      <c r="N416" s="15"/>
    </row>
    <row r="417" spans="8:14" x14ac:dyDescent="0.2">
      <c r="H417" s="15"/>
      <c r="I417" s="15"/>
      <c r="J417" s="15"/>
      <c r="K417" s="15"/>
      <c r="L417" s="15"/>
      <c r="M417" s="15"/>
      <c r="N417" s="15"/>
    </row>
    <row r="418" spans="8:14" x14ac:dyDescent="0.2">
      <c r="H418" s="15"/>
      <c r="I418" s="15"/>
      <c r="J418" s="15"/>
      <c r="K418" s="15"/>
      <c r="L418" s="15"/>
      <c r="M418" s="15"/>
      <c r="N418" s="15"/>
    </row>
    <row r="419" spans="8:14" x14ac:dyDescent="0.2">
      <c r="H419" s="15"/>
      <c r="I419" s="15"/>
      <c r="J419" s="15"/>
      <c r="K419" s="15"/>
      <c r="L419" s="15"/>
      <c r="M419" s="15"/>
      <c r="N419" s="15"/>
    </row>
    <row r="420" spans="8:14" x14ac:dyDescent="0.2">
      <c r="H420" s="15"/>
      <c r="I420" s="15"/>
      <c r="J420" s="15"/>
      <c r="K420" s="15"/>
      <c r="L420" s="15"/>
      <c r="M420" s="15"/>
      <c r="N420" s="15"/>
    </row>
    <row r="421" spans="8:14" x14ac:dyDescent="0.2">
      <c r="H421" s="15"/>
      <c r="I421" s="15"/>
      <c r="J421" s="15"/>
      <c r="K421" s="15"/>
      <c r="L421" s="15"/>
      <c r="M421" s="15"/>
      <c r="N421" s="15"/>
    </row>
    <row r="422" spans="8:14" x14ac:dyDescent="0.2">
      <c r="H422" s="15"/>
      <c r="I422" s="15"/>
      <c r="J422" s="15"/>
      <c r="K422" s="15"/>
      <c r="L422" s="15"/>
      <c r="M422" s="15"/>
      <c r="N422" s="15"/>
    </row>
    <row r="423" spans="8:14" x14ac:dyDescent="0.2">
      <c r="H423" s="15"/>
      <c r="I423" s="15"/>
      <c r="J423" s="15"/>
      <c r="K423" s="15"/>
      <c r="L423" s="15"/>
      <c r="M423" s="15"/>
      <c r="N423" s="15"/>
    </row>
    <row r="424" spans="8:14" x14ac:dyDescent="0.2">
      <c r="H424" s="15"/>
      <c r="I424" s="15"/>
      <c r="J424" s="15"/>
      <c r="K424" s="15"/>
      <c r="L424" s="15"/>
      <c r="M424" s="15"/>
      <c r="N424" s="15"/>
    </row>
    <row r="425" spans="8:14" x14ac:dyDescent="0.2">
      <c r="H425" s="15"/>
      <c r="I425" s="15"/>
      <c r="J425" s="15"/>
      <c r="K425" s="15"/>
      <c r="L425" s="15"/>
      <c r="M425" s="15"/>
      <c r="N425" s="15"/>
    </row>
    <row r="426" spans="8:14" x14ac:dyDescent="0.2">
      <c r="H426" s="15"/>
      <c r="I426" s="15"/>
      <c r="J426" s="15"/>
      <c r="K426" s="15"/>
      <c r="L426" s="15"/>
      <c r="M426" s="15"/>
      <c r="N426" s="15"/>
    </row>
    <row r="427" spans="8:14" x14ac:dyDescent="0.2">
      <c r="H427" s="15"/>
      <c r="I427" s="15"/>
      <c r="J427" s="15"/>
      <c r="K427" s="15"/>
      <c r="L427" s="15"/>
      <c r="M427" s="15"/>
      <c r="N427" s="15"/>
    </row>
    <row r="428" spans="8:14" x14ac:dyDescent="0.2">
      <c r="H428" s="15"/>
      <c r="I428" s="15"/>
      <c r="J428" s="15"/>
      <c r="K428" s="15"/>
      <c r="L428" s="15"/>
      <c r="M428" s="15"/>
      <c r="N428" s="15"/>
    </row>
    <row r="429" spans="8:14" x14ac:dyDescent="0.2">
      <c r="H429" s="15"/>
      <c r="I429" s="15"/>
      <c r="J429" s="15"/>
      <c r="K429" s="15"/>
      <c r="L429" s="15"/>
      <c r="M429" s="15"/>
      <c r="N429" s="15"/>
    </row>
    <row r="430" spans="8:14" x14ac:dyDescent="0.2">
      <c r="H430" s="15"/>
      <c r="I430" s="15"/>
      <c r="J430" s="15"/>
      <c r="K430" s="15"/>
      <c r="L430" s="15"/>
      <c r="M430" s="15"/>
      <c r="N430" s="15"/>
    </row>
    <row r="431" spans="8:14" x14ac:dyDescent="0.2">
      <c r="H431" s="15"/>
      <c r="I431" s="15"/>
      <c r="J431" s="15"/>
      <c r="K431" s="15"/>
      <c r="L431" s="15"/>
      <c r="M431" s="15"/>
      <c r="N431" s="15"/>
    </row>
    <row r="432" spans="8:14" x14ac:dyDescent="0.2">
      <c r="H432" s="15"/>
      <c r="I432" s="15"/>
      <c r="J432" s="15"/>
      <c r="K432" s="15"/>
      <c r="L432" s="15"/>
      <c r="M432" s="15"/>
      <c r="N432" s="15"/>
    </row>
    <row r="433" spans="8:14" x14ac:dyDescent="0.2">
      <c r="H433" s="15"/>
      <c r="I433" s="15"/>
      <c r="J433" s="15"/>
      <c r="K433" s="15"/>
      <c r="L433" s="15"/>
      <c r="M433" s="15"/>
      <c r="N433" s="15"/>
    </row>
    <row r="434" spans="8:14" x14ac:dyDescent="0.2">
      <c r="H434" s="15"/>
      <c r="I434" s="15"/>
      <c r="J434" s="15"/>
      <c r="K434" s="15"/>
      <c r="L434" s="15"/>
      <c r="M434" s="15"/>
      <c r="N434" s="15"/>
    </row>
    <row r="435" spans="8:14" x14ac:dyDescent="0.2">
      <c r="H435" s="15"/>
      <c r="I435" s="15"/>
      <c r="J435" s="15"/>
      <c r="K435" s="15"/>
      <c r="L435" s="15"/>
      <c r="M435" s="15"/>
      <c r="N435" s="15"/>
    </row>
    <row r="436" spans="8:14" x14ac:dyDescent="0.2">
      <c r="H436" s="15"/>
      <c r="I436" s="15"/>
      <c r="J436" s="15"/>
      <c r="K436" s="15"/>
      <c r="L436" s="15"/>
      <c r="M436" s="15"/>
      <c r="N436" s="15"/>
    </row>
    <row r="437" spans="8:14" x14ac:dyDescent="0.2">
      <c r="H437" s="15"/>
      <c r="I437" s="15"/>
      <c r="J437" s="15"/>
      <c r="K437" s="15"/>
      <c r="L437" s="15"/>
      <c r="M437" s="15"/>
      <c r="N437" s="15"/>
    </row>
    <row r="438" spans="8:14" x14ac:dyDescent="0.2">
      <c r="H438" s="15"/>
      <c r="I438" s="15"/>
      <c r="J438" s="15"/>
      <c r="K438" s="15"/>
      <c r="L438" s="15"/>
      <c r="M438" s="15"/>
      <c r="N438" s="15"/>
    </row>
    <row r="439" spans="8:14" x14ac:dyDescent="0.2">
      <c r="H439" s="15"/>
      <c r="I439" s="15"/>
      <c r="J439" s="15"/>
      <c r="K439" s="15"/>
      <c r="L439" s="15"/>
      <c r="M439" s="15"/>
      <c r="N439" s="15"/>
    </row>
    <row r="440" spans="8:14" x14ac:dyDescent="0.2">
      <c r="H440" s="15"/>
      <c r="I440" s="15"/>
      <c r="J440" s="15"/>
      <c r="K440" s="15"/>
      <c r="L440" s="15"/>
      <c r="M440" s="15"/>
      <c r="N440" s="15"/>
    </row>
    <row r="441" spans="8:14" x14ac:dyDescent="0.2">
      <c r="H441" s="15"/>
      <c r="I441" s="15"/>
      <c r="J441" s="15"/>
      <c r="K441" s="15"/>
      <c r="L441" s="15"/>
      <c r="M441" s="15"/>
      <c r="N441" s="15"/>
    </row>
    <row r="442" spans="8:14" x14ac:dyDescent="0.2">
      <c r="H442" s="15"/>
      <c r="I442" s="15"/>
      <c r="J442" s="15"/>
      <c r="K442" s="15"/>
      <c r="L442" s="15"/>
      <c r="M442" s="15"/>
      <c r="N442" s="15"/>
    </row>
    <row r="443" spans="8:14" x14ac:dyDescent="0.2">
      <c r="H443" s="15"/>
      <c r="I443" s="15"/>
      <c r="J443" s="15"/>
      <c r="K443" s="15"/>
      <c r="L443" s="15"/>
      <c r="M443" s="15"/>
      <c r="N443" s="15"/>
    </row>
    <row r="444" spans="8:14" x14ac:dyDescent="0.2">
      <c r="H444" s="15"/>
      <c r="I444" s="15"/>
      <c r="J444" s="15"/>
      <c r="K444" s="15"/>
      <c r="L444" s="15"/>
      <c r="M444" s="15"/>
      <c r="N444" s="15"/>
    </row>
    <row r="445" spans="8:14" x14ac:dyDescent="0.2">
      <c r="H445" s="15"/>
      <c r="I445" s="15"/>
      <c r="J445" s="15"/>
      <c r="K445" s="15"/>
      <c r="L445" s="15"/>
      <c r="M445" s="15"/>
      <c r="N445" s="15"/>
    </row>
    <row r="446" spans="8:14" x14ac:dyDescent="0.2">
      <c r="H446" s="15"/>
      <c r="I446" s="15"/>
      <c r="J446" s="15"/>
      <c r="K446" s="15"/>
      <c r="L446" s="15"/>
      <c r="M446" s="15"/>
      <c r="N446" s="15"/>
    </row>
    <row r="447" spans="8:14" x14ac:dyDescent="0.2">
      <c r="H447" s="15"/>
      <c r="I447" s="15"/>
      <c r="J447" s="15"/>
      <c r="K447" s="15"/>
      <c r="L447" s="15"/>
      <c r="M447" s="15"/>
      <c r="N447" s="15"/>
    </row>
    <row r="448" spans="8:14" x14ac:dyDescent="0.2">
      <c r="H448" s="15"/>
      <c r="I448" s="15"/>
      <c r="J448" s="15"/>
      <c r="K448" s="15"/>
      <c r="L448" s="15"/>
      <c r="M448" s="15"/>
      <c r="N448" s="15"/>
    </row>
    <row r="449" spans="8:14" x14ac:dyDescent="0.2">
      <c r="H449" s="15"/>
      <c r="I449" s="15"/>
      <c r="J449" s="15"/>
      <c r="K449" s="15"/>
      <c r="L449" s="15"/>
      <c r="M449" s="15"/>
      <c r="N449" s="15"/>
    </row>
    <row r="450" spans="8:14" x14ac:dyDescent="0.2">
      <c r="H450" s="15"/>
      <c r="I450" s="15"/>
      <c r="J450" s="15"/>
      <c r="K450" s="15"/>
      <c r="L450" s="15"/>
      <c r="M450" s="15"/>
      <c r="N450" s="15"/>
    </row>
    <row r="451" spans="8:14" x14ac:dyDescent="0.2">
      <c r="H451" s="15"/>
      <c r="I451" s="15"/>
      <c r="J451" s="15"/>
      <c r="K451" s="15"/>
      <c r="L451" s="15"/>
      <c r="M451" s="15"/>
      <c r="N451" s="15"/>
    </row>
    <row r="452" spans="8:14" x14ac:dyDescent="0.2">
      <c r="H452" s="15"/>
      <c r="I452" s="15"/>
      <c r="J452" s="15"/>
      <c r="K452" s="15"/>
      <c r="L452" s="15"/>
      <c r="M452" s="15"/>
      <c r="N452" s="15"/>
    </row>
    <row r="453" spans="8:14" x14ac:dyDescent="0.2">
      <c r="H453" s="15"/>
      <c r="I453" s="15"/>
      <c r="J453" s="15"/>
      <c r="K453" s="15"/>
      <c r="L453" s="15"/>
      <c r="M453" s="15"/>
      <c r="N453" s="15"/>
    </row>
    <row r="454" spans="8:14" x14ac:dyDescent="0.2">
      <c r="H454" s="15"/>
      <c r="I454" s="15"/>
      <c r="J454" s="15"/>
      <c r="K454" s="15"/>
      <c r="L454" s="15"/>
      <c r="M454" s="15"/>
      <c r="N454" s="15"/>
    </row>
    <row r="455" spans="8:14" x14ac:dyDescent="0.2">
      <c r="H455" s="15"/>
      <c r="I455" s="15"/>
      <c r="J455" s="15"/>
      <c r="K455" s="15"/>
      <c r="L455" s="15"/>
      <c r="M455" s="15"/>
      <c r="N455" s="15"/>
    </row>
    <row r="456" spans="8:14" x14ac:dyDescent="0.2">
      <c r="H456" s="15"/>
      <c r="I456" s="15"/>
      <c r="J456" s="15"/>
      <c r="K456" s="15"/>
      <c r="L456" s="15"/>
      <c r="M456" s="15"/>
      <c r="N456" s="15"/>
    </row>
    <row r="457" spans="8:14" x14ac:dyDescent="0.2">
      <c r="H457" s="15"/>
      <c r="I457" s="15"/>
      <c r="J457" s="15"/>
      <c r="K457" s="15"/>
      <c r="L457" s="15"/>
      <c r="M457" s="15"/>
      <c r="N457" s="15"/>
    </row>
    <row r="458" spans="8:14" x14ac:dyDescent="0.2">
      <c r="H458" s="15"/>
      <c r="I458" s="15"/>
      <c r="J458" s="15"/>
      <c r="K458" s="15"/>
      <c r="L458" s="15"/>
      <c r="M458" s="15"/>
      <c r="N458" s="15"/>
    </row>
    <row r="459" spans="8:14" x14ac:dyDescent="0.2">
      <c r="H459" s="15"/>
      <c r="I459" s="15"/>
      <c r="J459" s="15"/>
      <c r="K459" s="15"/>
      <c r="L459" s="15"/>
      <c r="M459" s="15"/>
      <c r="N459" s="15"/>
    </row>
    <row r="460" spans="8:14" x14ac:dyDescent="0.2">
      <c r="H460" s="15"/>
      <c r="I460" s="15"/>
      <c r="J460" s="15"/>
      <c r="K460" s="15"/>
      <c r="L460" s="15"/>
      <c r="M460" s="15"/>
      <c r="N460" s="15"/>
    </row>
    <row r="461" spans="8:14" x14ac:dyDescent="0.2">
      <c r="H461" s="15"/>
      <c r="I461" s="15"/>
      <c r="J461" s="15"/>
      <c r="K461" s="15"/>
      <c r="L461" s="15"/>
      <c r="M461" s="15"/>
      <c r="N461" s="15"/>
    </row>
    <row r="462" spans="8:14" x14ac:dyDescent="0.2">
      <c r="H462" s="15"/>
      <c r="I462" s="15"/>
      <c r="J462" s="15"/>
      <c r="K462" s="15"/>
      <c r="L462" s="15"/>
      <c r="M462" s="15"/>
      <c r="N462" s="15"/>
    </row>
    <row r="463" spans="8:14" x14ac:dyDescent="0.2">
      <c r="H463" s="15"/>
      <c r="I463" s="15"/>
      <c r="J463" s="15"/>
      <c r="K463" s="15"/>
      <c r="L463" s="15"/>
      <c r="M463" s="15"/>
      <c r="N463" s="15"/>
    </row>
    <row r="464" spans="8:14" x14ac:dyDescent="0.2">
      <c r="H464" s="15"/>
      <c r="I464" s="15"/>
      <c r="J464" s="15"/>
      <c r="K464" s="15"/>
      <c r="L464" s="15"/>
      <c r="M464" s="15"/>
      <c r="N464" s="15"/>
    </row>
    <row r="465" spans="8:14" x14ac:dyDescent="0.2">
      <c r="H465" s="15"/>
      <c r="I465" s="15"/>
      <c r="J465" s="15"/>
      <c r="K465" s="15"/>
      <c r="L465" s="15"/>
      <c r="M465" s="15"/>
      <c r="N465" s="15"/>
    </row>
    <row r="466" spans="8:14" x14ac:dyDescent="0.2">
      <c r="H466" s="15"/>
      <c r="I466" s="15"/>
      <c r="J466" s="15"/>
      <c r="K466" s="15"/>
      <c r="L466" s="15"/>
      <c r="M466" s="15"/>
      <c r="N466" s="15"/>
    </row>
    <row r="467" spans="8:14" x14ac:dyDescent="0.2">
      <c r="H467" s="15"/>
      <c r="I467" s="15"/>
      <c r="J467" s="15"/>
      <c r="K467" s="15"/>
      <c r="L467" s="15"/>
      <c r="M467" s="15"/>
      <c r="N467" s="15"/>
    </row>
    <row r="468" spans="8:14" x14ac:dyDescent="0.2">
      <c r="H468" s="15"/>
      <c r="I468" s="15"/>
      <c r="J468" s="15"/>
      <c r="K468" s="15"/>
      <c r="L468" s="15"/>
      <c r="M468" s="15"/>
      <c r="N468" s="15"/>
    </row>
    <row r="469" spans="8:14" x14ac:dyDescent="0.2">
      <c r="H469" s="15"/>
      <c r="I469" s="15"/>
      <c r="J469" s="15"/>
      <c r="K469" s="15"/>
      <c r="L469" s="15"/>
      <c r="M469" s="15"/>
      <c r="N469" s="15"/>
    </row>
    <row r="470" spans="8:14" x14ac:dyDescent="0.2">
      <c r="H470" s="15"/>
      <c r="I470" s="15"/>
      <c r="J470" s="15"/>
      <c r="K470" s="15"/>
      <c r="L470" s="15"/>
      <c r="M470" s="15"/>
      <c r="N470" s="15"/>
    </row>
    <row r="471" spans="8:14" x14ac:dyDescent="0.2">
      <c r="H471" s="15"/>
      <c r="I471" s="15"/>
      <c r="J471" s="15"/>
      <c r="K471" s="15"/>
      <c r="L471" s="15"/>
      <c r="M471" s="15"/>
      <c r="N471" s="15"/>
    </row>
    <row r="472" spans="8:14" x14ac:dyDescent="0.2">
      <c r="H472" s="15"/>
      <c r="I472" s="15"/>
      <c r="J472" s="15"/>
      <c r="K472" s="15"/>
      <c r="L472" s="15"/>
      <c r="M472" s="15"/>
      <c r="N472" s="15"/>
    </row>
    <row r="473" spans="8:14" x14ac:dyDescent="0.2">
      <c r="H473" s="15"/>
      <c r="I473" s="15"/>
      <c r="J473" s="15"/>
      <c r="K473" s="15"/>
      <c r="L473" s="15"/>
      <c r="M473" s="15"/>
      <c r="N473" s="15"/>
    </row>
    <row r="474" spans="8:14" x14ac:dyDescent="0.2">
      <c r="H474" s="15"/>
      <c r="I474" s="15"/>
      <c r="J474" s="15"/>
      <c r="K474" s="15"/>
      <c r="L474" s="15"/>
      <c r="M474" s="15"/>
      <c r="N474" s="15"/>
    </row>
    <row r="475" spans="8:14" x14ac:dyDescent="0.2">
      <c r="H475" s="15"/>
      <c r="I475" s="15"/>
      <c r="J475" s="15"/>
      <c r="K475" s="15"/>
      <c r="L475" s="15"/>
      <c r="M475" s="15"/>
      <c r="N475" s="15"/>
    </row>
    <row r="476" spans="8:14" x14ac:dyDescent="0.2">
      <c r="H476" s="15"/>
      <c r="I476" s="15"/>
      <c r="J476" s="15"/>
      <c r="K476" s="15"/>
      <c r="L476" s="15"/>
      <c r="M476" s="15"/>
      <c r="N476" s="15"/>
    </row>
    <row r="477" spans="8:14" x14ac:dyDescent="0.2">
      <c r="H477" s="15"/>
      <c r="I477" s="15"/>
      <c r="J477" s="15"/>
      <c r="K477" s="15"/>
      <c r="L477" s="15"/>
      <c r="M477" s="15"/>
      <c r="N477" s="15"/>
    </row>
    <row r="478" spans="8:14" x14ac:dyDescent="0.2">
      <c r="H478" s="15"/>
      <c r="I478" s="15"/>
      <c r="J478" s="15"/>
      <c r="K478" s="15"/>
      <c r="L478" s="15"/>
      <c r="M478" s="15"/>
      <c r="N478" s="15"/>
    </row>
    <row r="479" spans="8:14" x14ac:dyDescent="0.2">
      <c r="H479" s="15"/>
      <c r="I479" s="15"/>
      <c r="J479" s="15"/>
      <c r="K479" s="15"/>
      <c r="L479" s="15"/>
      <c r="M479" s="15"/>
      <c r="N479" s="15"/>
    </row>
    <row r="480" spans="8:14" x14ac:dyDescent="0.2">
      <c r="H480" s="15"/>
      <c r="I480" s="15"/>
      <c r="J480" s="15"/>
      <c r="K480" s="15"/>
      <c r="L480" s="15"/>
      <c r="M480" s="15"/>
      <c r="N480" s="15"/>
    </row>
    <row r="481" spans="8:14" x14ac:dyDescent="0.2">
      <c r="H481" s="15"/>
      <c r="I481" s="15"/>
      <c r="J481" s="15"/>
      <c r="K481" s="15"/>
      <c r="L481" s="15"/>
      <c r="M481" s="15"/>
      <c r="N481" s="15"/>
    </row>
    <row r="482" spans="8:14" x14ac:dyDescent="0.2">
      <c r="H482" s="15"/>
      <c r="I482" s="15"/>
      <c r="J482" s="15"/>
      <c r="K482" s="15"/>
      <c r="L482" s="15"/>
      <c r="M482" s="15"/>
      <c r="N482" s="15"/>
    </row>
    <row r="483" spans="8:14" x14ac:dyDescent="0.2">
      <c r="H483" s="15"/>
      <c r="I483" s="15"/>
      <c r="J483" s="15"/>
      <c r="K483" s="15"/>
      <c r="L483" s="15"/>
      <c r="M483" s="15"/>
      <c r="N483" s="15"/>
    </row>
    <row r="484" spans="8:14" x14ac:dyDescent="0.2">
      <c r="H484" s="15"/>
      <c r="I484" s="15"/>
      <c r="J484" s="15"/>
      <c r="K484" s="15"/>
      <c r="L484" s="15"/>
      <c r="M484" s="15"/>
      <c r="N484" s="15"/>
    </row>
    <row r="485" spans="8:14" x14ac:dyDescent="0.2">
      <c r="H485" s="15"/>
      <c r="I485" s="15"/>
      <c r="J485" s="15"/>
      <c r="K485" s="15"/>
      <c r="L485" s="15"/>
      <c r="M485" s="15"/>
      <c r="N485" s="15"/>
    </row>
    <row r="486" spans="8:14" x14ac:dyDescent="0.2">
      <c r="H486" s="15"/>
      <c r="I486" s="15"/>
      <c r="J486" s="15"/>
      <c r="K486" s="15"/>
      <c r="L486" s="15"/>
      <c r="M486" s="15"/>
      <c r="N486" s="15"/>
    </row>
    <row r="487" spans="8:14" x14ac:dyDescent="0.2">
      <c r="H487" s="15"/>
      <c r="I487" s="15"/>
      <c r="J487" s="15"/>
      <c r="K487" s="15"/>
      <c r="L487" s="15"/>
      <c r="M487" s="15"/>
      <c r="N487" s="15"/>
    </row>
    <row r="488" spans="8:14" x14ac:dyDescent="0.2">
      <c r="H488" s="15"/>
      <c r="I488" s="15"/>
      <c r="J488" s="15"/>
      <c r="K488" s="15"/>
      <c r="L488" s="15"/>
      <c r="M488" s="15"/>
      <c r="N488" s="15"/>
    </row>
    <row r="489" spans="8:14" x14ac:dyDescent="0.2">
      <c r="H489" s="15"/>
      <c r="I489" s="15"/>
      <c r="J489" s="15"/>
      <c r="K489" s="15"/>
      <c r="L489" s="15"/>
      <c r="M489" s="15"/>
      <c r="N489" s="15"/>
    </row>
    <row r="490" spans="8:14" x14ac:dyDescent="0.2">
      <c r="H490" s="15"/>
      <c r="I490" s="15"/>
      <c r="J490" s="15"/>
      <c r="K490" s="15"/>
      <c r="L490" s="15"/>
      <c r="M490" s="15"/>
      <c r="N490" s="15"/>
    </row>
    <row r="491" spans="8:14" x14ac:dyDescent="0.2">
      <c r="H491" s="15"/>
      <c r="I491" s="15"/>
      <c r="J491" s="15"/>
      <c r="K491" s="15"/>
      <c r="L491" s="15"/>
      <c r="M491" s="15"/>
      <c r="N491" s="15"/>
    </row>
    <row r="492" spans="8:14" x14ac:dyDescent="0.2">
      <c r="H492" s="15"/>
      <c r="I492" s="15"/>
      <c r="J492" s="15"/>
      <c r="K492" s="15"/>
      <c r="L492" s="15"/>
      <c r="M492" s="15"/>
      <c r="N492" s="15"/>
    </row>
    <row r="493" spans="8:14" x14ac:dyDescent="0.2">
      <c r="H493" s="15"/>
      <c r="I493" s="15"/>
      <c r="J493" s="15"/>
      <c r="K493" s="15"/>
      <c r="L493" s="15"/>
      <c r="M493" s="15"/>
      <c r="N493" s="15"/>
    </row>
    <row r="494" spans="8:14" x14ac:dyDescent="0.2">
      <c r="H494" s="15"/>
      <c r="I494" s="15"/>
      <c r="J494" s="15"/>
      <c r="K494" s="15"/>
      <c r="L494" s="15"/>
      <c r="M494" s="15"/>
      <c r="N494" s="15"/>
    </row>
    <row r="495" spans="8:14" x14ac:dyDescent="0.2">
      <c r="H495" s="15"/>
      <c r="I495" s="15"/>
      <c r="J495" s="15"/>
      <c r="K495" s="15"/>
      <c r="L495" s="15"/>
      <c r="M495" s="15"/>
      <c r="N495" s="15"/>
    </row>
    <row r="496" spans="8:14" x14ac:dyDescent="0.2">
      <c r="H496" s="15"/>
      <c r="I496" s="15"/>
      <c r="J496" s="15"/>
      <c r="K496" s="15"/>
      <c r="L496" s="15"/>
      <c r="M496" s="15"/>
      <c r="N496" s="15"/>
    </row>
    <row r="497" spans="8:14" x14ac:dyDescent="0.2">
      <c r="H497" s="15"/>
      <c r="I497" s="15"/>
      <c r="J497" s="15"/>
      <c r="K497" s="15"/>
      <c r="L497" s="15"/>
      <c r="M497" s="15"/>
      <c r="N497" s="15"/>
    </row>
    <row r="498" spans="8:14" x14ac:dyDescent="0.2">
      <c r="H498" s="15"/>
      <c r="I498" s="15"/>
      <c r="J498" s="15"/>
      <c r="K498" s="15"/>
      <c r="L498" s="15"/>
      <c r="M498" s="15"/>
      <c r="N498" s="15"/>
    </row>
    <row r="499" spans="8:14" x14ac:dyDescent="0.2">
      <c r="H499" s="15"/>
      <c r="I499" s="15"/>
      <c r="J499" s="15"/>
      <c r="K499" s="15"/>
      <c r="L499" s="15"/>
      <c r="M499" s="15"/>
      <c r="N499" s="15"/>
    </row>
    <row r="500" spans="8:14" x14ac:dyDescent="0.2">
      <c r="H500" s="15"/>
      <c r="I500" s="15"/>
      <c r="J500" s="15"/>
      <c r="K500" s="15"/>
      <c r="L500" s="15"/>
      <c r="M500" s="15"/>
      <c r="N500" s="15"/>
    </row>
    <row r="501" spans="8:14" x14ac:dyDescent="0.2">
      <c r="H501" s="15"/>
      <c r="I501" s="15"/>
      <c r="J501" s="15"/>
      <c r="K501" s="15"/>
      <c r="L501" s="15"/>
      <c r="M501" s="15"/>
      <c r="N501" s="15"/>
    </row>
    <row r="502" spans="8:14" x14ac:dyDescent="0.2">
      <c r="H502" s="15"/>
      <c r="I502" s="15"/>
      <c r="J502" s="15"/>
      <c r="K502" s="15"/>
      <c r="L502" s="15"/>
      <c r="M502" s="15"/>
      <c r="N502" s="15"/>
    </row>
    <row r="503" spans="8:14" x14ac:dyDescent="0.2">
      <c r="H503" s="15"/>
      <c r="I503" s="15"/>
      <c r="J503" s="15"/>
      <c r="K503" s="15"/>
      <c r="L503" s="15"/>
      <c r="M503" s="15"/>
      <c r="N503" s="15"/>
    </row>
    <row r="504" spans="8:14" x14ac:dyDescent="0.2">
      <c r="H504" s="15"/>
      <c r="I504" s="15"/>
      <c r="J504" s="15"/>
      <c r="K504" s="15"/>
      <c r="L504" s="15"/>
      <c r="M504" s="15"/>
      <c r="N504" s="15"/>
    </row>
    <row r="505" spans="8:14" x14ac:dyDescent="0.2">
      <c r="H505" s="15"/>
      <c r="I505" s="15"/>
      <c r="J505" s="15"/>
      <c r="K505" s="15"/>
      <c r="L505" s="15"/>
      <c r="M505" s="15"/>
      <c r="N505" s="15"/>
    </row>
    <row r="506" spans="8:14" x14ac:dyDescent="0.2">
      <c r="H506" s="15"/>
      <c r="I506" s="15"/>
      <c r="J506" s="15"/>
      <c r="K506" s="15"/>
      <c r="L506" s="15"/>
      <c r="M506" s="15"/>
      <c r="N506" s="15"/>
    </row>
    <row r="507" spans="8:14" x14ac:dyDescent="0.2">
      <c r="H507" s="15"/>
      <c r="I507" s="15"/>
      <c r="J507" s="15"/>
      <c r="K507" s="15"/>
      <c r="L507" s="15"/>
      <c r="M507" s="15"/>
      <c r="N507" s="15"/>
    </row>
    <row r="508" spans="8:14" x14ac:dyDescent="0.2">
      <c r="H508" s="15"/>
      <c r="I508" s="15"/>
      <c r="J508" s="15"/>
      <c r="K508" s="15"/>
      <c r="L508" s="15"/>
      <c r="M508" s="15"/>
      <c r="N508" s="15"/>
    </row>
    <row r="509" spans="8:14" x14ac:dyDescent="0.2">
      <c r="H509" s="15"/>
      <c r="I509" s="15"/>
      <c r="J509" s="15"/>
      <c r="K509" s="15"/>
      <c r="L509" s="15"/>
      <c r="M509" s="15"/>
      <c r="N509" s="15"/>
    </row>
    <row r="510" spans="8:14" x14ac:dyDescent="0.2">
      <c r="H510" s="15"/>
      <c r="I510" s="15"/>
      <c r="J510" s="15"/>
      <c r="K510" s="15"/>
      <c r="L510" s="15"/>
      <c r="M510" s="15"/>
      <c r="N510" s="15"/>
    </row>
    <row r="511" spans="8:14" x14ac:dyDescent="0.2">
      <c r="H511" s="15"/>
      <c r="I511" s="15"/>
      <c r="J511" s="15"/>
      <c r="K511" s="15"/>
      <c r="L511" s="15"/>
      <c r="M511" s="15"/>
      <c r="N511" s="15"/>
    </row>
    <row r="512" spans="8:14" x14ac:dyDescent="0.2">
      <c r="H512" s="15"/>
      <c r="I512" s="15"/>
      <c r="J512" s="15"/>
      <c r="K512" s="15"/>
      <c r="L512" s="15"/>
      <c r="M512" s="15"/>
      <c r="N512" s="15"/>
    </row>
    <row r="513" spans="8:14" x14ac:dyDescent="0.2">
      <c r="H513" s="15"/>
      <c r="I513" s="15"/>
      <c r="J513" s="15"/>
      <c r="K513" s="15"/>
      <c r="L513" s="15"/>
      <c r="M513" s="15"/>
      <c r="N513" s="15"/>
    </row>
    <row r="514" spans="8:14" x14ac:dyDescent="0.2">
      <c r="H514" s="15"/>
      <c r="I514" s="15"/>
      <c r="J514" s="15"/>
      <c r="K514" s="15"/>
      <c r="L514" s="15"/>
      <c r="M514" s="15"/>
      <c r="N514" s="15"/>
    </row>
    <row r="515" spans="8:14" x14ac:dyDescent="0.2">
      <c r="H515" s="15"/>
      <c r="I515" s="15"/>
      <c r="J515" s="15"/>
      <c r="K515" s="15"/>
      <c r="L515" s="15"/>
      <c r="M515" s="15"/>
      <c r="N515" s="15"/>
    </row>
    <row r="516" spans="8:14" x14ac:dyDescent="0.2">
      <c r="H516" s="15"/>
      <c r="I516" s="15"/>
      <c r="J516" s="15"/>
      <c r="K516" s="15"/>
      <c r="L516" s="15"/>
      <c r="M516" s="15"/>
      <c r="N516" s="15"/>
    </row>
    <row r="517" spans="8:14" x14ac:dyDescent="0.2">
      <c r="H517" s="15"/>
      <c r="I517" s="15"/>
      <c r="J517" s="15"/>
      <c r="K517" s="15"/>
      <c r="L517" s="15"/>
      <c r="M517" s="15"/>
      <c r="N517" s="15"/>
    </row>
    <row r="518" spans="8:14" x14ac:dyDescent="0.2">
      <c r="H518" s="15"/>
      <c r="I518" s="15"/>
      <c r="J518" s="15"/>
      <c r="K518" s="15"/>
      <c r="L518" s="15"/>
      <c r="M518" s="15"/>
      <c r="N518" s="15"/>
    </row>
    <row r="519" spans="8:14" x14ac:dyDescent="0.2">
      <c r="H519" s="15"/>
      <c r="I519" s="15"/>
      <c r="J519" s="15"/>
      <c r="K519" s="15"/>
      <c r="L519" s="15"/>
      <c r="M519" s="15"/>
      <c r="N519" s="15"/>
    </row>
    <row r="520" spans="8:14" x14ac:dyDescent="0.2">
      <c r="H520" s="15"/>
      <c r="I520" s="15"/>
      <c r="J520" s="15"/>
      <c r="K520" s="15"/>
      <c r="L520" s="15"/>
      <c r="M520" s="15"/>
      <c r="N520" s="15"/>
    </row>
    <row r="521" spans="8:14" x14ac:dyDescent="0.2">
      <c r="H521" s="15"/>
      <c r="I521" s="15"/>
      <c r="J521" s="15"/>
      <c r="K521" s="15"/>
      <c r="L521" s="15"/>
      <c r="M521" s="15"/>
      <c r="N521" s="15"/>
    </row>
    <row r="522" spans="8:14" x14ac:dyDescent="0.2">
      <c r="H522" s="15"/>
      <c r="I522" s="15"/>
      <c r="J522" s="15"/>
      <c r="K522" s="15"/>
      <c r="L522" s="15"/>
      <c r="M522" s="15"/>
      <c r="N522" s="15"/>
    </row>
    <row r="523" spans="8:14" x14ac:dyDescent="0.2">
      <c r="H523" s="15"/>
      <c r="I523" s="15"/>
      <c r="J523" s="15"/>
      <c r="K523" s="15"/>
      <c r="L523" s="15"/>
      <c r="M523" s="15"/>
      <c r="N523" s="15"/>
    </row>
    <row r="524" spans="8:14" x14ac:dyDescent="0.2">
      <c r="H524" s="15"/>
      <c r="I524" s="15"/>
      <c r="J524" s="15"/>
      <c r="K524" s="15"/>
      <c r="L524" s="15"/>
      <c r="M524" s="15"/>
      <c r="N524" s="15"/>
    </row>
    <row r="525" spans="8:14" x14ac:dyDescent="0.2">
      <c r="H525" s="15"/>
      <c r="I525" s="15"/>
      <c r="J525" s="15"/>
      <c r="K525" s="15"/>
      <c r="L525" s="15"/>
      <c r="M525" s="15"/>
      <c r="N525" s="15"/>
    </row>
    <row r="526" spans="8:14" x14ac:dyDescent="0.2">
      <c r="H526" s="15"/>
      <c r="I526" s="15"/>
      <c r="J526" s="15"/>
      <c r="K526" s="15"/>
      <c r="L526" s="15"/>
      <c r="M526" s="15"/>
      <c r="N526" s="15"/>
    </row>
    <row r="527" spans="8:14" x14ac:dyDescent="0.2">
      <c r="H527" s="15"/>
      <c r="I527" s="15"/>
      <c r="J527" s="15"/>
      <c r="K527" s="15"/>
      <c r="L527" s="15"/>
      <c r="M527" s="15"/>
      <c r="N527" s="15"/>
    </row>
    <row r="528" spans="8:14" x14ac:dyDescent="0.2">
      <c r="H528" s="15"/>
      <c r="I528" s="15"/>
      <c r="J528" s="15"/>
      <c r="K528" s="15"/>
      <c r="L528" s="15"/>
      <c r="M528" s="15"/>
      <c r="N528" s="15"/>
    </row>
    <row r="529" spans="8:14" x14ac:dyDescent="0.2">
      <c r="H529" s="15"/>
      <c r="I529" s="15"/>
      <c r="J529" s="15"/>
      <c r="K529" s="15"/>
      <c r="L529" s="15"/>
      <c r="M529" s="15"/>
      <c r="N529" s="15"/>
    </row>
    <row r="530" spans="8:14" x14ac:dyDescent="0.2">
      <c r="H530" s="15"/>
      <c r="I530" s="15"/>
      <c r="J530" s="15"/>
      <c r="K530" s="15"/>
      <c r="L530" s="15"/>
      <c r="M530" s="15"/>
      <c r="N530" s="15"/>
    </row>
    <row r="531" spans="8:14" x14ac:dyDescent="0.2">
      <c r="H531" s="15"/>
      <c r="I531" s="15"/>
      <c r="J531" s="15"/>
      <c r="K531" s="15"/>
      <c r="L531" s="15"/>
      <c r="M531" s="15"/>
      <c r="N531" s="15"/>
    </row>
    <row r="532" spans="8:14" x14ac:dyDescent="0.2">
      <c r="H532" s="15"/>
      <c r="I532" s="15"/>
      <c r="J532" s="15"/>
      <c r="K532" s="15"/>
      <c r="L532" s="15"/>
      <c r="M532" s="15"/>
      <c r="N532" s="15"/>
    </row>
    <row r="533" spans="8:14" x14ac:dyDescent="0.2">
      <c r="H533" s="15"/>
      <c r="I533" s="15"/>
      <c r="J533" s="15"/>
      <c r="K533" s="15"/>
      <c r="L533" s="15"/>
      <c r="M533" s="15"/>
      <c r="N533" s="15"/>
    </row>
    <row r="534" spans="8:14" x14ac:dyDescent="0.2">
      <c r="H534" s="15"/>
      <c r="I534" s="15"/>
      <c r="J534" s="15"/>
      <c r="K534" s="15"/>
      <c r="L534" s="15"/>
      <c r="M534" s="15"/>
      <c r="N534" s="15"/>
    </row>
    <row r="535" spans="8:14" x14ac:dyDescent="0.2">
      <c r="H535" s="15"/>
      <c r="I535" s="15"/>
      <c r="J535" s="15"/>
      <c r="K535" s="15"/>
      <c r="L535" s="15"/>
      <c r="M535" s="15"/>
      <c r="N535" s="15"/>
    </row>
    <row r="536" spans="8:14" x14ac:dyDescent="0.2">
      <c r="H536" s="15"/>
      <c r="I536" s="15"/>
      <c r="J536" s="15"/>
      <c r="K536" s="15"/>
      <c r="L536" s="15"/>
      <c r="M536" s="15"/>
      <c r="N536" s="15"/>
    </row>
    <row r="537" spans="8:14" x14ac:dyDescent="0.2">
      <c r="H537" s="15"/>
      <c r="I537" s="15"/>
      <c r="J537" s="15"/>
      <c r="K537" s="15"/>
      <c r="L537" s="15"/>
      <c r="M537" s="15"/>
      <c r="N537" s="15"/>
    </row>
    <row r="538" spans="8:14" x14ac:dyDescent="0.2">
      <c r="H538" s="15"/>
      <c r="I538" s="15"/>
      <c r="J538" s="15"/>
      <c r="K538" s="15"/>
      <c r="L538" s="15"/>
      <c r="M538" s="15"/>
      <c r="N538" s="15"/>
    </row>
    <row r="539" spans="8:14" x14ac:dyDescent="0.2">
      <c r="H539" s="15"/>
      <c r="I539" s="15"/>
      <c r="J539" s="15"/>
      <c r="K539" s="15"/>
      <c r="L539" s="15"/>
      <c r="M539" s="15"/>
      <c r="N539" s="15"/>
    </row>
    <row r="540" spans="8:14" x14ac:dyDescent="0.2">
      <c r="H540" s="15"/>
      <c r="I540" s="15"/>
      <c r="J540" s="15"/>
      <c r="K540" s="15"/>
      <c r="L540" s="15"/>
      <c r="M540" s="15"/>
      <c r="N540" s="15"/>
    </row>
    <row r="541" spans="8:14" x14ac:dyDescent="0.2">
      <c r="H541" s="15"/>
      <c r="I541" s="15"/>
      <c r="J541" s="15"/>
      <c r="K541" s="15"/>
      <c r="L541" s="15"/>
      <c r="M541" s="15"/>
      <c r="N541" s="15"/>
    </row>
    <row r="542" spans="8:14" x14ac:dyDescent="0.2">
      <c r="H542" s="15"/>
      <c r="I542" s="15"/>
      <c r="J542" s="15"/>
      <c r="K542" s="15"/>
      <c r="L542" s="15"/>
      <c r="M542" s="15"/>
      <c r="N542" s="15"/>
    </row>
    <row r="543" spans="8:14" x14ac:dyDescent="0.2">
      <c r="H543" s="15"/>
      <c r="I543" s="15"/>
      <c r="J543" s="15"/>
      <c r="K543" s="15"/>
      <c r="L543" s="15"/>
      <c r="M543" s="15"/>
      <c r="N543" s="15"/>
    </row>
    <row r="544" spans="8:14" x14ac:dyDescent="0.2">
      <c r="H544" s="15"/>
      <c r="I544" s="15"/>
      <c r="J544" s="15"/>
      <c r="K544" s="15"/>
      <c r="L544" s="15"/>
      <c r="M544" s="15"/>
      <c r="N544" s="15"/>
    </row>
    <row r="545" spans="8:14" x14ac:dyDescent="0.2">
      <c r="H545" s="15"/>
      <c r="I545" s="15"/>
      <c r="J545" s="15"/>
      <c r="K545" s="15"/>
      <c r="L545" s="15"/>
      <c r="M545" s="15"/>
      <c r="N545" s="15"/>
    </row>
    <row r="546" spans="8:14" x14ac:dyDescent="0.2">
      <c r="H546" s="15"/>
      <c r="I546" s="15"/>
      <c r="J546" s="15"/>
      <c r="K546" s="15"/>
      <c r="L546" s="15"/>
      <c r="M546" s="15"/>
      <c r="N546" s="15"/>
    </row>
    <row r="547" spans="8:14" x14ac:dyDescent="0.2">
      <c r="H547" s="15"/>
      <c r="I547" s="15"/>
      <c r="J547" s="15"/>
      <c r="K547" s="15"/>
      <c r="L547" s="15"/>
      <c r="M547" s="15"/>
      <c r="N547" s="15"/>
    </row>
    <row r="548" spans="8:14" x14ac:dyDescent="0.2">
      <c r="H548" s="15"/>
      <c r="I548" s="15"/>
      <c r="J548" s="15"/>
      <c r="K548" s="15"/>
      <c r="L548" s="15"/>
      <c r="M548" s="15"/>
      <c r="N548" s="15"/>
    </row>
    <row r="549" spans="8:14" x14ac:dyDescent="0.2">
      <c r="H549" s="15"/>
      <c r="I549" s="15"/>
      <c r="J549" s="15"/>
      <c r="K549" s="15"/>
      <c r="L549" s="15"/>
      <c r="M549" s="15"/>
      <c r="N549" s="15"/>
    </row>
    <row r="550" spans="8:14" x14ac:dyDescent="0.2">
      <c r="H550" s="15"/>
      <c r="I550" s="15"/>
      <c r="J550" s="15"/>
      <c r="K550" s="15"/>
      <c r="L550" s="15"/>
      <c r="M550" s="15"/>
      <c r="N550" s="15"/>
    </row>
    <row r="551" spans="8:14" x14ac:dyDescent="0.2">
      <c r="H551" s="15"/>
      <c r="I551" s="15"/>
      <c r="J551" s="15"/>
      <c r="K551" s="15"/>
      <c r="L551" s="15"/>
      <c r="M551" s="15"/>
      <c r="N551" s="15"/>
    </row>
    <row r="552" spans="8:14" x14ac:dyDescent="0.2">
      <c r="H552" s="15"/>
      <c r="I552" s="15"/>
      <c r="J552" s="15"/>
      <c r="K552" s="15"/>
      <c r="L552" s="15"/>
      <c r="M552" s="15"/>
      <c r="N552" s="15"/>
    </row>
    <row r="553" spans="8:14" x14ac:dyDescent="0.2">
      <c r="H553" s="15"/>
      <c r="I553" s="15"/>
      <c r="J553" s="15"/>
      <c r="K553" s="15"/>
      <c r="L553" s="15"/>
      <c r="M553" s="15"/>
      <c r="N553" s="15"/>
    </row>
    <row r="554" spans="8:14" x14ac:dyDescent="0.2">
      <c r="H554" s="15"/>
      <c r="I554" s="15"/>
      <c r="J554" s="15"/>
      <c r="K554" s="15"/>
      <c r="L554" s="15"/>
      <c r="M554" s="15"/>
      <c r="N554" s="15"/>
    </row>
    <row r="555" spans="8:14" x14ac:dyDescent="0.2">
      <c r="H555" s="15"/>
      <c r="I555" s="15"/>
      <c r="J555" s="15"/>
      <c r="K555" s="15"/>
      <c r="L555" s="15"/>
      <c r="M555" s="15"/>
      <c r="N555" s="15"/>
    </row>
    <row r="556" spans="8:14" x14ac:dyDescent="0.2">
      <c r="H556" s="15"/>
      <c r="I556" s="15"/>
      <c r="J556" s="15"/>
      <c r="K556" s="15"/>
      <c r="L556" s="15"/>
      <c r="M556" s="15"/>
      <c r="N556" s="15"/>
    </row>
    <row r="557" spans="8:14" x14ac:dyDescent="0.2">
      <c r="H557" s="15"/>
      <c r="I557" s="15"/>
      <c r="J557" s="15"/>
      <c r="K557" s="15"/>
      <c r="L557" s="15"/>
      <c r="M557" s="15"/>
      <c r="N557" s="15"/>
    </row>
    <row r="558" spans="8:14" x14ac:dyDescent="0.2">
      <c r="H558" s="15"/>
      <c r="I558" s="15"/>
      <c r="J558" s="15"/>
      <c r="K558" s="15"/>
      <c r="L558" s="15"/>
      <c r="M558" s="15"/>
      <c r="N558" s="15"/>
    </row>
    <row r="559" spans="8:14" x14ac:dyDescent="0.2">
      <c r="H559" s="15"/>
      <c r="I559" s="15"/>
      <c r="J559" s="15"/>
      <c r="K559" s="15"/>
      <c r="L559" s="15"/>
      <c r="M559" s="15"/>
      <c r="N559" s="15"/>
    </row>
    <row r="560" spans="8:14" x14ac:dyDescent="0.2">
      <c r="H560" s="15"/>
      <c r="I560" s="15"/>
      <c r="J560" s="15"/>
      <c r="K560" s="15"/>
      <c r="L560" s="15"/>
      <c r="M560" s="15"/>
      <c r="N560" s="15"/>
    </row>
    <row r="561" spans="8:14" x14ac:dyDescent="0.2">
      <c r="H561" s="15"/>
      <c r="I561" s="15"/>
      <c r="J561" s="15"/>
      <c r="K561" s="15"/>
      <c r="L561" s="15"/>
      <c r="M561" s="15"/>
      <c r="N561" s="15"/>
    </row>
    <row r="562" spans="8:14" x14ac:dyDescent="0.2">
      <c r="H562" s="15"/>
      <c r="I562" s="15"/>
      <c r="J562" s="15"/>
      <c r="K562" s="15"/>
      <c r="L562" s="15"/>
      <c r="M562" s="15"/>
      <c r="N562" s="15"/>
    </row>
    <row r="563" spans="8:14" x14ac:dyDescent="0.2">
      <c r="H563" s="15"/>
      <c r="I563" s="15"/>
      <c r="J563" s="15"/>
      <c r="K563" s="15"/>
      <c r="L563" s="15"/>
      <c r="M563" s="15"/>
      <c r="N563" s="15"/>
    </row>
    <row r="564" spans="8:14" x14ac:dyDescent="0.2">
      <c r="H564" s="15"/>
      <c r="I564" s="15"/>
      <c r="J564" s="15"/>
      <c r="K564" s="15"/>
      <c r="L564" s="15"/>
      <c r="M564" s="15"/>
      <c r="N564" s="15"/>
    </row>
    <row r="565" spans="8:14" x14ac:dyDescent="0.2">
      <c r="H565" s="15"/>
      <c r="I565" s="15"/>
      <c r="J565" s="15"/>
      <c r="K565" s="15"/>
      <c r="L565" s="15"/>
      <c r="M565" s="15"/>
      <c r="N565" s="15"/>
    </row>
    <row r="566" spans="8:14" x14ac:dyDescent="0.2">
      <c r="H566" s="15"/>
      <c r="I566" s="15"/>
      <c r="J566" s="15"/>
      <c r="K566" s="15"/>
      <c r="L566" s="15"/>
      <c r="M566" s="15"/>
      <c r="N566" s="15"/>
    </row>
    <row r="567" spans="8:14" x14ac:dyDescent="0.2">
      <c r="H567" s="15"/>
      <c r="I567" s="15"/>
      <c r="J567" s="15"/>
      <c r="K567" s="15"/>
      <c r="L567" s="15"/>
      <c r="M567" s="15"/>
      <c r="N567" s="15"/>
    </row>
    <row r="568" spans="8:14" x14ac:dyDescent="0.2">
      <c r="H568" s="15"/>
      <c r="I568" s="15"/>
      <c r="J568" s="15"/>
      <c r="K568" s="15"/>
      <c r="L568" s="15"/>
      <c r="M568" s="15"/>
      <c r="N568" s="15"/>
    </row>
    <row r="569" spans="8:14" x14ac:dyDescent="0.2">
      <c r="H569" s="15"/>
      <c r="I569" s="15"/>
      <c r="J569" s="15"/>
      <c r="K569" s="15"/>
      <c r="L569" s="15"/>
      <c r="M569" s="15"/>
      <c r="N569" s="15"/>
    </row>
    <row r="570" spans="8:14" x14ac:dyDescent="0.2">
      <c r="H570" s="15"/>
      <c r="I570" s="15"/>
      <c r="J570" s="15"/>
      <c r="K570" s="15"/>
      <c r="L570" s="15"/>
      <c r="M570" s="15"/>
      <c r="N570" s="15"/>
    </row>
    <row r="571" spans="8:14" x14ac:dyDescent="0.2">
      <c r="H571" s="15"/>
      <c r="I571" s="15"/>
      <c r="J571" s="15"/>
      <c r="K571" s="15"/>
      <c r="L571" s="15"/>
      <c r="M571" s="15"/>
      <c r="N571" s="15"/>
    </row>
    <row r="572" spans="8:14" x14ac:dyDescent="0.2">
      <c r="H572" s="15"/>
      <c r="I572" s="15"/>
      <c r="J572" s="15"/>
      <c r="K572" s="15"/>
      <c r="L572" s="15"/>
      <c r="M572" s="15"/>
      <c r="N572" s="15"/>
    </row>
    <row r="573" spans="8:14" x14ac:dyDescent="0.2">
      <c r="H573" s="15"/>
      <c r="I573" s="15"/>
      <c r="J573" s="15"/>
      <c r="K573" s="15"/>
      <c r="L573" s="15"/>
      <c r="M573" s="15"/>
      <c r="N573" s="15"/>
    </row>
    <row r="574" spans="8:14" x14ac:dyDescent="0.2">
      <c r="H574" s="15"/>
      <c r="I574" s="15"/>
      <c r="J574" s="15"/>
      <c r="K574" s="15"/>
      <c r="L574" s="15"/>
      <c r="M574" s="15"/>
      <c r="N574" s="15"/>
    </row>
    <row r="575" spans="8:14" x14ac:dyDescent="0.2">
      <c r="H575" s="15"/>
      <c r="I575" s="15"/>
      <c r="J575" s="15"/>
      <c r="K575" s="15"/>
      <c r="L575" s="15"/>
      <c r="M575" s="15"/>
      <c r="N575" s="15"/>
    </row>
    <row r="576" spans="8:14" x14ac:dyDescent="0.2">
      <c r="H576" s="15"/>
      <c r="I576" s="15"/>
      <c r="J576" s="15"/>
      <c r="K576" s="15"/>
      <c r="L576" s="15"/>
      <c r="M576" s="15"/>
      <c r="N576" s="15"/>
    </row>
    <row r="577" spans="8:14" x14ac:dyDescent="0.2">
      <c r="H577" s="15"/>
      <c r="I577" s="15"/>
      <c r="J577" s="15"/>
      <c r="K577" s="15"/>
      <c r="L577" s="15"/>
      <c r="M577" s="15"/>
      <c r="N577" s="15"/>
    </row>
    <row r="578" spans="8:14" x14ac:dyDescent="0.2">
      <c r="H578" s="15"/>
      <c r="I578" s="15"/>
      <c r="J578" s="15"/>
      <c r="K578" s="15"/>
      <c r="L578" s="15"/>
      <c r="M578" s="15"/>
      <c r="N578" s="15"/>
    </row>
    <row r="579" spans="8:14" x14ac:dyDescent="0.2">
      <c r="H579" s="15"/>
      <c r="I579" s="15"/>
      <c r="J579" s="15"/>
      <c r="K579" s="15"/>
      <c r="L579" s="15"/>
      <c r="M579" s="15"/>
      <c r="N579" s="15"/>
    </row>
    <row r="580" spans="8:14" x14ac:dyDescent="0.2">
      <c r="H580" s="15"/>
      <c r="I580" s="15"/>
      <c r="J580" s="15"/>
      <c r="K580" s="15"/>
      <c r="L580" s="15"/>
      <c r="M580" s="15"/>
      <c r="N580" s="15"/>
    </row>
    <row r="581" spans="8:14" x14ac:dyDescent="0.2">
      <c r="H581" s="15"/>
      <c r="I581" s="15"/>
      <c r="J581" s="15"/>
      <c r="K581" s="15"/>
      <c r="L581" s="15"/>
      <c r="M581" s="15"/>
      <c r="N581" s="15"/>
    </row>
    <row r="582" spans="8:14" x14ac:dyDescent="0.2">
      <c r="H582" s="15"/>
      <c r="I582" s="15"/>
      <c r="J582" s="15"/>
      <c r="K582" s="15"/>
      <c r="L582" s="15"/>
      <c r="M582" s="15"/>
      <c r="N582" s="15"/>
    </row>
    <row r="583" spans="8:14" x14ac:dyDescent="0.2">
      <c r="H583" s="15"/>
      <c r="I583" s="15"/>
      <c r="J583" s="15"/>
      <c r="K583" s="15"/>
      <c r="L583" s="15"/>
      <c r="M583" s="15"/>
      <c r="N583" s="15"/>
    </row>
    <row r="584" spans="8:14" x14ac:dyDescent="0.2">
      <c r="H584" s="15"/>
      <c r="I584" s="15"/>
      <c r="J584" s="15"/>
      <c r="K584" s="15"/>
      <c r="L584" s="15"/>
      <c r="M584" s="15"/>
      <c r="N584" s="15"/>
    </row>
    <row r="585" spans="8:14" x14ac:dyDescent="0.2">
      <c r="H585" s="15"/>
      <c r="I585" s="15"/>
      <c r="J585" s="15"/>
      <c r="K585" s="15"/>
      <c r="L585" s="15"/>
      <c r="M585" s="15"/>
      <c r="N585" s="15"/>
    </row>
    <row r="586" spans="8:14" x14ac:dyDescent="0.2">
      <c r="H586" s="15"/>
      <c r="I586" s="15"/>
      <c r="J586" s="15"/>
      <c r="K586" s="15"/>
      <c r="L586" s="15"/>
      <c r="M586" s="15"/>
      <c r="N586" s="15"/>
    </row>
    <row r="587" spans="8:14" x14ac:dyDescent="0.2">
      <c r="H587" s="15"/>
      <c r="I587" s="15"/>
      <c r="J587" s="15"/>
      <c r="K587" s="15"/>
      <c r="L587" s="15"/>
      <c r="M587" s="15"/>
      <c r="N587" s="15"/>
    </row>
    <row r="588" spans="8:14" x14ac:dyDescent="0.2">
      <c r="H588" s="15"/>
      <c r="I588" s="15"/>
      <c r="J588" s="15"/>
      <c r="K588" s="15"/>
      <c r="L588" s="15"/>
      <c r="M588" s="15"/>
      <c r="N588" s="15"/>
    </row>
    <row r="589" spans="8:14" x14ac:dyDescent="0.2">
      <c r="H589" s="15"/>
      <c r="I589" s="15"/>
      <c r="J589" s="15"/>
      <c r="K589" s="15"/>
      <c r="L589" s="15"/>
      <c r="M589" s="15"/>
      <c r="N589" s="15"/>
    </row>
    <row r="590" spans="8:14" x14ac:dyDescent="0.2">
      <c r="H590" s="15"/>
      <c r="I590" s="15"/>
      <c r="J590" s="15"/>
      <c r="K590" s="15"/>
      <c r="L590" s="15"/>
      <c r="M590" s="15"/>
      <c r="N590" s="15"/>
    </row>
    <row r="591" spans="8:14" x14ac:dyDescent="0.2">
      <c r="H591" s="15"/>
      <c r="I591" s="15"/>
      <c r="J591" s="15"/>
      <c r="K591" s="15"/>
      <c r="L591" s="15"/>
      <c r="M591" s="15"/>
      <c r="N591" s="15"/>
    </row>
    <row r="592" spans="8:14" x14ac:dyDescent="0.2">
      <c r="H592" s="15"/>
      <c r="I592" s="15"/>
      <c r="J592" s="15"/>
      <c r="K592" s="15"/>
      <c r="L592" s="15"/>
      <c r="M592" s="15"/>
      <c r="N592" s="15"/>
    </row>
    <row r="593" spans="8:14" x14ac:dyDescent="0.2">
      <c r="H593" s="15"/>
      <c r="I593" s="15"/>
      <c r="J593" s="15"/>
      <c r="K593" s="15"/>
      <c r="L593" s="15"/>
      <c r="M593" s="15"/>
      <c r="N593" s="15"/>
    </row>
    <row r="594" spans="8:14" x14ac:dyDescent="0.2">
      <c r="H594" s="15"/>
      <c r="I594" s="15"/>
      <c r="J594" s="15"/>
      <c r="K594" s="15"/>
      <c r="L594" s="15"/>
      <c r="M594" s="15"/>
      <c r="N594" s="15"/>
    </row>
    <row r="595" spans="8:14" x14ac:dyDescent="0.2">
      <c r="H595" s="15"/>
      <c r="I595" s="15"/>
      <c r="J595" s="15"/>
      <c r="K595" s="15"/>
      <c r="L595" s="15"/>
      <c r="M595" s="15"/>
      <c r="N595" s="15"/>
    </row>
    <row r="596" spans="8:14" x14ac:dyDescent="0.2">
      <c r="H596" s="15"/>
      <c r="I596" s="15"/>
      <c r="J596" s="15"/>
      <c r="K596" s="15"/>
      <c r="L596" s="15"/>
      <c r="M596" s="15"/>
      <c r="N596" s="15"/>
    </row>
    <row r="597" spans="8:14" x14ac:dyDescent="0.2">
      <c r="H597" s="15"/>
      <c r="I597" s="15"/>
      <c r="J597" s="15"/>
      <c r="K597" s="15"/>
      <c r="L597" s="15"/>
      <c r="M597" s="15"/>
      <c r="N597" s="15"/>
    </row>
    <row r="598" spans="8:14" x14ac:dyDescent="0.2">
      <c r="H598" s="15"/>
      <c r="I598" s="15"/>
      <c r="J598" s="15"/>
      <c r="K598" s="15"/>
      <c r="L598" s="15"/>
      <c r="M598" s="15"/>
      <c r="N598" s="15"/>
    </row>
    <row r="599" spans="8:14" x14ac:dyDescent="0.2">
      <c r="H599" s="15"/>
      <c r="I599" s="15"/>
      <c r="J599" s="15"/>
      <c r="K599" s="15"/>
      <c r="L599" s="15"/>
      <c r="M599" s="15"/>
      <c r="N599" s="15"/>
    </row>
    <row r="600" spans="8:14" x14ac:dyDescent="0.2">
      <c r="H600" s="15"/>
      <c r="I600" s="15"/>
      <c r="J600" s="15"/>
      <c r="K600" s="15"/>
      <c r="L600" s="15"/>
      <c r="M600" s="15"/>
      <c r="N600" s="15"/>
    </row>
    <row r="601" spans="8:14" x14ac:dyDescent="0.2">
      <c r="H601" s="15"/>
      <c r="I601" s="15"/>
      <c r="J601" s="15"/>
      <c r="K601" s="15"/>
      <c r="L601" s="15"/>
      <c r="M601" s="15"/>
      <c r="N601" s="15"/>
    </row>
    <row r="602" spans="8:14" x14ac:dyDescent="0.2">
      <c r="H602" s="15"/>
      <c r="I602" s="15"/>
      <c r="J602" s="15"/>
      <c r="K602" s="15"/>
      <c r="L602" s="15"/>
      <c r="M602" s="15"/>
      <c r="N602" s="15"/>
    </row>
    <row r="603" spans="8:14" x14ac:dyDescent="0.2">
      <c r="H603" s="15"/>
      <c r="I603" s="15"/>
      <c r="J603" s="15"/>
      <c r="K603" s="15"/>
      <c r="L603" s="15"/>
      <c r="M603" s="15"/>
      <c r="N603" s="15"/>
    </row>
    <row r="604" spans="8:14" x14ac:dyDescent="0.2">
      <c r="H604" s="15"/>
      <c r="I604" s="15"/>
      <c r="J604" s="15"/>
      <c r="K604" s="15"/>
      <c r="L604" s="15"/>
      <c r="M604" s="15"/>
      <c r="N604" s="15"/>
    </row>
    <row r="605" spans="8:14" x14ac:dyDescent="0.2">
      <c r="H605" s="15"/>
      <c r="I605" s="15"/>
      <c r="J605" s="15"/>
      <c r="K605" s="15"/>
      <c r="L605" s="15"/>
      <c r="M605" s="15"/>
      <c r="N605" s="15"/>
    </row>
    <row r="606" spans="8:14" x14ac:dyDescent="0.2">
      <c r="H606" s="15"/>
      <c r="I606" s="15"/>
      <c r="J606" s="15"/>
      <c r="K606" s="15"/>
      <c r="L606" s="15"/>
      <c r="M606" s="15"/>
      <c r="N606" s="15"/>
    </row>
    <row r="607" spans="8:14" x14ac:dyDescent="0.2">
      <c r="H607" s="15"/>
      <c r="I607" s="15"/>
      <c r="J607" s="15"/>
      <c r="K607" s="15"/>
      <c r="L607" s="15"/>
      <c r="M607" s="15"/>
      <c r="N607" s="15"/>
    </row>
    <row r="608" spans="8:14" x14ac:dyDescent="0.2">
      <c r="H608" s="15"/>
      <c r="I608" s="15"/>
      <c r="J608" s="15"/>
      <c r="K608" s="15"/>
      <c r="L608" s="15"/>
      <c r="M608" s="15"/>
      <c r="N608" s="15"/>
    </row>
    <row r="609" spans="8:14" x14ac:dyDescent="0.2">
      <c r="H609" s="15"/>
      <c r="I609" s="15"/>
      <c r="J609" s="15"/>
      <c r="K609" s="15"/>
      <c r="L609" s="15"/>
      <c r="M609" s="15"/>
      <c r="N609" s="15"/>
    </row>
    <row r="610" spans="8:14" x14ac:dyDescent="0.2">
      <c r="H610" s="15"/>
      <c r="I610" s="15"/>
      <c r="J610" s="15"/>
      <c r="K610" s="15"/>
      <c r="L610" s="15"/>
      <c r="M610" s="15"/>
      <c r="N610" s="15"/>
    </row>
    <row r="611" spans="8:14" x14ac:dyDescent="0.2">
      <c r="H611" s="15"/>
      <c r="I611" s="15"/>
      <c r="J611" s="15"/>
      <c r="K611" s="15"/>
      <c r="L611" s="15"/>
      <c r="M611" s="15"/>
      <c r="N611" s="15"/>
    </row>
    <row r="612" spans="8:14" x14ac:dyDescent="0.2">
      <c r="H612" s="15"/>
      <c r="I612" s="15"/>
      <c r="J612" s="15"/>
      <c r="K612" s="15"/>
      <c r="L612" s="15"/>
      <c r="M612" s="15"/>
      <c r="N612" s="15"/>
    </row>
    <row r="613" spans="8:14" x14ac:dyDescent="0.2">
      <c r="H613" s="15"/>
      <c r="I613" s="15"/>
      <c r="J613" s="15"/>
      <c r="K613" s="15"/>
      <c r="L613" s="15"/>
      <c r="M613" s="15"/>
      <c r="N613" s="15"/>
    </row>
    <row r="614" spans="8:14" x14ac:dyDescent="0.2">
      <c r="H614" s="15"/>
      <c r="I614" s="15"/>
      <c r="J614" s="15"/>
      <c r="K614" s="15"/>
      <c r="L614" s="15"/>
      <c r="M614" s="15"/>
      <c r="N614" s="15"/>
    </row>
    <row r="615" spans="8:14" x14ac:dyDescent="0.2">
      <c r="H615" s="15"/>
      <c r="I615" s="15"/>
      <c r="J615" s="15"/>
      <c r="K615" s="15"/>
      <c r="L615" s="15"/>
      <c r="M615" s="15"/>
      <c r="N615" s="15"/>
    </row>
    <row r="616" spans="8:14" x14ac:dyDescent="0.2">
      <c r="H616" s="15"/>
      <c r="I616" s="15"/>
      <c r="J616" s="15"/>
      <c r="K616" s="15"/>
      <c r="L616" s="15"/>
      <c r="M616" s="15"/>
      <c r="N616" s="15"/>
    </row>
    <row r="617" spans="8:14" x14ac:dyDescent="0.2">
      <c r="H617" s="15"/>
      <c r="I617" s="15"/>
      <c r="J617" s="15"/>
      <c r="K617" s="15"/>
      <c r="L617" s="15"/>
      <c r="M617" s="15"/>
      <c r="N617" s="15"/>
    </row>
    <row r="618" spans="8:14" x14ac:dyDescent="0.2">
      <c r="H618" s="15"/>
      <c r="I618" s="15"/>
      <c r="J618" s="15"/>
      <c r="K618" s="15"/>
      <c r="L618" s="15"/>
      <c r="M618" s="15"/>
      <c r="N618" s="15"/>
    </row>
    <row r="619" spans="8:14" x14ac:dyDescent="0.2">
      <c r="H619" s="15"/>
      <c r="I619" s="15"/>
      <c r="J619" s="15"/>
      <c r="K619" s="15"/>
      <c r="L619" s="15"/>
      <c r="M619" s="15"/>
      <c r="N619" s="15"/>
    </row>
    <row r="620" spans="8:14" x14ac:dyDescent="0.2">
      <c r="H620" s="15"/>
      <c r="I620" s="15"/>
      <c r="J620" s="15"/>
      <c r="K620" s="15"/>
      <c r="L620" s="15"/>
      <c r="M620" s="15"/>
      <c r="N620" s="15"/>
    </row>
    <row r="621" spans="8:14" x14ac:dyDescent="0.2">
      <c r="H621" s="15"/>
      <c r="I621" s="15"/>
      <c r="J621" s="15"/>
      <c r="K621" s="15"/>
      <c r="L621" s="15"/>
      <c r="M621" s="15"/>
      <c r="N621" s="15"/>
    </row>
    <row r="622" spans="8:14" x14ac:dyDescent="0.2">
      <c r="H622" s="15"/>
      <c r="I622" s="15"/>
      <c r="J622" s="15"/>
      <c r="K622" s="15"/>
      <c r="L622" s="15"/>
      <c r="M622" s="15"/>
      <c r="N622" s="15"/>
    </row>
    <row r="623" spans="8:14" x14ac:dyDescent="0.2">
      <c r="H623" s="15"/>
      <c r="I623" s="15"/>
      <c r="J623" s="15"/>
      <c r="K623" s="15"/>
      <c r="L623" s="15"/>
      <c r="M623" s="15"/>
      <c r="N623" s="15"/>
    </row>
    <row r="624" spans="8:14" x14ac:dyDescent="0.2">
      <c r="H624" s="15"/>
      <c r="I624" s="15"/>
      <c r="J624" s="15"/>
      <c r="K624" s="15"/>
      <c r="L624" s="15"/>
      <c r="M624" s="15"/>
      <c r="N624" s="15"/>
    </row>
    <row r="625" spans="8:14" x14ac:dyDescent="0.2">
      <c r="H625" s="15"/>
      <c r="I625" s="15"/>
      <c r="J625" s="15"/>
      <c r="K625" s="15"/>
      <c r="L625" s="15"/>
      <c r="M625" s="15"/>
      <c r="N625" s="15"/>
    </row>
    <row r="626" spans="8:14" x14ac:dyDescent="0.2">
      <c r="H626" s="15"/>
      <c r="I626" s="15"/>
      <c r="J626" s="15"/>
      <c r="K626" s="15"/>
      <c r="L626" s="15"/>
      <c r="M626" s="15"/>
      <c r="N626" s="15"/>
    </row>
    <row r="627" spans="8:14" x14ac:dyDescent="0.2">
      <c r="H627" s="15"/>
      <c r="I627" s="15"/>
      <c r="J627" s="15"/>
      <c r="K627" s="15"/>
      <c r="L627" s="15"/>
      <c r="M627" s="15"/>
      <c r="N627" s="15"/>
    </row>
    <row r="628" spans="8:14" x14ac:dyDescent="0.2">
      <c r="H628" s="15"/>
      <c r="I628" s="15"/>
      <c r="J628" s="15"/>
      <c r="K628" s="15"/>
      <c r="L628" s="15"/>
      <c r="M628" s="15"/>
      <c r="N628" s="15"/>
    </row>
    <row r="629" spans="8:14" x14ac:dyDescent="0.2">
      <c r="H629" s="15"/>
      <c r="I629" s="15"/>
      <c r="J629" s="15"/>
      <c r="K629" s="15"/>
      <c r="L629" s="15"/>
      <c r="M629" s="15"/>
      <c r="N629" s="15"/>
    </row>
    <row r="630" spans="8:14" x14ac:dyDescent="0.2">
      <c r="H630" s="15"/>
      <c r="I630" s="15"/>
      <c r="J630" s="15"/>
      <c r="K630" s="15"/>
      <c r="L630" s="15"/>
      <c r="M630" s="15"/>
      <c r="N630" s="15"/>
    </row>
    <row r="631" spans="8:14" x14ac:dyDescent="0.2">
      <c r="H631" s="15"/>
      <c r="I631" s="15"/>
      <c r="J631" s="15"/>
      <c r="K631" s="15"/>
      <c r="L631" s="15"/>
      <c r="M631" s="15"/>
      <c r="N631" s="15"/>
    </row>
    <row r="632" spans="8:14" x14ac:dyDescent="0.2">
      <c r="H632" s="15"/>
      <c r="I632" s="15"/>
      <c r="J632" s="15"/>
      <c r="K632" s="15"/>
      <c r="L632" s="15"/>
      <c r="M632" s="15"/>
      <c r="N632" s="15"/>
    </row>
    <row r="633" spans="8:14" x14ac:dyDescent="0.2">
      <c r="H633" s="15"/>
      <c r="I633" s="15"/>
      <c r="J633" s="15"/>
      <c r="K633" s="15"/>
      <c r="L633" s="15"/>
      <c r="M633" s="15"/>
      <c r="N633" s="15"/>
    </row>
    <row r="634" spans="8:14" x14ac:dyDescent="0.2">
      <c r="H634" s="15"/>
      <c r="I634" s="15"/>
      <c r="J634" s="15"/>
      <c r="K634" s="15"/>
      <c r="L634" s="15"/>
      <c r="M634" s="15"/>
      <c r="N634" s="15"/>
    </row>
    <row r="635" spans="8:14" x14ac:dyDescent="0.2">
      <c r="H635" s="15"/>
      <c r="I635" s="15"/>
      <c r="J635" s="15"/>
      <c r="K635" s="15"/>
      <c r="L635" s="15"/>
      <c r="M635" s="15"/>
      <c r="N635" s="15"/>
    </row>
    <row r="636" spans="8:14" x14ac:dyDescent="0.2">
      <c r="H636" s="15"/>
      <c r="I636" s="15"/>
      <c r="J636" s="15"/>
      <c r="K636" s="15"/>
      <c r="L636" s="15"/>
      <c r="M636" s="15"/>
      <c r="N636" s="15"/>
    </row>
    <row r="637" spans="8:14" x14ac:dyDescent="0.2">
      <c r="H637" s="15"/>
      <c r="I637" s="15"/>
      <c r="J637" s="15"/>
      <c r="K637" s="15"/>
      <c r="L637" s="15"/>
      <c r="M637" s="15"/>
      <c r="N637" s="15"/>
    </row>
    <row r="638" spans="8:14" x14ac:dyDescent="0.2">
      <c r="H638" s="15"/>
      <c r="I638" s="15"/>
      <c r="J638" s="15"/>
      <c r="K638" s="15"/>
      <c r="L638" s="15"/>
      <c r="M638" s="15"/>
      <c r="N638" s="15"/>
    </row>
    <row r="639" spans="8:14" x14ac:dyDescent="0.2">
      <c r="H639" s="15"/>
      <c r="I639" s="15"/>
      <c r="J639" s="15"/>
      <c r="K639" s="15"/>
      <c r="L639" s="15"/>
      <c r="M639" s="15"/>
      <c r="N639" s="15"/>
    </row>
    <row r="640" spans="8:14" x14ac:dyDescent="0.2">
      <c r="H640" s="15"/>
      <c r="I640" s="15"/>
      <c r="J640" s="15"/>
      <c r="K640" s="15"/>
      <c r="L640" s="15"/>
      <c r="M640" s="15"/>
      <c r="N640" s="15"/>
    </row>
    <row r="641" spans="8:14" x14ac:dyDescent="0.2">
      <c r="H641" s="15"/>
      <c r="I641" s="15"/>
      <c r="J641" s="15"/>
      <c r="K641" s="15"/>
      <c r="L641" s="15"/>
      <c r="M641" s="15"/>
      <c r="N641" s="15"/>
    </row>
    <row r="642" spans="8:14" x14ac:dyDescent="0.2">
      <c r="H642" s="15"/>
      <c r="I642" s="15"/>
      <c r="J642" s="15"/>
      <c r="K642" s="15"/>
      <c r="L642" s="15"/>
      <c r="M642" s="15"/>
      <c r="N642" s="15"/>
    </row>
    <row r="643" spans="8:14" x14ac:dyDescent="0.2">
      <c r="H643" s="15"/>
      <c r="I643" s="15"/>
      <c r="J643" s="15"/>
      <c r="K643" s="15"/>
      <c r="L643" s="15"/>
      <c r="M643" s="15"/>
      <c r="N643" s="15"/>
    </row>
    <row r="644" spans="8:14" x14ac:dyDescent="0.2">
      <c r="H644" s="15"/>
      <c r="I644" s="15"/>
      <c r="J644" s="15"/>
      <c r="K644" s="15"/>
      <c r="L644" s="15"/>
      <c r="M644" s="15"/>
      <c r="N644" s="15"/>
    </row>
    <row r="645" spans="8:14" x14ac:dyDescent="0.2">
      <c r="H645" s="15"/>
      <c r="I645" s="15"/>
      <c r="J645" s="15"/>
      <c r="K645" s="15"/>
      <c r="L645" s="15"/>
      <c r="M645" s="15"/>
      <c r="N645" s="15"/>
    </row>
    <row r="646" spans="8:14" x14ac:dyDescent="0.2">
      <c r="H646" s="15"/>
      <c r="I646" s="15"/>
      <c r="J646" s="15"/>
      <c r="K646" s="15"/>
      <c r="L646" s="15"/>
      <c r="M646" s="15"/>
      <c r="N646" s="15"/>
    </row>
    <row r="647" spans="8:14" x14ac:dyDescent="0.2">
      <c r="H647" s="15"/>
      <c r="I647" s="15"/>
      <c r="J647" s="15"/>
      <c r="K647" s="15"/>
      <c r="L647" s="15"/>
      <c r="M647" s="15"/>
      <c r="N647" s="15"/>
    </row>
    <row r="648" spans="8:14" x14ac:dyDescent="0.2">
      <c r="H648" s="15"/>
      <c r="I648" s="15"/>
      <c r="J648" s="15"/>
      <c r="K648" s="15"/>
      <c r="L648" s="15"/>
      <c r="M648" s="15"/>
      <c r="N648" s="15"/>
    </row>
    <row r="649" spans="8:14" x14ac:dyDescent="0.2">
      <c r="H649" s="15"/>
      <c r="I649" s="15"/>
      <c r="J649" s="15"/>
      <c r="K649" s="15"/>
      <c r="L649" s="15"/>
      <c r="M649" s="15"/>
      <c r="N649" s="15"/>
    </row>
    <row r="650" spans="8:14" x14ac:dyDescent="0.2">
      <c r="H650" s="15"/>
      <c r="I650" s="15"/>
      <c r="J650" s="15"/>
      <c r="K650" s="15"/>
      <c r="L650" s="15"/>
      <c r="M650" s="15"/>
      <c r="N650" s="15"/>
    </row>
    <row r="651" spans="8:14" x14ac:dyDescent="0.2">
      <c r="H651" s="15"/>
      <c r="I651" s="15"/>
      <c r="J651" s="15"/>
      <c r="K651" s="15"/>
      <c r="L651" s="15"/>
      <c r="M651" s="15"/>
      <c r="N651" s="15"/>
    </row>
    <row r="652" spans="8:14" x14ac:dyDescent="0.2">
      <c r="H652" s="15"/>
      <c r="I652" s="15"/>
      <c r="J652" s="15"/>
      <c r="K652" s="15"/>
      <c r="L652" s="15"/>
      <c r="M652" s="15"/>
      <c r="N652" s="15"/>
    </row>
    <row r="653" spans="8:14" x14ac:dyDescent="0.2">
      <c r="H653" s="15"/>
      <c r="I653" s="15"/>
      <c r="J653" s="15"/>
      <c r="K653" s="15"/>
      <c r="L653" s="15"/>
      <c r="M653" s="15"/>
      <c r="N653" s="15"/>
    </row>
    <row r="654" spans="8:14" x14ac:dyDescent="0.2">
      <c r="H654" s="15"/>
      <c r="I654" s="15"/>
      <c r="J654" s="15"/>
      <c r="K654" s="15"/>
      <c r="L654" s="15"/>
      <c r="M654" s="15"/>
      <c r="N654" s="15"/>
    </row>
    <row r="655" spans="8:14" x14ac:dyDescent="0.2">
      <c r="H655" s="15"/>
      <c r="I655" s="15"/>
      <c r="J655" s="15"/>
      <c r="K655" s="15"/>
      <c r="L655" s="15"/>
      <c r="M655" s="15"/>
      <c r="N655" s="15"/>
    </row>
    <row r="656" spans="8:14" x14ac:dyDescent="0.2">
      <c r="H656" s="15"/>
      <c r="I656" s="15"/>
      <c r="J656" s="15"/>
      <c r="K656" s="15"/>
      <c r="L656" s="15"/>
      <c r="M656" s="15"/>
      <c r="N656" s="15"/>
    </row>
    <row r="657" spans="8:14" x14ac:dyDescent="0.2">
      <c r="H657" s="15"/>
      <c r="I657" s="15"/>
      <c r="J657" s="15"/>
      <c r="K657" s="15"/>
      <c r="L657" s="15"/>
      <c r="M657" s="15"/>
      <c r="N657" s="15"/>
    </row>
    <row r="658" spans="8:14" x14ac:dyDescent="0.2">
      <c r="H658" s="15"/>
      <c r="I658" s="15"/>
      <c r="J658" s="15"/>
      <c r="K658" s="15"/>
      <c r="L658" s="15"/>
      <c r="M658" s="15"/>
      <c r="N658" s="15"/>
    </row>
    <row r="659" spans="8:14" x14ac:dyDescent="0.2">
      <c r="H659" s="15"/>
      <c r="I659" s="15"/>
      <c r="J659" s="15"/>
      <c r="K659" s="15"/>
      <c r="L659" s="15"/>
      <c r="M659" s="15"/>
      <c r="N659" s="15"/>
    </row>
    <row r="660" spans="8:14" x14ac:dyDescent="0.2">
      <c r="H660" s="15"/>
      <c r="I660" s="15"/>
      <c r="J660" s="15"/>
      <c r="K660" s="15"/>
      <c r="L660" s="15"/>
      <c r="M660" s="15"/>
      <c r="N660" s="15"/>
    </row>
    <row r="661" spans="8:14" x14ac:dyDescent="0.2">
      <c r="H661" s="15"/>
      <c r="I661" s="15"/>
      <c r="J661" s="15"/>
      <c r="K661" s="15"/>
      <c r="L661" s="15"/>
      <c r="M661" s="15"/>
      <c r="N661" s="15"/>
    </row>
    <row r="662" spans="8:14" x14ac:dyDescent="0.2">
      <c r="H662" s="15"/>
      <c r="I662" s="15"/>
      <c r="J662" s="15"/>
      <c r="K662" s="15"/>
      <c r="L662" s="15"/>
      <c r="M662" s="15"/>
      <c r="N662" s="15"/>
    </row>
    <row r="663" spans="8:14" x14ac:dyDescent="0.2">
      <c r="H663" s="15"/>
      <c r="I663" s="15"/>
      <c r="J663" s="15"/>
      <c r="K663" s="15"/>
      <c r="L663" s="15"/>
      <c r="M663" s="15"/>
      <c r="N663" s="15"/>
    </row>
    <row r="664" spans="8:14" x14ac:dyDescent="0.2">
      <c r="H664" s="15"/>
      <c r="I664" s="15"/>
      <c r="J664" s="15"/>
      <c r="K664" s="15"/>
      <c r="L664" s="15"/>
      <c r="M664" s="15"/>
      <c r="N664" s="15"/>
    </row>
    <row r="665" spans="8:14" x14ac:dyDescent="0.2">
      <c r="H665" s="15"/>
      <c r="I665" s="15"/>
      <c r="J665" s="15"/>
      <c r="K665" s="15"/>
      <c r="L665" s="15"/>
      <c r="M665" s="15"/>
      <c r="N665" s="15"/>
    </row>
    <row r="666" spans="8:14" x14ac:dyDescent="0.2">
      <c r="H666" s="15"/>
      <c r="I666" s="15"/>
      <c r="J666" s="15"/>
      <c r="K666" s="15"/>
      <c r="L666" s="15"/>
      <c r="M666" s="15"/>
      <c r="N666" s="15"/>
    </row>
    <row r="667" spans="8:14" x14ac:dyDescent="0.2">
      <c r="H667" s="15"/>
      <c r="I667" s="15"/>
      <c r="J667" s="15"/>
      <c r="K667" s="15"/>
      <c r="L667" s="15"/>
      <c r="M667" s="15"/>
      <c r="N667" s="15"/>
    </row>
    <row r="668" spans="8:14" x14ac:dyDescent="0.2">
      <c r="H668" s="15"/>
      <c r="I668" s="15"/>
      <c r="J668" s="15"/>
      <c r="K668" s="15"/>
      <c r="L668" s="15"/>
      <c r="M668" s="15"/>
      <c r="N668" s="15"/>
    </row>
    <row r="669" spans="8:14" x14ac:dyDescent="0.2">
      <c r="H669" s="15"/>
      <c r="I669" s="15"/>
      <c r="J669" s="15"/>
      <c r="K669" s="15"/>
      <c r="L669" s="15"/>
      <c r="M669" s="15"/>
      <c r="N669" s="15"/>
    </row>
    <row r="670" spans="8:14" x14ac:dyDescent="0.2">
      <c r="H670" s="15"/>
      <c r="I670" s="15"/>
      <c r="J670" s="15"/>
      <c r="K670" s="15"/>
      <c r="L670" s="15"/>
      <c r="M670" s="15"/>
      <c r="N670" s="15"/>
    </row>
    <row r="671" spans="8:14" x14ac:dyDescent="0.2">
      <c r="H671" s="15"/>
      <c r="I671" s="15"/>
      <c r="J671" s="15"/>
      <c r="K671" s="15"/>
      <c r="L671" s="15"/>
      <c r="M671" s="15"/>
      <c r="N671" s="15"/>
    </row>
    <row r="672" spans="8:14" x14ac:dyDescent="0.2">
      <c r="H672" s="15"/>
      <c r="I672" s="15"/>
      <c r="J672" s="15"/>
      <c r="K672" s="15"/>
      <c r="L672" s="15"/>
      <c r="M672" s="15"/>
      <c r="N672" s="15"/>
    </row>
    <row r="673" spans="8:14" x14ac:dyDescent="0.2">
      <c r="H673" s="15"/>
      <c r="I673" s="15"/>
      <c r="J673" s="15"/>
      <c r="K673" s="15"/>
      <c r="L673" s="15"/>
      <c r="M673" s="15"/>
      <c r="N673" s="15"/>
    </row>
    <row r="674" spans="8:14" x14ac:dyDescent="0.2">
      <c r="H674" s="15"/>
      <c r="I674" s="15"/>
      <c r="J674" s="15"/>
      <c r="K674" s="15"/>
      <c r="L674" s="15"/>
      <c r="M674" s="15"/>
      <c r="N674" s="15"/>
    </row>
    <row r="675" spans="8:14" x14ac:dyDescent="0.2">
      <c r="H675" s="15"/>
      <c r="I675" s="15"/>
      <c r="J675" s="15"/>
      <c r="K675" s="15"/>
      <c r="L675" s="15"/>
      <c r="M675" s="15"/>
      <c r="N675" s="15"/>
    </row>
    <row r="676" spans="8:14" x14ac:dyDescent="0.2">
      <c r="H676" s="15"/>
      <c r="I676" s="15"/>
      <c r="J676" s="15"/>
      <c r="K676" s="15"/>
      <c r="L676" s="15"/>
      <c r="M676" s="15"/>
      <c r="N676" s="15"/>
    </row>
    <row r="677" spans="8:14" x14ac:dyDescent="0.2">
      <c r="H677" s="15"/>
      <c r="I677" s="15"/>
      <c r="J677" s="15"/>
      <c r="K677" s="15"/>
      <c r="L677" s="15"/>
      <c r="M677" s="15"/>
      <c r="N677" s="15"/>
    </row>
    <row r="678" spans="8:14" x14ac:dyDescent="0.2">
      <c r="H678" s="15"/>
      <c r="I678" s="15"/>
      <c r="J678" s="15"/>
      <c r="K678" s="15"/>
      <c r="L678" s="15"/>
      <c r="M678" s="15"/>
      <c r="N678" s="15"/>
    </row>
    <row r="679" spans="8:14" x14ac:dyDescent="0.2">
      <c r="H679" s="15"/>
      <c r="I679" s="15"/>
      <c r="J679" s="15"/>
      <c r="K679" s="15"/>
      <c r="L679" s="15"/>
      <c r="M679" s="15"/>
      <c r="N679" s="15"/>
    </row>
    <row r="680" spans="8:14" x14ac:dyDescent="0.2">
      <c r="H680" s="15"/>
      <c r="I680" s="15"/>
      <c r="J680" s="15"/>
      <c r="K680" s="15"/>
      <c r="L680" s="15"/>
      <c r="M680" s="15"/>
      <c r="N680" s="15"/>
    </row>
    <row r="681" spans="8:14" x14ac:dyDescent="0.2">
      <c r="H681" s="15"/>
      <c r="I681" s="15"/>
      <c r="J681" s="15"/>
      <c r="K681" s="15"/>
      <c r="L681" s="15"/>
      <c r="M681" s="15"/>
      <c r="N681" s="15"/>
    </row>
    <row r="682" spans="8:14" x14ac:dyDescent="0.2">
      <c r="H682" s="15"/>
      <c r="I682" s="15"/>
      <c r="J682" s="15"/>
      <c r="K682" s="15"/>
      <c r="L682" s="15"/>
      <c r="M682" s="15"/>
      <c r="N682" s="15"/>
    </row>
    <row r="683" spans="8:14" x14ac:dyDescent="0.2">
      <c r="H683" s="15"/>
      <c r="I683" s="15"/>
      <c r="J683" s="15"/>
      <c r="K683" s="15"/>
      <c r="L683" s="15"/>
      <c r="M683" s="15"/>
      <c r="N683" s="15"/>
    </row>
    <row r="684" spans="8:14" x14ac:dyDescent="0.2">
      <c r="H684" s="15"/>
      <c r="I684" s="15"/>
      <c r="J684" s="15"/>
      <c r="K684" s="15"/>
      <c r="L684" s="15"/>
      <c r="M684" s="15"/>
      <c r="N684" s="15"/>
    </row>
    <row r="685" spans="8:14" x14ac:dyDescent="0.2">
      <c r="H685" s="15"/>
      <c r="I685" s="15"/>
      <c r="J685" s="15"/>
      <c r="K685" s="15"/>
      <c r="L685" s="15"/>
      <c r="M685" s="15"/>
      <c r="N685" s="15"/>
    </row>
    <row r="686" spans="8:14" x14ac:dyDescent="0.2">
      <c r="H686" s="15"/>
      <c r="I686" s="15"/>
      <c r="J686" s="15"/>
      <c r="K686" s="15"/>
      <c r="L686" s="15"/>
      <c r="M686" s="15"/>
      <c r="N686" s="15"/>
    </row>
    <row r="687" spans="8:14" x14ac:dyDescent="0.2">
      <c r="H687" s="15"/>
      <c r="I687" s="15"/>
      <c r="J687" s="15"/>
      <c r="K687" s="15"/>
      <c r="L687" s="15"/>
      <c r="M687" s="15"/>
      <c r="N687" s="15"/>
    </row>
    <row r="688" spans="8:14" x14ac:dyDescent="0.2">
      <c r="H688" s="15"/>
      <c r="I688" s="15"/>
      <c r="J688" s="15"/>
      <c r="K688" s="15"/>
      <c r="L688" s="15"/>
      <c r="M688" s="15"/>
      <c r="N688" s="15"/>
    </row>
    <row r="689" spans="8:14" x14ac:dyDescent="0.2">
      <c r="H689" s="15"/>
      <c r="I689" s="15"/>
      <c r="J689" s="15"/>
      <c r="K689" s="15"/>
      <c r="L689" s="15"/>
      <c r="M689" s="15"/>
      <c r="N689" s="15"/>
    </row>
    <row r="690" spans="8:14" x14ac:dyDescent="0.2">
      <c r="H690" s="15"/>
      <c r="I690" s="15"/>
      <c r="J690" s="15"/>
      <c r="K690" s="15"/>
      <c r="L690" s="15"/>
      <c r="M690" s="15"/>
      <c r="N690" s="15"/>
    </row>
    <row r="691" spans="8:14" x14ac:dyDescent="0.2">
      <c r="H691" s="15"/>
      <c r="I691" s="15"/>
      <c r="J691" s="15"/>
      <c r="K691" s="15"/>
      <c r="L691" s="15"/>
      <c r="M691" s="15"/>
      <c r="N691" s="15"/>
    </row>
    <row r="692" spans="8:14" x14ac:dyDescent="0.2">
      <c r="H692" s="15"/>
      <c r="I692" s="15"/>
      <c r="J692" s="15"/>
      <c r="K692" s="15"/>
      <c r="L692" s="15"/>
      <c r="M692" s="15"/>
      <c r="N692" s="15"/>
    </row>
    <row r="693" spans="8:14" x14ac:dyDescent="0.2">
      <c r="H693" s="15"/>
      <c r="I693" s="15"/>
      <c r="J693" s="15"/>
      <c r="K693" s="15"/>
      <c r="L693" s="15"/>
      <c r="M693" s="15"/>
      <c r="N693" s="15"/>
    </row>
    <row r="694" spans="8:14" x14ac:dyDescent="0.2">
      <c r="H694" s="15"/>
      <c r="I694" s="15"/>
      <c r="J694" s="15"/>
      <c r="K694" s="15"/>
      <c r="L694" s="15"/>
      <c r="M694" s="15"/>
      <c r="N694" s="15"/>
    </row>
    <row r="695" spans="8:14" x14ac:dyDescent="0.2">
      <c r="H695" s="15"/>
      <c r="I695" s="15"/>
      <c r="J695" s="15"/>
      <c r="K695" s="15"/>
      <c r="L695" s="15"/>
      <c r="M695" s="15"/>
      <c r="N695" s="15"/>
    </row>
    <row r="696" spans="8:14" x14ac:dyDescent="0.2">
      <c r="H696" s="15"/>
      <c r="I696" s="15"/>
      <c r="J696" s="15"/>
      <c r="K696" s="15"/>
      <c r="L696" s="15"/>
      <c r="M696" s="15"/>
      <c r="N696" s="15"/>
    </row>
    <row r="697" spans="8:14" x14ac:dyDescent="0.2">
      <c r="H697" s="15"/>
      <c r="I697" s="15"/>
      <c r="J697" s="15"/>
      <c r="K697" s="15"/>
      <c r="L697" s="15"/>
      <c r="M697" s="15"/>
      <c r="N697" s="15"/>
    </row>
    <row r="698" spans="8:14" x14ac:dyDescent="0.2">
      <c r="H698" s="15"/>
      <c r="I698" s="15"/>
      <c r="J698" s="15"/>
      <c r="K698" s="15"/>
      <c r="L698" s="15"/>
      <c r="M698" s="15"/>
      <c r="N698" s="15"/>
    </row>
    <row r="699" spans="8:14" x14ac:dyDescent="0.2">
      <c r="H699" s="15"/>
      <c r="I699" s="15"/>
      <c r="J699" s="15"/>
      <c r="K699" s="15"/>
      <c r="L699" s="15"/>
      <c r="M699" s="15"/>
      <c r="N699" s="15"/>
    </row>
    <row r="700" spans="8:14" x14ac:dyDescent="0.2">
      <c r="H700" s="15"/>
      <c r="I700" s="15"/>
      <c r="J700" s="15"/>
      <c r="K700" s="15"/>
      <c r="L700" s="15"/>
      <c r="M700" s="15"/>
      <c r="N700" s="15"/>
    </row>
    <row r="701" spans="8:14" x14ac:dyDescent="0.2">
      <c r="H701" s="15"/>
      <c r="I701" s="15"/>
      <c r="J701" s="15"/>
      <c r="K701" s="15"/>
      <c r="L701" s="15"/>
      <c r="M701" s="15"/>
      <c r="N701" s="15"/>
    </row>
    <row r="702" spans="8:14" x14ac:dyDescent="0.2">
      <c r="H702" s="15"/>
      <c r="I702" s="15"/>
      <c r="J702" s="15"/>
      <c r="K702" s="15"/>
      <c r="L702" s="15"/>
      <c r="M702" s="15"/>
      <c r="N702" s="15"/>
    </row>
    <row r="703" spans="8:14" x14ac:dyDescent="0.2">
      <c r="H703" s="15"/>
      <c r="I703" s="15"/>
      <c r="J703" s="15"/>
      <c r="K703" s="15"/>
      <c r="L703" s="15"/>
      <c r="M703" s="15"/>
      <c r="N703" s="15"/>
    </row>
    <row r="704" spans="8:14" x14ac:dyDescent="0.2">
      <c r="H704" s="15"/>
      <c r="I704" s="15"/>
      <c r="J704" s="15"/>
      <c r="K704" s="15"/>
      <c r="L704" s="15"/>
      <c r="M704" s="15"/>
      <c r="N704" s="15"/>
    </row>
    <row r="705" spans="8:14" x14ac:dyDescent="0.2">
      <c r="H705" s="15"/>
      <c r="I705" s="15"/>
      <c r="J705" s="15"/>
      <c r="K705" s="15"/>
      <c r="L705" s="15"/>
      <c r="M705" s="15"/>
      <c r="N705" s="15"/>
    </row>
    <row r="706" spans="8:14" x14ac:dyDescent="0.2">
      <c r="H706" s="15"/>
      <c r="I706" s="15"/>
      <c r="J706" s="15"/>
      <c r="K706" s="15"/>
      <c r="L706" s="15"/>
      <c r="M706" s="15"/>
      <c r="N706" s="15"/>
    </row>
    <row r="707" spans="8:14" x14ac:dyDescent="0.2">
      <c r="H707" s="15"/>
      <c r="I707" s="15"/>
      <c r="J707" s="15"/>
      <c r="K707" s="15"/>
      <c r="L707" s="15"/>
      <c r="M707" s="15"/>
      <c r="N707" s="15"/>
    </row>
    <row r="708" spans="8:14" x14ac:dyDescent="0.2">
      <c r="H708" s="15"/>
      <c r="I708" s="15"/>
      <c r="J708" s="15"/>
      <c r="K708" s="15"/>
      <c r="L708" s="15"/>
      <c r="M708" s="15"/>
      <c r="N708" s="15"/>
    </row>
    <row r="709" spans="8:14" x14ac:dyDescent="0.2">
      <c r="H709" s="15"/>
      <c r="I709" s="15"/>
      <c r="J709" s="15"/>
      <c r="K709" s="15"/>
      <c r="L709" s="15"/>
      <c r="M709" s="15"/>
      <c r="N709" s="15"/>
    </row>
    <row r="710" spans="8:14" x14ac:dyDescent="0.2">
      <c r="H710" s="15"/>
      <c r="I710" s="15"/>
      <c r="J710" s="15"/>
      <c r="K710" s="15"/>
      <c r="L710" s="15"/>
      <c r="M710" s="15"/>
      <c r="N710" s="15"/>
    </row>
    <row r="711" spans="8:14" x14ac:dyDescent="0.2">
      <c r="H711" s="15"/>
      <c r="I711" s="15"/>
      <c r="J711" s="15"/>
      <c r="K711" s="15"/>
      <c r="L711" s="15"/>
      <c r="M711" s="15"/>
      <c r="N711" s="15"/>
    </row>
    <row r="712" spans="8:14" x14ac:dyDescent="0.2">
      <c r="H712" s="15"/>
      <c r="I712" s="15"/>
      <c r="J712" s="15"/>
      <c r="K712" s="15"/>
      <c r="L712" s="15"/>
      <c r="M712" s="15"/>
      <c r="N712" s="15"/>
    </row>
    <row r="713" spans="8:14" x14ac:dyDescent="0.2">
      <c r="H713" s="15"/>
      <c r="I713" s="15"/>
      <c r="J713" s="15"/>
      <c r="K713" s="15"/>
      <c r="L713" s="15"/>
      <c r="M713" s="15"/>
      <c r="N713" s="15"/>
    </row>
    <row r="714" spans="8:14" x14ac:dyDescent="0.2">
      <c r="H714" s="15"/>
      <c r="I714" s="15"/>
      <c r="J714" s="15"/>
      <c r="K714" s="15"/>
      <c r="L714" s="15"/>
      <c r="M714" s="15"/>
      <c r="N714" s="15"/>
    </row>
    <row r="715" spans="8:14" x14ac:dyDescent="0.2">
      <c r="H715" s="15"/>
      <c r="I715" s="15"/>
      <c r="J715" s="15"/>
      <c r="K715" s="15"/>
      <c r="L715" s="15"/>
      <c r="M715" s="15"/>
      <c r="N715" s="15"/>
    </row>
    <row r="716" spans="8:14" x14ac:dyDescent="0.2">
      <c r="H716" s="15"/>
      <c r="I716" s="15"/>
      <c r="J716" s="15"/>
      <c r="K716" s="15"/>
      <c r="L716" s="15"/>
      <c r="M716" s="15"/>
      <c r="N716" s="15"/>
    </row>
    <row r="717" spans="8:14" x14ac:dyDescent="0.2">
      <c r="H717" s="15"/>
      <c r="I717" s="15"/>
      <c r="J717" s="15"/>
      <c r="K717" s="15"/>
      <c r="L717" s="15"/>
      <c r="M717" s="15"/>
      <c r="N717" s="15"/>
    </row>
    <row r="718" spans="8:14" x14ac:dyDescent="0.2">
      <c r="H718" s="15"/>
      <c r="I718" s="15"/>
      <c r="J718" s="15"/>
      <c r="K718" s="15"/>
      <c r="L718" s="15"/>
      <c r="M718" s="15"/>
      <c r="N718" s="15"/>
    </row>
    <row r="719" spans="8:14" x14ac:dyDescent="0.2">
      <c r="H719" s="15"/>
      <c r="I719" s="15"/>
      <c r="J719" s="15"/>
      <c r="K719" s="15"/>
      <c r="L719" s="15"/>
      <c r="M719" s="15"/>
      <c r="N719" s="15"/>
    </row>
    <row r="720" spans="8:14" x14ac:dyDescent="0.2">
      <c r="H720" s="15"/>
      <c r="I720" s="15"/>
      <c r="J720" s="15"/>
      <c r="K720" s="15"/>
      <c r="L720" s="15"/>
      <c r="M720" s="15"/>
      <c r="N720" s="15"/>
    </row>
    <row r="721" spans="8:14" x14ac:dyDescent="0.2">
      <c r="H721" s="15"/>
      <c r="I721" s="15"/>
      <c r="J721" s="15"/>
      <c r="K721" s="15"/>
      <c r="L721" s="15"/>
      <c r="M721" s="15"/>
      <c r="N721" s="15"/>
    </row>
    <row r="722" spans="8:14" x14ac:dyDescent="0.2">
      <c r="H722" s="15"/>
      <c r="I722" s="15"/>
      <c r="J722" s="15"/>
      <c r="K722" s="15"/>
      <c r="L722" s="15"/>
      <c r="M722" s="15"/>
      <c r="N722" s="15"/>
    </row>
    <row r="723" spans="8:14" x14ac:dyDescent="0.2">
      <c r="H723" s="15"/>
      <c r="I723" s="15"/>
      <c r="J723" s="15"/>
      <c r="K723" s="15"/>
      <c r="L723" s="15"/>
      <c r="M723" s="15"/>
      <c r="N723" s="15"/>
    </row>
    <row r="724" spans="8:14" x14ac:dyDescent="0.2">
      <c r="H724" s="15"/>
      <c r="I724" s="15"/>
      <c r="J724" s="15"/>
      <c r="K724" s="15"/>
      <c r="L724" s="15"/>
      <c r="M724" s="15"/>
      <c r="N724" s="15"/>
    </row>
    <row r="725" spans="8:14" x14ac:dyDescent="0.2">
      <c r="H725" s="15"/>
      <c r="I725" s="15"/>
      <c r="J725" s="15"/>
      <c r="K725" s="15"/>
      <c r="L725" s="15"/>
      <c r="M725" s="15"/>
      <c r="N725" s="15"/>
    </row>
    <row r="726" spans="8:14" x14ac:dyDescent="0.2">
      <c r="H726" s="15"/>
      <c r="I726" s="15"/>
      <c r="J726" s="15"/>
      <c r="K726" s="15"/>
      <c r="L726" s="15"/>
      <c r="M726" s="15"/>
      <c r="N726" s="15"/>
    </row>
    <row r="727" spans="8:14" x14ac:dyDescent="0.2">
      <c r="H727" s="15"/>
      <c r="I727" s="15"/>
      <c r="J727" s="15"/>
      <c r="K727" s="15"/>
      <c r="L727" s="15"/>
      <c r="M727" s="15"/>
      <c r="N727" s="15"/>
    </row>
    <row r="728" spans="8:14" x14ac:dyDescent="0.2">
      <c r="H728" s="15"/>
      <c r="I728" s="15"/>
      <c r="J728" s="15"/>
      <c r="K728" s="15"/>
      <c r="L728" s="15"/>
      <c r="M728" s="15"/>
      <c r="N728" s="15"/>
    </row>
    <row r="729" spans="8:14" x14ac:dyDescent="0.2">
      <c r="H729" s="15"/>
      <c r="I729" s="15"/>
      <c r="J729" s="15"/>
      <c r="K729" s="15"/>
      <c r="L729" s="15"/>
      <c r="M729" s="15"/>
      <c r="N729" s="15"/>
    </row>
    <row r="730" spans="8:14" x14ac:dyDescent="0.2">
      <c r="H730" s="15"/>
      <c r="I730" s="15"/>
      <c r="J730" s="15"/>
      <c r="K730" s="15"/>
      <c r="L730" s="15"/>
      <c r="M730" s="15"/>
      <c r="N730" s="15"/>
    </row>
    <row r="731" spans="8:14" x14ac:dyDescent="0.2">
      <c r="H731" s="15"/>
      <c r="I731" s="15"/>
      <c r="J731" s="15"/>
      <c r="K731" s="15"/>
      <c r="L731" s="15"/>
      <c r="M731" s="15"/>
      <c r="N731" s="15"/>
    </row>
    <row r="732" spans="8:14" x14ac:dyDescent="0.2">
      <c r="H732" s="15"/>
      <c r="I732" s="15"/>
      <c r="J732" s="15"/>
      <c r="K732" s="15"/>
      <c r="L732" s="15"/>
      <c r="M732" s="15"/>
      <c r="N732" s="15"/>
    </row>
    <row r="733" spans="8:14" x14ac:dyDescent="0.2">
      <c r="H733" s="15"/>
      <c r="I733" s="15"/>
      <c r="J733" s="15"/>
      <c r="K733" s="15"/>
      <c r="L733" s="15"/>
      <c r="M733" s="15"/>
      <c r="N733" s="15"/>
    </row>
    <row r="734" spans="8:14" x14ac:dyDescent="0.2">
      <c r="H734" s="15"/>
      <c r="I734" s="15"/>
      <c r="J734" s="15"/>
      <c r="K734" s="15"/>
      <c r="L734" s="15"/>
      <c r="M734" s="15"/>
      <c r="N734" s="15"/>
    </row>
    <row r="735" spans="8:14" x14ac:dyDescent="0.2">
      <c r="H735" s="15"/>
      <c r="I735" s="15"/>
      <c r="J735" s="15"/>
      <c r="K735" s="15"/>
      <c r="L735" s="15"/>
      <c r="M735" s="15"/>
      <c r="N735" s="15"/>
    </row>
    <row r="736" spans="8:14" x14ac:dyDescent="0.2">
      <c r="H736" s="15"/>
      <c r="I736" s="15"/>
      <c r="J736" s="15"/>
      <c r="K736" s="15"/>
      <c r="L736" s="15"/>
      <c r="M736" s="15"/>
      <c r="N736" s="15"/>
    </row>
    <row r="737" spans="8:14" x14ac:dyDescent="0.2">
      <c r="H737" s="15"/>
      <c r="I737" s="15"/>
      <c r="J737" s="15"/>
      <c r="K737" s="15"/>
      <c r="L737" s="15"/>
      <c r="M737" s="15"/>
      <c r="N737" s="15"/>
    </row>
    <row r="738" spans="8:14" x14ac:dyDescent="0.2">
      <c r="H738" s="15"/>
      <c r="I738" s="15"/>
      <c r="J738" s="15"/>
      <c r="K738" s="15"/>
      <c r="L738" s="15"/>
      <c r="M738" s="15"/>
      <c r="N738" s="15"/>
    </row>
    <row r="739" spans="8:14" x14ac:dyDescent="0.2">
      <c r="H739" s="15"/>
      <c r="I739" s="15"/>
      <c r="J739" s="15"/>
      <c r="K739" s="15"/>
      <c r="L739" s="15"/>
      <c r="M739" s="15"/>
      <c r="N739" s="15"/>
    </row>
    <row r="740" spans="8:14" x14ac:dyDescent="0.2">
      <c r="H740" s="15"/>
      <c r="I740" s="15"/>
      <c r="J740" s="15"/>
      <c r="K740" s="15"/>
      <c r="L740" s="15"/>
      <c r="M740" s="15"/>
      <c r="N740" s="15"/>
    </row>
    <row r="741" spans="8:14" x14ac:dyDescent="0.2">
      <c r="H741" s="15"/>
      <c r="I741" s="15"/>
      <c r="J741" s="15"/>
      <c r="K741" s="15"/>
      <c r="L741" s="15"/>
      <c r="M741" s="15"/>
      <c r="N741" s="15"/>
    </row>
    <row r="742" spans="8:14" x14ac:dyDescent="0.2">
      <c r="H742" s="15"/>
      <c r="I742" s="15"/>
      <c r="J742" s="15"/>
      <c r="K742" s="15"/>
      <c r="L742" s="15"/>
      <c r="M742" s="15"/>
      <c r="N742" s="15"/>
    </row>
    <row r="743" spans="8:14" x14ac:dyDescent="0.2">
      <c r="H743" s="15"/>
      <c r="I743" s="15"/>
      <c r="J743" s="15"/>
      <c r="K743" s="15"/>
      <c r="L743" s="15"/>
      <c r="M743" s="15"/>
      <c r="N743" s="15"/>
    </row>
    <row r="744" spans="8:14" x14ac:dyDescent="0.2">
      <c r="H744" s="15"/>
      <c r="I744" s="15"/>
      <c r="J744" s="15"/>
      <c r="K744" s="15"/>
      <c r="L744" s="15"/>
      <c r="M744" s="15"/>
      <c r="N744" s="15"/>
    </row>
    <row r="745" spans="8:14" x14ac:dyDescent="0.2">
      <c r="H745" s="15"/>
      <c r="I745" s="15"/>
      <c r="J745" s="15"/>
      <c r="K745" s="15"/>
      <c r="L745" s="15"/>
      <c r="M745" s="15"/>
      <c r="N745" s="15"/>
    </row>
    <row r="746" spans="8:14" x14ac:dyDescent="0.2">
      <c r="H746" s="15"/>
      <c r="I746" s="15"/>
      <c r="J746" s="15"/>
      <c r="K746" s="15"/>
      <c r="L746" s="15"/>
      <c r="M746" s="15"/>
      <c r="N746" s="15"/>
    </row>
    <row r="747" spans="8:14" x14ac:dyDescent="0.2">
      <c r="H747" s="15"/>
      <c r="I747" s="15"/>
      <c r="J747" s="15"/>
      <c r="K747" s="15"/>
      <c r="L747" s="15"/>
      <c r="M747" s="15"/>
      <c r="N747" s="15"/>
    </row>
    <row r="748" spans="8:14" x14ac:dyDescent="0.2">
      <c r="H748" s="15"/>
      <c r="I748" s="15"/>
      <c r="J748" s="15"/>
      <c r="K748" s="15"/>
      <c r="L748" s="15"/>
      <c r="M748" s="15"/>
      <c r="N748" s="15"/>
    </row>
    <row r="749" spans="8:14" x14ac:dyDescent="0.2">
      <c r="H749" s="15"/>
      <c r="I749" s="15"/>
      <c r="J749" s="15"/>
      <c r="K749" s="15"/>
      <c r="L749" s="15"/>
      <c r="M749" s="15"/>
      <c r="N749" s="15"/>
    </row>
    <row r="750" spans="8:14" x14ac:dyDescent="0.2">
      <c r="H750" s="15"/>
      <c r="I750" s="15"/>
      <c r="J750" s="15"/>
      <c r="K750" s="15"/>
      <c r="L750" s="15"/>
      <c r="M750" s="15"/>
      <c r="N750" s="15"/>
    </row>
    <row r="751" spans="8:14" x14ac:dyDescent="0.2">
      <c r="H751" s="15"/>
      <c r="I751" s="15"/>
      <c r="J751" s="15"/>
      <c r="K751" s="15"/>
      <c r="L751" s="15"/>
      <c r="M751" s="15"/>
      <c r="N751" s="15"/>
    </row>
    <row r="752" spans="8:14" x14ac:dyDescent="0.2">
      <c r="H752" s="15"/>
      <c r="I752" s="15"/>
      <c r="J752" s="15"/>
      <c r="K752" s="15"/>
      <c r="L752" s="15"/>
      <c r="M752" s="15"/>
      <c r="N752" s="15"/>
    </row>
    <row r="753" spans="8:14" x14ac:dyDescent="0.2">
      <c r="H753" s="15"/>
      <c r="I753" s="15"/>
      <c r="J753" s="15"/>
      <c r="K753" s="15"/>
      <c r="L753" s="15"/>
      <c r="M753" s="15"/>
      <c r="N753" s="15"/>
    </row>
    <row r="754" spans="8:14" x14ac:dyDescent="0.2">
      <c r="H754" s="15"/>
      <c r="I754" s="15"/>
      <c r="J754" s="15"/>
      <c r="K754" s="15"/>
      <c r="L754" s="15"/>
      <c r="M754" s="15"/>
      <c r="N754" s="15"/>
    </row>
    <row r="755" spans="8:14" x14ac:dyDescent="0.2">
      <c r="H755" s="15"/>
      <c r="I755" s="15"/>
      <c r="J755" s="15"/>
      <c r="K755" s="15"/>
      <c r="L755" s="15"/>
      <c r="M755" s="15"/>
      <c r="N755" s="15"/>
    </row>
    <row r="756" spans="8:14" x14ac:dyDescent="0.2">
      <c r="H756" s="15"/>
      <c r="I756" s="15"/>
      <c r="J756" s="15"/>
      <c r="K756" s="15"/>
      <c r="L756" s="15"/>
      <c r="M756" s="15"/>
      <c r="N756" s="15"/>
    </row>
    <row r="757" spans="8:14" x14ac:dyDescent="0.2">
      <c r="H757" s="15"/>
      <c r="I757" s="15"/>
      <c r="J757" s="15"/>
      <c r="K757" s="15"/>
      <c r="L757" s="15"/>
      <c r="M757" s="15"/>
      <c r="N757" s="15"/>
    </row>
    <row r="758" spans="8:14" x14ac:dyDescent="0.2">
      <c r="H758" s="15"/>
      <c r="I758" s="15"/>
      <c r="J758" s="15"/>
      <c r="K758" s="15"/>
      <c r="L758" s="15"/>
      <c r="M758" s="15"/>
      <c r="N758" s="15"/>
    </row>
    <row r="759" spans="8:14" x14ac:dyDescent="0.2">
      <c r="H759" s="15"/>
      <c r="I759" s="15"/>
      <c r="J759" s="15"/>
      <c r="K759" s="15"/>
      <c r="L759" s="15"/>
      <c r="M759" s="15"/>
      <c r="N759" s="15"/>
    </row>
    <row r="760" spans="8:14" x14ac:dyDescent="0.2">
      <c r="H760" s="15"/>
      <c r="I760" s="15"/>
      <c r="J760" s="15"/>
      <c r="K760" s="15"/>
      <c r="L760" s="15"/>
      <c r="M760" s="15"/>
      <c r="N760" s="15"/>
    </row>
    <row r="761" spans="8:14" x14ac:dyDescent="0.2">
      <c r="H761" s="15"/>
      <c r="I761" s="15"/>
      <c r="J761" s="15"/>
      <c r="K761" s="15"/>
      <c r="L761" s="15"/>
      <c r="M761" s="15"/>
      <c r="N761" s="15"/>
    </row>
    <row r="762" spans="8:14" x14ac:dyDescent="0.2">
      <c r="H762" s="15"/>
      <c r="I762" s="15"/>
      <c r="J762" s="15"/>
      <c r="K762" s="15"/>
      <c r="L762" s="15"/>
      <c r="M762" s="15"/>
      <c r="N762" s="15"/>
    </row>
    <row r="763" spans="8:14" x14ac:dyDescent="0.2">
      <c r="H763" s="15"/>
      <c r="I763" s="15"/>
      <c r="J763" s="15"/>
      <c r="K763" s="15"/>
      <c r="L763" s="15"/>
      <c r="M763" s="15"/>
      <c r="N763" s="15"/>
    </row>
    <row r="764" spans="8:14" x14ac:dyDescent="0.2">
      <c r="H764" s="15"/>
      <c r="I764" s="15"/>
      <c r="J764" s="15"/>
      <c r="K764" s="15"/>
      <c r="L764" s="15"/>
      <c r="M764" s="15"/>
      <c r="N764" s="15"/>
    </row>
    <row r="765" spans="8:14" x14ac:dyDescent="0.2">
      <c r="H765" s="15"/>
      <c r="I765" s="15"/>
      <c r="J765" s="15"/>
      <c r="K765" s="15"/>
      <c r="L765" s="15"/>
      <c r="M765" s="15"/>
      <c r="N765" s="15"/>
    </row>
    <row r="766" spans="8:14" x14ac:dyDescent="0.2">
      <c r="H766" s="15"/>
      <c r="I766" s="15"/>
      <c r="J766" s="15"/>
      <c r="K766" s="15"/>
      <c r="L766" s="15"/>
      <c r="M766" s="15"/>
      <c r="N766" s="15"/>
    </row>
    <row r="767" spans="8:14" x14ac:dyDescent="0.2">
      <c r="H767" s="15"/>
      <c r="I767" s="15"/>
      <c r="J767" s="15"/>
      <c r="K767" s="15"/>
      <c r="L767" s="15"/>
      <c r="M767" s="15"/>
      <c r="N767" s="15"/>
    </row>
    <row r="768" spans="8:14" x14ac:dyDescent="0.2">
      <c r="H768" s="15"/>
      <c r="I768" s="15"/>
      <c r="J768" s="15"/>
      <c r="K768" s="15"/>
      <c r="L768" s="15"/>
      <c r="M768" s="15"/>
      <c r="N768" s="15"/>
    </row>
    <row r="769" spans="8:14" x14ac:dyDescent="0.2">
      <c r="H769" s="15"/>
      <c r="I769" s="15"/>
      <c r="J769" s="15"/>
      <c r="K769" s="15"/>
      <c r="L769" s="15"/>
      <c r="M769" s="15"/>
      <c r="N769" s="15"/>
    </row>
    <row r="770" spans="8:14" x14ac:dyDescent="0.2">
      <c r="H770" s="15"/>
      <c r="I770" s="15"/>
      <c r="J770" s="15"/>
      <c r="K770" s="15"/>
      <c r="L770" s="15"/>
      <c r="M770" s="15"/>
      <c r="N770" s="15"/>
    </row>
    <row r="771" spans="8:14" x14ac:dyDescent="0.2">
      <c r="H771" s="15"/>
      <c r="I771" s="15"/>
      <c r="J771" s="15"/>
      <c r="K771" s="15"/>
      <c r="L771" s="15"/>
      <c r="M771" s="15"/>
      <c r="N771" s="15"/>
    </row>
    <row r="772" spans="8:14" x14ac:dyDescent="0.2">
      <c r="H772" s="15"/>
      <c r="I772" s="15"/>
      <c r="J772" s="15"/>
      <c r="K772" s="15"/>
      <c r="L772" s="15"/>
      <c r="M772" s="15"/>
      <c r="N772" s="15"/>
    </row>
    <row r="773" spans="8:14" x14ac:dyDescent="0.2">
      <c r="H773" s="15"/>
      <c r="I773" s="15"/>
      <c r="J773" s="15"/>
      <c r="K773" s="15"/>
      <c r="L773" s="15"/>
      <c r="M773" s="15"/>
      <c r="N773" s="15"/>
    </row>
    <row r="774" spans="8:14" x14ac:dyDescent="0.2">
      <c r="H774" s="15"/>
      <c r="I774" s="15"/>
      <c r="J774" s="15"/>
      <c r="K774" s="15"/>
      <c r="L774" s="15"/>
      <c r="M774" s="15"/>
      <c r="N774" s="15"/>
    </row>
    <row r="775" spans="8:14" x14ac:dyDescent="0.2">
      <c r="H775" s="15"/>
      <c r="I775" s="15"/>
      <c r="J775" s="15"/>
      <c r="K775" s="15"/>
      <c r="L775" s="15"/>
      <c r="M775" s="15"/>
      <c r="N775" s="15"/>
    </row>
    <row r="776" spans="8:14" x14ac:dyDescent="0.2">
      <c r="H776" s="15"/>
      <c r="I776" s="15"/>
      <c r="J776" s="15"/>
      <c r="K776" s="15"/>
      <c r="L776" s="15"/>
      <c r="M776" s="15"/>
      <c r="N776" s="15"/>
    </row>
    <row r="777" spans="8:14" x14ac:dyDescent="0.2">
      <c r="H777" s="15"/>
      <c r="I777" s="15"/>
      <c r="J777" s="15"/>
      <c r="K777" s="15"/>
      <c r="L777" s="15"/>
      <c r="M777" s="15"/>
      <c r="N777" s="15"/>
    </row>
    <row r="778" spans="8:14" x14ac:dyDescent="0.2">
      <c r="H778" s="15"/>
      <c r="I778" s="15"/>
      <c r="J778" s="15"/>
      <c r="K778" s="15"/>
      <c r="L778" s="15"/>
      <c r="M778" s="15"/>
      <c r="N778" s="15"/>
    </row>
    <row r="779" spans="8:14" x14ac:dyDescent="0.2">
      <c r="H779" s="15"/>
      <c r="I779" s="15"/>
      <c r="J779" s="15"/>
      <c r="K779" s="15"/>
      <c r="L779" s="15"/>
      <c r="M779" s="15"/>
      <c r="N779" s="15"/>
    </row>
    <row r="780" spans="8:14" x14ac:dyDescent="0.2">
      <c r="H780" s="15"/>
      <c r="I780" s="15"/>
      <c r="J780" s="15"/>
      <c r="K780" s="15"/>
      <c r="L780" s="15"/>
      <c r="M780" s="15"/>
      <c r="N780" s="15"/>
    </row>
    <row r="781" spans="8:14" x14ac:dyDescent="0.2">
      <c r="H781" s="15"/>
      <c r="I781" s="15"/>
      <c r="J781" s="15"/>
      <c r="K781" s="15"/>
      <c r="L781" s="15"/>
      <c r="M781" s="15"/>
      <c r="N781" s="15"/>
    </row>
    <row r="782" spans="8:14" x14ac:dyDescent="0.2">
      <c r="H782" s="15"/>
      <c r="I782" s="15"/>
      <c r="J782" s="15"/>
      <c r="K782" s="15"/>
      <c r="L782" s="15"/>
      <c r="M782" s="15"/>
      <c r="N782" s="15"/>
    </row>
    <row r="783" spans="8:14" x14ac:dyDescent="0.2">
      <c r="H783" s="15"/>
      <c r="I783" s="15"/>
      <c r="J783" s="15"/>
      <c r="K783" s="15"/>
      <c r="L783" s="15"/>
      <c r="M783" s="15"/>
      <c r="N783" s="15"/>
    </row>
    <row r="784" spans="8:14" x14ac:dyDescent="0.2">
      <c r="H784" s="15"/>
      <c r="I784" s="15"/>
      <c r="J784" s="15"/>
      <c r="K784" s="15"/>
      <c r="L784" s="15"/>
      <c r="M784" s="15"/>
      <c r="N784" s="15"/>
    </row>
    <row r="785" spans="8:14" x14ac:dyDescent="0.2">
      <c r="H785" s="15"/>
      <c r="I785" s="15"/>
      <c r="J785" s="15"/>
      <c r="K785" s="15"/>
      <c r="L785" s="15"/>
      <c r="M785" s="15"/>
      <c r="N785" s="15"/>
    </row>
    <row r="786" spans="8:14" x14ac:dyDescent="0.2">
      <c r="H786" s="15"/>
      <c r="I786" s="15"/>
      <c r="J786" s="15"/>
      <c r="K786" s="15"/>
      <c r="L786" s="15"/>
      <c r="M786" s="15"/>
      <c r="N786" s="15"/>
    </row>
    <row r="787" spans="8:14" x14ac:dyDescent="0.2">
      <c r="H787" s="15"/>
      <c r="I787" s="15"/>
      <c r="J787" s="15"/>
      <c r="K787" s="15"/>
      <c r="L787" s="15"/>
      <c r="M787" s="15"/>
      <c r="N787" s="15"/>
    </row>
    <row r="788" spans="8:14" x14ac:dyDescent="0.2">
      <c r="H788" s="15"/>
      <c r="I788" s="15"/>
      <c r="J788" s="15"/>
      <c r="K788" s="15"/>
      <c r="L788" s="15"/>
      <c r="M788" s="15"/>
      <c r="N788" s="15"/>
    </row>
    <row r="789" spans="8:14" x14ac:dyDescent="0.2">
      <c r="H789" s="15"/>
      <c r="I789" s="15"/>
      <c r="J789" s="15"/>
      <c r="K789" s="15"/>
      <c r="L789" s="15"/>
      <c r="M789" s="15"/>
      <c r="N789" s="15"/>
    </row>
    <row r="790" spans="8:14" x14ac:dyDescent="0.2">
      <c r="H790" s="15"/>
      <c r="I790" s="15"/>
      <c r="J790" s="15"/>
      <c r="K790" s="15"/>
      <c r="L790" s="15"/>
      <c r="M790" s="15"/>
      <c r="N790" s="15"/>
    </row>
    <row r="791" spans="8:14" x14ac:dyDescent="0.2">
      <c r="H791" s="15"/>
      <c r="I791" s="15"/>
      <c r="J791" s="15"/>
      <c r="K791" s="15"/>
      <c r="L791" s="15"/>
      <c r="M791" s="15"/>
      <c r="N791" s="15"/>
    </row>
    <row r="792" spans="8:14" x14ac:dyDescent="0.2">
      <c r="H792" s="15"/>
      <c r="I792" s="15"/>
      <c r="J792" s="15"/>
      <c r="K792" s="15"/>
      <c r="L792" s="15"/>
      <c r="M792" s="15"/>
      <c r="N792" s="15"/>
    </row>
    <row r="793" spans="8:14" x14ac:dyDescent="0.2">
      <c r="H793" s="15"/>
      <c r="I793" s="15"/>
      <c r="J793" s="15"/>
      <c r="K793" s="15"/>
      <c r="L793" s="15"/>
      <c r="M793" s="15"/>
      <c r="N793" s="15"/>
    </row>
    <row r="794" spans="8:14" x14ac:dyDescent="0.2">
      <c r="H794" s="15"/>
      <c r="I794" s="15"/>
      <c r="J794" s="15"/>
      <c r="K794" s="15"/>
      <c r="L794" s="15"/>
      <c r="M794" s="15"/>
      <c r="N794" s="15"/>
    </row>
    <row r="795" spans="8:14" x14ac:dyDescent="0.2">
      <c r="H795" s="15"/>
      <c r="I795" s="15"/>
      <c r="J795" s="15"/>
      <c r="K795" s="15"/>
      <c r="L795" s="15"/>
      <c r="M795" s="15"/>
      <c r="N795" s="15"/>
    </row>
    <row r="796" spans="8:14" x14ac:dyDescent="0.2">
      <c r="H796" s="15"/>
      <c r="I796" s="15"/>
      <c r="J796" s="15"/>
      <c r="K796" s="15"/>
      <c r="L796" s="15"/>
      <c r="M796" s="15"/>
      <c r="N796" s="15"/>
    </row>
    <row r="797" spans="8:14" x14ac:dyDescent="0.2">
      <c r="H797" s="15"/>
      <c r="I797" s="15"/>
      <c r="J797" s="15"/>
      <c r="K797" s="15"/>
      <c r="L797" s="15"/>
      <c r="M797" s="15"/>
      <c r="N797" s="15"/>
    </row>
    <row r="798" spans="8:14" x14ac:dyDescent="0.2">
      <c r="H798" s="15"/>
      <c r="I798" s="15"/>
      <c r="J798" s="15"/>
      <c r="K798" s="15"/>
      <c r="L798" s="15"/>
      <c r="M798" s="15"/>
      <c r="N798" s="15"/>
    </row>
    <row r="799" spans="8:14" x14ac:dyDescent="0.2">
      <c r="H799" s="15"/>
      <c r="I799" s="15"/>
      <c r="J799" s="15"/>
      <c r="K799" s="15"/>
      <c r="L799" s="15"/>
      <c r="M799" s="15"/>
      <c r="N799" s="15"/>
    </row>
    <row r="800" spans="8:14" x14ac:dyDescent="0.2">
      <c r="H800" s="15"/>
      <c r="I800" s="15"/>
      <c r="J800" s="15"/>
      <c r="K800" s="15"/>
      <c r="L800" s="15"/>
      <c r="M800" s="15"/>
      <c r="N800" s="15"/>
    </row>
    <row r="801" spans="8:14" x14ac:dyDescent="0.2">
      <c r="H801" s="15"/>
      <c r="I801" s="15"/>
      <c r="J801" s="15"/>
      <c r="K801" s="15"/>
      <c r="L801" s="15"/>
      <c r="M801" s="15"/>
      <c r="N801" s="15"/>
    </row>
    <row r="802" spans="8:14" x14ac:dyDescent="0.2">
      <c r="H802" s="15"/>
      <c r="I802" s="15"/>
      <c r="J802" s="15"/>
      <c r="K802" s="15"/>
      <c r="L802" s="15"/>
      <c r="M802" s="15"/>
      <c r="N802" s="15"/>
    </row>
    <row r="803" spans="8:14" x14ac:dyDescent="0.2">
      <c r="H803" s="15"/>
      <c r="I803" s="15"/>
      <c r="J803" s="15"/>
      <c r="K803" s="15"/>
      <c r="L803" s="15"/>
      <c r="M803" s="15"/>
      <c r="N803" s="15"/>
    </row>
    <row r="804" spans="8:14" x14ac:dyDescent="0.2">
      <c r="H804" s="15"/>
      <c r="I804" s="15"/>
      <c r="J804" s="15"/>
      <c r="K804" s="15"/>
      <c r="L804" s="15"/>
      <c r="M804" s="15"/>
      <c r="N804" s="15"/>
    </row>
    <row r="805" spans="8:14" x14ac:dyDescent="0.2">
      <c r="H805" s="15"/>
      <c r="I805" s="15"/>
      <c r="J805" s="15"/>
      <c r="K805" s="15"/>
      <c r="L805" s="15"/>
      <c r="M805" s="15"/>
      <c r="N805" s="15"/>
    </row>
    <row r="806" spans="8:14" x14ac:dyDescent="0.2">
      <c r="H806" s="15"/>
      <c r="I806" s="15"/>
      <c r="J806" s="15"/>
      <c r="K806" s="15"/>
      <c r="L806" s="15"/>
      <c r="M806" s="15"/>
      <c r="N806" s="15"/>
    </row>
    <row r="807" spans="8:14" x14ac:dyDescent="0.2">
      <c r="H807" s="15"/>
      <c r="I807" s="15"/>
      <c r="J807" s="15"/>
      <c r="K807" s="15"/>
      <c r="L807" s="15"/>
      <c r="M807" s="15"/>
      <c r="N807" s="15"/>
    </row>
    <row r="808" spans="8:14" x14ac:dyDescent="0.2">
      <c r="H808" s="15"/>
      <c r="I808" s="15"/>
      <c r="J808" s="15"/>
      <c r="K808" s="15"/>
      <c r="L808" s="15"/>
      <c r="M808" s="15"/>
      <c r="N808" s="15"/>
    </row>
    <row r="809" spans="8:14" x14ac:dyDescent="0.2">
      <c r="H809" s="15"/>
      <c r="I809" s="15"/>
      <c r="J809" s="15"/>
      <c r="K809" s="15"/>
      <c r="L809" s="15"/>
      <c r="M809" s="15"/>
      <c r="N809" s="15"/>
    </row>
    <row r="810" spans="8:14" x14ac:dyDescent="0.2">
      <c r="H810" s="15"/>
      <c r="I810" s="15"/>
      <c r="J810" s="15"/>
      <c r="K810" s="15"/>
      <c r="L810" s="15"/>
      <c r="M810" s="15"/>
      <c r="N810" s="15"/>
    </row>
    <row r="811" spans="8:14" x14ac:dyDescent="0.2">
      <c r="H811" s="15"/>
      <c r="I811" s="15"/>
      <c r="J811" s="15"/>
      <c r="K811" s="15"/>
      <c r="L811" s="15"/>
      <c r="M811" s="15"/>
      <c r="N811" s="15"/>
    </row>
    <row r="812" spans="8:14" x14ac:dyDescent="0.2">
      <c r="H812" s="15"/>
      <c r="I812" s="15"/>
      <c r="J812" s="15"/>
      <c r="K812" s="15"/>
      <c r="L812" s="15"/>
      <c r="M812" s="15"/>
      <c r="N812" s="15"/>
    </row>
    <row r="813" spans="8:14" x14ac:dyDescent="0.2">
      <c r="H813" s="15"/>
      <c r="I813" s="15"/>
      <c r="J813" s="15"/>
      <c r="K813" s="15"/>
      <c r="L813" s="15"/>
      <c r="M813" s="15"/>
      <c r="N813" s="15"/>
    </row>
    <row r="814" spans="8:14" x14ac:dyDescent="0.2">
      <c r="H814" s="15"/>
      <c r="I814" s="15"/>
      <c r="J814" s="15"/>
      <c r="K814" s="15"/>
      <c r="L814" s="15"/>
      <c r="M814" s="15"/>
      <c r="N814" s="15"/>
    </row>
    <row r="815" spans="8:14" x14ac:dyDescent="0.2">
      <c r="H815" s="15"/>
      <c r="I815" s="15"/>
      <c r="J815" s="15"/>
      <c r="K815" s="15"/>
      <c r="L815" s="15"/>
      <c r="M815" s="15"/>
      <c r="N815" s="15"/>
    </row>
    <row r="816" spans="8:14" x14ac:dyDescent="0.2">
      <c r="H816" s="15"/>
      <c r="I816" s="15"/>
      <c r="J816" s="15"/>
      <c r="K816" s="15"/>
      <c r="L816" s="15"/>
      <c r="M816" s="15"/>
      <c r="N816" s="15"/>
    </row>
    <row r="817" spans="8:14" x14ac:dyDescent="0.2">
      <c r="H817" s="15"/>
      <c r="I817" s="15"/>
      <c r="J817" s="15"/>
      <c r="K817" s="15"/>
      <c r="L817" s="15"/>
      <c r="M817" s="15"/>
      <c r="N817" s="15"/>
    </row>
    <row r="818" spans="8:14" x14ac:dyDescent="0.2">
      <c r="H818" s="15"/>
      <c r="I818" s="15"/>
      <c r="J818" s="15"/>
      <c r="K818" s="15"/>
      <c r="L818" s="15"/>
      <c r="M818" s="15"/>
      <c r="N818" s="15"/>
    </row>
    <row r="819" spans="8:14" x14ac:dyDescent="0.2">
      <c r="H819" s="15"/>
      <c r="I819" s="15"/>
      <c r="J819" s="15"/>
      <c r="K819" s="15"/>
      <c r="L819" s="15"/>
      <c r="M819" s="15"/>
      <c r="N819" s="15"/>
    </row>
    <row r="820" spans="8:14" x14ac:dyDescent="0.2">
      <c r="H820" s="15"/>
      <c r="I820" s="15"/>
      <c r="J820" s="15"/>
      <c r="K820" s="15"/>
      <c r="L820" s="15"/>
      <c r="M820" s="15"/>
      <c r="N820" s="15"/>
    </row>
    <row r="821" spans="8:14" x14ac:dyDescent="0.2">
      <c r="H821" s="15"/>
      <c r="I821" s="15"/>
      <c r="J821" s="15"/>
      <c r="K821" s="15"/>
      <c r="L821" s="15"/>
      <c r="M821" s="15"/>
      <c r="N821" s="15"/>
    </row>
    <row r="822" spans="8:14" x14ac:dyDescent="0.2">
      <c r="H822" s="15"/>
      <c r="I822" s="15"/>
      <c r="J822" s="15"/>
      <c r="K822" s="15"/>
      <c r="L822" s="15"/>
      <c r="M822" s="15"/>
      <c r="N822" s="15"/>
    </row>
    <row r="823" spans="8:14" x14ac:dyDescent="0.2">
      <c r="H823" s="15"/>
      <c r="I823" s="15"/>
      <c r="J823" s="15"/>
      <c r="K823" s="15"/>
      <c r="L823" s="15"/>
      <c r="M823" s="15"/>
      <c r="N823" s="15"/>
    </row>
    <row r="824" spans="8:14" x14ac:dyDescent="0.2">
      <c r="H824" s="15"/>
      <c r="I824" s="15"/>
      <c r="J824" s="15"/>
      <c r="K824" s="15"/>
      <c r="L824" s="15"/>
      <c r="M824" s="15"/>
      <c r="N824" s="15"/>
    </row>
    <row r="825" spans="8:14" x14ac:dyDescent="0.2">
      <c r="H825" s="15"/>
      <c r="I825" s="15"/>
      <c r="J825" s="15"/>
      <c r="K825" s="15"/>
      <c r="L825" s="15"/>
      <c r="M825" s="15"/>
      <c r="N825" s="15"/>
    </row>
    <row r="826" spans="8:14" x14ac:dyDescent="0.2">
      <c r="H826" s="15"/>
      <c r="I826" s="15"/>
      <c r="J826" s="15"/>
      <c r="K826" s="15"/>
      <c r="L826" s="15"/>
      <c r="M826" s="15"/>
      <c r="N826" s="15"/>
    </row>
    <row r="827" spans="8:14" x14ac:dyDescent="0.2">
      <c r="H827" s="15"/>
      <c r="I827" s="15"/>
      <c r="J827" s="15"/>
      <c r="K827" s="15"/>
      <c r="L827" s="15"/>
      <c r="M827" s="15"/>
      <c r="N827" s="15"/>
    </row>
    <row r="828" spans="8:14" x14ac:dyDescent="0.2">
      <c r="H828" s="15"/>
      <c r="I828" s="15"/>
      <c r="J828" s="15"/>
      <c r="K828" s="15"/>
      <c r="L828" s="15"/>
      <c r="M828" s="15"/>
      <c r="N828" s="15"/>
    </row>
    <row r="829" spans="8:14" x14ac:dyDescent="0.2">
      <c r="H829" s="15"/>
      <c r="I829" s="15"/>
      <c r="J829" s="15"/>
      <c r="K829" s="15"/>
      <c r="L829" s="15"/>
      <c r="M829" s="15"/>
      <c r="N829" s="15"/>
    </row>
    <row r="830" spans="8:14" x14ac:dyDescent="0.2">
      <c r="H830" s="15"/>
      <c r="I830" s="15"/>
      <c r="J830" s="15"/>
      <c r="K830" s="15"/>
      <c r="L830" s="15"/>
      <c r="M830" s="15"/>
      <c r="N830" s="15"/>
    </row>
    <row r="831" spans="8:14" x14ac:dyDescent="0.2">
      <c r="H831" s="15"/>
      <c r="I831" s="15"/>
      <c r="J831" s="15"/>
      <c r="K831" s="15"/>
      <c r="L831" s="15"/>
      <c r="M831" s="15"/>
      <c r="N831" s="15"/>
    </row>
    <row r="832" spans="8:14" x14ac:dyDescent="0.2">
      <c r="H832" s="15"/>
      <c r="I832" s="15"/>
      <c r="J832" s="15"/>
      <c r="K832" s="15"/>
      <c r="L832" s="15"/>
      <c r="M832" s="15"/>
      <c r="N832" s="15"/>
    </row>
    <row r="833" spans="8:14" x14ac:dyDescent="0.2">
      <c r="H833" s="15"/>
      <c r="I833" s="15"/>
      <c r="J833" s="15"/>
      <c r="K833" s="15"/>
      <c r="L833" s="15"/>
      <c r="M833" s="15"/>
      <c r="N833" s="15"/>
    </row>
    <row r="834" spans="8:14" x14ac:dyDescent="0.2">
      <c r="H834" s="15"/>
      <c r="I834" s="15"/>
      <c r="J834" s="15"/>
      <c r="K834" s="15"/>
      <c r="L834" s="15"/>
      <c r="M834" s="15"/>
      <c r="N834" s="15"/>
    </row>
    <row r="835" spans="8:14" x14ac:dyDescent="0.2">
      <c r="H835" s="15"/>
      <c r="I835" s="15"/>
      <c r="J835" s="15"/>
      <c r="K835" s="15"/>
      <c r="L835" s="15"/>
      <c r="M835" s="15"/>
      <c r="N835" s="15"/>
    </row>
    <row r="836" spans="8:14" x14ac:dyDescent="0.2">
      <c r="H836" s="15"/>
      <c r="I836" s="15"/>
      <c r="J836" s="15"/>
      <c r="K836" s="15"/>
      <c r="L836" s="15"/>
      <c r="M836" s="15"/>
      <c r="N836" s="15"/>
    </row>
    <row r="837" spans="8:14" x14ac:dyDescent="0.2">
      <c r="H837" s="15"/>
      <c r="I837" s="15"/>
      <c r="J837" s="15"/>
      <c r="K837" s="15"/>
      <c r="L837" s="15"/>
      <c r="M837" s="15"/>
      <c r="N837" s="15"/>
    </row>
    <row r="838" spans="8:14" x14ac:dyDescent="0.2">
      <c r="H838" s="15"/>
      <c r="I838" s="15"/>
      <c r="J838" s="15"/>
      <c r="K838" s="15"/>
      <c r="L838" s="15"/>
      <c r="M838" s="15"/>
      <c r="N838" s="15"/>
    </row>
    <row r="839" spans="8:14" x14ac:dyDescent="0.2">
      <c r="H839" s="15"/>
      <c r="I839" s="15"/>
      <c r="J839" s="15"/>
      <c r="K839" s="15"/>
      <c r="L839" s="15"/>
      <c r="M839" s="15"/>
      <c r="N839" s="15"/>
    </row>
    <row r="840" spans="8:14" x14ac:dyDescent="0.2">
      <c r="H840" s="15"/>
      <c r="I840" s="15"/>
      <c r="J840" s="15"/>
      <c r="K840" s="15"/>
      <c r="L840" s="15"/>
      <c r="M840" s="15"/>
      <c r="N840" s="15"/>
    </row>
    <row r="841" spans="8:14" x14ac:dyDescent="0.2">
      <c r="H841" s="15"/>
      <c r="I841" s="15"/>
      <c r="J841" s="15"/>
      <c r="K841" s="15"/>
      <c r="L841" s="15"/>
      <c r="M841" s="15"/>
      <c r="N841" s="15"/>
    </row>
    <row r="842" spans="8:14" x14ac:dyDescent="0.2">
      <c r="H842" s="15"/>
      <c r="I842" s="15"/>
      <c r="J842" s="15"/>
      <c r="K842" s="15"/>
      <c r="L842" s="15"/>
      <c r="M842" s="15"/>
      <c r="N842" s="15"/>
    </row>
    <row r="843" spans="8:14" x14ac:dyDescent="0.2">
      <c r="H843" s="15"/>
      <c r="I843" s="15"/>
      <c r="J843" s="15"/>
      <c r="K843" s="15"/>
      <c r="L843" s="15"/>
      <c r="M843" s="15"/>
      <c r="N843" s="15"/>
    </row>
    <row r="844" spans="8:14" x14ac:dyDescent="0.2">
      <c r="H844" s="15"/>
      <c r="I844" s="15"/>
      <c r="J844" s="15"/>
      <c r="K844" s="15"/>
      <c r="L844" s="15"/>
      <c r="M844" s="15"/>
      <c r="N844" s="15"/>
    </row>
    <row r="845" spans="8:14" x14ac:dyDescent="0.2">
      <c r="H845" s="15"/>
      <c r="I845" s="15"/>
      <c r="J845" s="15"/>
      <c r="K845" s="15"/>
      <c r="L845" s="15"/>
      <c r="M845" s="15"/>
      <c r="N845" s="15"/>
    </row>
    <row r="846" spans="8:14" x14ac:dyDescent="0.2">
      <c r="H846" s="15"/>
      <c r="I846" s="15"/>
      <c r="J846" s="15"/>
      <c r="K846" s="15"/>
      <c r="L846" s="15"/>
      <c r="M846" s="15"/>
      <c r="N846" s="15"/>
    </row>
    <row r="847" spans="8:14" x14ac:dyDescent="0.2">
      <c r="H847" s="15"/>
      <c r="I847" s="15"/>
      <c r="J847" s="15"/>
      <c r="K847" s="15"/>
      <c r="L847" s="15"/>
      <c r="M847" s="15"/>
      <c r="N847" s="15"/>
    </row>
    <row r="848" spans="8:14" x14ac:dyDescent="0.2">
      <c r="H848" s="15"/>
      <c r="I848" s="15"/>
      <c r="J848" s="15"/>
      <c r="K848" s="15"/>
      <c r="L848" s="15"/>
      <c r="M848" s="15"/>
      <c r="N848" s="15"/>
    </row>
    <row r="849" spans="8:14" x14ac:dyDescent="0.2">
      <c r="H849" s="15"/>
      <c r="I849" s="15"/>
      <c r="J849" s="15"/>
      <c r="K849" s="15"/>
      <c r="L849" s="15"/>
      <c r="M849" s="15"/>
      <c r="N849" s="15"/>
    </row>
    <row r="850" spans="8:14" x14ac:dyDescent="0.2">
      <c r="H850" s="15"/>
      <c r="I850" s="15"/>
      <c r="J850" s="15"/>
      <c r="K850" s="15"/>
      <c r="L850" s="15"/>
      <c r="M850" s="15"/>
      <c r="N850" s="15"/>
    </row>
    <row r="851" spans="8:14" x14ac:dyDescent="0.2">
      <c r="H851" s="15"/>
      <c r="I851" s="15"/>
      <c r="J851" s="15"/>
      <c r="K851" s="15"/>
      <c r="L851" s="15"/>
      <c r="M851" s="15"/>
      <c r="N851" s="15"/>
    </row>
    <row r="852" spans="8:14" x14ac:dyDescent="0.2">
      <c r="H852" s="15"/>
      <c r="I852" s="15"/>
      <c r="J852" s="15"/>
      <c r="K852" s="15"/>
      <c r="L852" s="15"/>
      <c r="M852" s="15"/>
      <c r="N852" s="15"/>
    </row>
    <row r="853" spans="8:14" x14ac:dyDescent="0.2">
      <c r="H853" s="15"/>
      <c r="I853" s="15"/>
      <c r="J853" s="15"/>
      <c r="K853" s="15"/>
      <c r="L853" s="15"/>
      <c r="M853" s="15"/>
      <c r="N853" s="15"/>
    </row>
    <row r="854" spans="8:14" x14ac:dyDescent="0.2">
      <c r="H854" s="15"/>
      <c r="I854" s="15"/>
      <c r="J854" s="15"/>
      <c r="K854" s="15"/>
      <c r="L854" s="15"/>
      <c r="M854" s="15"/>
      <c r="N854" s="15"/>
    </row>
    <row r="855" spans="8:14" x14ac:dyDescent="0.2">
      <c r="H855" s="15"/>
      <c r="I855" s="15"/>
      <c r="J855" s="15"/>
      <c r="K855" s="15"/>
      <c r="L855" s="15"/>
      <c r="M855" s="15"/>
      <c r="N855" s="15"/>
    </row>
    <row r="856" spans="8:14" x14ac:dyDescent="0.2">
      <c r="H856" s="15"/>
      <c r="I856" s="15"/>
      <c r="J856" s="15"/>
      <c r="K856" s="15"/>
      <c r="L856" s="15"/>
      <c r="M856" s="15"/>
      <c r="N856" s="15"/>
    </row>
    <row r="857" spans="8:14" x14ac:dyDescent="0.2">
      <c r="H857" s="15"/>
      <c r="I857" s="15"/>
      <c r="J857" s="15"/>
      <c r="K857" s="15"/>
      <c r="L857" s="15"/>
      <c r="M857" s="15"/>
      <c r="N857" s="15"/>
    </row>
    <row r="858" spans="8:14" x14ac:dyDescent="0.2">
      <c r="H858" s="15"/>
      <c r="I858" s="15"/>
      <c r="J858" s="15"/>
      <c r="K858" s="15"/>
      <c r="L858" s="15"/>
      <c r="M858" s="15"/>
      <c r="N858" s="15"/>
    </row>
    <row r="859" spans="8:14" x14ac:dyDescent="0.2">
      <c r="H859" s="15"/>
      <c r="I859" s="15"/>
      <c r="J859" s="15"/>
      <c r="K859" s="15"/>
      <c r="L859" s="15"/>
      <c r="M859" s="15"/>
      <c r="N859" s="15"/>
    </row>
    <row r="860" spans="8:14" x14ac:dyDescent="0.2">
      <c r="H860" s="15"/>
      <c r="I860" s="15"/>
      <c r="J860" s="15"/>
      <c r="K860" s="15"/>
      <c r="L860" s="15"/>
      <c r="M860" s="15"/>
      <c r="N860" s="15"/>
    </row>
    <row r="861" spans="8:14" x14ac:dyDescent="0.2">
      <c r="H861" s="15"/>
      <c r="I861" s="15"/>
      <c r="J861" s="15"/>
      <c r="K861" s="15"/>
      <c r="L861" s="15"/>
      <c r="M861" s="15"/>
      <c r="N861" s="15"/>
    </row>
    <row r="862" spans="8:14" x14ac:dyDescent="0.2">
      <c r="H862" s="15"/>
      <c r="I862" s="15"/>
      <c r="J862" s="15"/>
      <c r="K862" s="15"/>
      <c r="L862" s="15"/>
      <c r="M862" s="15"/>
      <c r="N862" s="15"/>
    </row>
    <row r="863" spans="8:14" x14ac:dyDescent="0.2">
      <c r="H863" s="15"/>
      <c r="I863" s="15"/>
      <c r="J863" s="15"/>
      <c r="K863" s="15"/>
      <c r="L863" s="15"/>
      <c r="M863" s="15"/>
      <c r="N863" s="15"/>
    </row>
    <row r="864" spans="8:14" x14ac:dyDescent="0.2">
      <c r="H864" s="15"/>
      <c r="I864" s="15"/>
      <c r="J864" s="15"/>
      <c r="K864" s="15"/>
      <c r="L864" s="15"/>
      <c r="M864" s="15"/>
      <c r="N864" s="15"/>
    </row>
    <row r="865" spans="8:14" x14ac:dyDescent="0.2">
      <c r="H865" s="15"/>
      <c r="I865" s="15"/>
      <c r="J865" s="15"/>
      <c r="K865" s="15"/>
      <c r="L865" s="15"/>
      <c r="M865" s="15"/>
      <c r="N865" s="15"/>
    </row>
    <row r="866" spans="8:14" x14ac:dyDescent="0.2">
      <c r="H866" s="15"/>
      <c r="I866" s="15"/>
      <c r="J866" s="15"/>
      <c r="K866" s="15"/>
      <c r="L866" s="15"/>
      <c r="M866" s="15"/>
      <c r="N866" s="15"/>
    </row>
    <row r="867" spans="8:14" x14ac:dyDescent="0.2">
      <c r="H867" s="15"/>
      <c r="I867" s="15"/>
      <c r="J867" s="15"/>
      <c r="K867" s="15"/>
      <c r="L867" s="15"/>
      <c r="M867" s="15"/>
      <c r="N867" s="15"/>
    </row>
    <row r="868" spans="8:14" x14ac:dyDescent="0.2">
      <c r="H868" s="15"/>
      <c r="I868" s="15"/>
      <c r="J868" s="15"/>
      <c r="K868" s="15"/>
      <c r="L868" s="15"/>
      <c r="M868" s="15"/>
      <c r="N868" s="15"/>
    </row>
    <row r="869" spans="8:14" x14ac:dyDescent="0.2">
      <c r="H869" s="15"/>
      <c r="I869" s="15"/>
      <c r="J869" s="15"/>
      <c r="K869" s="15"/>
      <c r="L869" s="15"/>
      <c r="M869" s="15"/>
      <c r="N869" s="15"/>
    </row>
    <row r="870" spans="8:14" x14ac:dyDescent="0.2">
      <c r="H870" s="15"/>
      <c r="I870" s="15"/>
      <c r="J870" s="15"/>
      <c r="K870" s="15"/>
      <c r="L870" s="15"/>
      <c r="M870" s="15"/>
      <c r="N870" s="15"/>
    </row>
    <row r="871" spans="8:14" x14ac:dyDescent="0.2">
      <c r="H871" s="15"/>
      <c r="I871" s="15"/>
      <c r="J871" s="15"/>
      <c r="K871" s="15"/>
      <c r="L871" s="15"/>
      <c r="M871" s="15"/>
      <c r="N871" s="15"/>
    </row>
    <row r="872" spans="8:14" x14ac:dyDescent="0.2">
      <c r="H872" s="15"/>
      <c r="I872" s="15"/>
      <c r="J872" s="15"/>
      <c r="K872" s="15"/>
      <c r="L872" s="15"/>
      <c r="M872" s="15"/>
      <c r="N872" s="15"/>
    </row>
    <row r="873" spans="8:14" x14ac:dyDescent="0.2">
      <c r="H873" s="15"/>
      <c r="I873" s="15"/>
      <c r="J873" s="15"/>
      <c r="K873" s="15"/>
      <c r="L873" s="15"/>
      <c r="M873" s="15"/>
      <c r="N873" s="15"/>
    </row>
    <row r="874" spans="8:14" x14ac:dyDescent="0.2">
      <c r="H874" s="15"/>
      <c r="I874" s="15"/>
      <c r="J874" s="15"/>
      <c r="K874" s="15"/>
      <c r="L874" s="15"/>
      <c r="M874" s="15"/>
      <c r="N874" s="15"/>
    </row>
    <row r="875" spans="8:14" x14ac:dyDescent="0.2">
      <c r="H875" s="15"/>
      <c r="I875" s="15"/>
      <c r="J875" s="15"/>
      <c r="K875" s="15"/>
      <c r="L875" s="15"/>
      <c r="M875" s="15"/>
      <c r="N875" s="15"/>
    </row>
    <row r="876" spans="8:14" x14ac:dyDescent="0.2">
      <c r="H876" s="15"/>
      <c r="I876" s="15"/>
      <c r="J876" s="15"/>
      <c r="K876" s="15"/>
      <c r="L876" s="15"/>
      <c r="M876" s="15"/>
      <c r="N876" s="15"/>
    </row>
    <row r="877" spans="8:14" x14ac:dyDescent="0.2">
      <c r="H877" s="15"/>
      <c r="I877" s="15"/>
      <c r="J877" s="15"/>
      <c r="K877" s="15"/>
      <c r="L877" s="15"/>
      <c r="M877" s="15"/>
      <c r="N877" s="15"/>
    </row>
    <row r="878" spans="8:14" x14ac:dyDescent="0.2">
      <c r="H878" s="15"/>
      <c r="I878" s="15"/>
      <c r="J878" s="15"/>
      <c r="K878" s="15"/>
      <c r="L878" s="15"/>
      <c r="M878" s="15"/>
      <c r="N878" s="15"/>
    </row>
    <row r="879" spans="8:14" x14ac:dyDescent="0.2">
      <c r="H879" s="15"/>
      <c r="I879" s="15"/>
      <c r="J879" s="15"/>
      <c r="K879" s="15"/>
      <c r="L879" s="15"/>
      <c r="M879" s="15"/>
      <c r="N879" s="15"/>
    </row>
    <row r="880" spans="8:14" x14ac:dyDescent="0.2">
      <c r="H880" s="15"/>
      <c r="I880" s="15"/>
      <c r="J880" s="15"/>
      <c r="K880" s="15"/>
      <c r="L880" s="15"/>
      <c r="M880" s="15"/>
      <c r="N880" s="15"/>
    </row>
    <row r="881" spans="8:14" x14ac:dyDescent="0.2">
      <c r="H881" s="15"/>
      <c r="I881" s="15"/>
      <c r="J881" s="15"/>
      <c r="K881" s="15"/>
      <c r="L881" s="15"/>
      <c r="M881" s="15"/>
      <c r="N881" s="15"/>
    </row>
    <row r="882" spans="8:14" x14ac:dyDescent="0.2">
      <c r="H882" s="15"/>
      <c r="I882" s="15"/>
      <c r="J882" s="15"/>
      <c r="K882" s="15"/>
      <c r="L882" s="15"/>
      <c r="M882" s="15"/>
      <c r="N882" s="15"/>
    </row>
    <row r="883" spans="8:14" x14ac:dyDescent="0.2">
      <c r="H883" s="15"/>
      <c r="I883" s="15"/>
      <c r="J883" s="15"/>
      <c r="K883" s="15"/>
      <c r="L883" s="15"/>
      <c r="M883" s="15"/>
      <c r="N883" s="15"/>
    </row>
    <row r="884" spans="8:14" x14ac:dyDescent="0.2">
      <c r="H884" s="15"/>
      <c r="I884" s="15"/>
      <c r="J884" s="15"/>
      <c r="K884" s="15"/>
      <c r="L884" s="15"/>
      <c r="M884" s="15"/>
      <c r="N884" s="15"/>
    </row>
    <row r="885" spans="8:14" x14ac:dyDescent="0.2">
      <c r="H885" s="15"/>
      <c r="I885" s="15"/>
      <c r="J885" s="15"/>
      <c r="K885" s="15"/>
      <c r="L885" s="15"/>
      <c r="M885" s="15"/>
      <c r="N885" s="15"/>
    </row>
    <row r="886" spans="8:14" x14ac:dyDescent="0.2">
      <c r="H886" s="15"/>
      <c r="I886" s="15"/>
      <c r="J886" s="15"/>
      <c r="K886" s="15"/>
      <c r="L886" s="15"/>
      <c r="M886" s="15"/>
      <c r="N886" s="15"/>
    </row>
    <row r="887" spans="8:14" x14ac:dyDescent="0.2">
      <c r="H887" s="15"/>
      <c r="I887" s="15"/>
      <c r="J887" s="15"/>
      <c r="K887" s="15"/>
      <c r="L887" s="15"/>
      <c r="M887" s="15"/>
      <c r="N887" s="15"/>
    </row>
    <row r="888" spans="8:14" x14ac:dyDescent="0.2">
      <c r="H888" s="15"/>
      <c r="I888" s="15"/>
      <c r="J888" s="15"/>
      <c r="K888" s="15"/>
      <c r="L888" s="15"/>
      <c r="M888" s="15"/>
      <c r="N888" s="15"/>
    </row>
    <row r="889" spans="8:14" x14ac:dyDescent="0.2">
      <c r="H889" s="15"/>
      <c r="I889" s="15"/>
      <c r="J889" s="15"/>
      <c r="K889" s="15"/>
      <c r="L889" s="15"/>
      <c r="M889" s="15"/>
      <c r="N889" s="15"/>
    </row>
    <row r="890" spans="8:14" x14ac:dyDescent="0.2">
      <c r="H890" s="15"/>
      <c r="I890" s="15"/>
      <c r="J890" s="15"/>
      <c r="K890" s="15"/>
      <c r="L890" s="15"/>
      <c r="M890" s="15"/>
      <c r="N890" s="15"/>
    </row>
    <row r="891" spans="8:14" x14ac:dyDescent="0.2">
      <c r="H891" s="15"/>
      <c r="I891" s="15"/>
      <c r="J891" s="15"/>
      <c r="K891" s="15"/>
      <c r="L891" s="15"/>
      <c r="M891" s="15"/>
      <c r="N891" s="15"/>
    </row>
    <row r="892" spans="8:14" x14ac:dyDescent="0.2">
      <c r="H892" s="15"/>
      <c r="I892" s="15"/>
      <c r="J892" s="15"/>
      <c r="K892" s="15"/>
      <c r="L892" s="15"/>
      <c r="M892" s="15"/>
      <c r="N892" s="15"/>
    </row>
    <row r="893" spans="8:14" x14ac:dyDescent="0.2">
      <c r="H893" s="15"/>
      <c r="I893" s="15"/>
      <c r="J893" s="15"/>
      <c r="K893" s="15"/>
      <c r="L893" s="15"/>
      <c r="M893" s="15"/>
      <c r="N893" s="15"/>
    </row>
    <row r="894" spans="8:14" x14ac:dyDescent="0.2">
      <c r="H894" s="15"/>
      <c r="I894" s="15"/>
      <c r="J894" s="15"/>
      <c r="K894" s="15"/>
      <c r="L894" s="15"/>
      <c r="M894" s="15"/>
      <c r="N894" s="15"/>
    </row>
    <row r="895" spans="8:14" x14ac:dyDescent="0.2">
      <c r="H895" s="15"/>
      <c r="I895" s="15"/>
      <c r="J895" s="15"/>
      <c r="K895" s="15"/>
      <c r="L895" s="15"/>
      <c r="M895" s="15"/>
      <c r="N895" s="15"/>
    </row>
    <row r="896" spans="8:14" x14ac:dyDescent="0.2">
      <c r="H896" s="15"/>
      <c r="I896" s="15"/>
      <c r="J896" s="15"/>
      <c r="K896" s="15"/>
      <c r="L896" s="15"/>
      <c r="M896" s="15"/>
      <c r="N896" s="15"/>
    </row>
    <row r="897" spans="8:14" x14ac:dyDescent="0.2">
      <c r="H897" s="15"/>
      <c r="I897" s="15"/>
      <c r="J897" s="15"/>
      <c r="K897" s="15"/>
      <c r="L897" s="15"/>
      <c r="M897" s="15"/>
      <c r="N897" s="15"/>
    </row>
    <row r="898" spans="8:14" x14ac:dyDescent="0.2">
      <c r="H898" s="15"/>
      <c r="I898" s="15"/>
      <c r="J898" s="15"/>
      <c r="K898" s="15"/>
      <c r="L898" s="15"/>
      <c r="M898" s="15"/>
      <c r="N898" s="15"/>
    </row>
    <row r="899" spans="8:14" x14ac:dyDescent="0.2">
      <c r="H899" s="15"/>
      <c r="I899" s="15"/>
      <c r="J899" s="15"/>
      <c r="K899" s="15"/>
      <c r="L899" s="15"/>
      <c r="M899" s="15"/>
      <c r="N899" s="15"/>
    </row>
    <row r="900" spans="8:14" x14ac:dyDescent="0.2">
      <c r="H900" s="15"/>
      <c r="I900" s="15"/>
      <c r="J900" s="15"/>
      <c r="K900" s="15"/>
      <c r="L900" s="15"/>
      <c r="M900" s="15"/>
      <c r="N900" s="15"/>
    </row>
    <row r="901" spans="8:14" x14ac:dyDescent="0.2">
      <c r="H901" s="15"/>
      <c r="I901" s="15"/>
      <c r="J901" s="15"/>
      <c r="K901" s="15"/>
      <c r="L901" s="15"/>
      <c r="M901" s="15"/>
      <c r="N901" s="15"/>
    </row>
    <row r="902" spans="8:14" x14ac:dyDescent="0.2">
      <c r="H902" s="15"/>
      <c r="I902" s="15"/>
      <c r="J902" s="15"/>
      <c r="K902" s="15"/>
      <c r="L902" s="15"/>
      <c r="M902" s="15"/>
      <c r="N902" s="15"/>
    </row>
    <row r="903" spans="8:14" x14ac:dyDescent="0.2">
      <c r="H903" s="15"/>
      <c r="I903" s="15"/>
      <c r="J903" s="15"/>
      <c r="K903" s="15"/>
      <c r="L903" s="15"/>
      <c r="M903" s="15"/>
      <c r="N903" s="15"/>
    </row>
    <row r="904" spans="8:14" x14ac:dyDescent="0.2">
      <c r="H904" s="15"/>
      <c r="I904" s="15"/>
      <c r="J904" s="15"/>
      <c r="K904" s="15"/>
      <c r="L904" s="15"/>
      <c r="M904" s="15"/>
      <c r="N904" s="15"/>
    </row>
    <row r="905" spans="8:14" x14ac:dyDescent="0.2">
      <c r="H905" s="15"/>
      <c r="I905" s="15"/>
      <c r="J905" s="15"/>
      <c r="K905" s="15"/>
      <c r="L905" s="15"/>
      <c r="M905" s="15"/>
      <c r="N905" s="15"/>
    </row>
    <row r="906" spans="8:14" x14ac:dyDescent="0.2">
      <c r="H906" s="15"/>
      <c r="I906" s="15"/>
      <c r="J906" s="15"/>
      <c r="K906" s="15"/>
      <c r="L906" s="15"/>
      <c r="M906" s="15"/>
      <c r="N906" s="15"/>
    </row>
    <row r="907" spans="8:14" x14ac:dyDescent="0.2">
      <c r="H907" s="15"/>
      <c r="I907" s="15"/>
      <c r="J907" s="15"/>
      <c r="K907" s="15"/>
      <c r="L907" s="15"/>
      <c r="M907" s="15"/>
      <c r="N907" s="15"/>
    </row>
    <row r="908" spans="8:14" x14ac:dyDescent="0.2">
      <c r="H908" s="15"/>
      <c r="I908" s="15"/>
      <c r="J908" s="15"/>
      <c r="K908" s="15"/>
      <c r="L908" s="15"/>
      <c r="M908" s="15"/>
      <c r="N908" s="15"/>
    </row>
    <row r="909" spans="8:14" x14ac:dyDescent="0.2">
      <c r="H909" s="15"/>
      <c r="I909" s="15"/>
      <c r="J909" s="15"/>
      <c r="K909" s="15"/>
      <c r="L909" s="15"/>
      <c r="M909" s="15"/>
      <c r="N909" s="15"/>
    </row>
    <row r="910" spans="8:14" x14ac:dyDescent="0.2">
      <c r="H910" s="15"/>
      <c r="I910" s="15"/>
      <c r="J910" s="15"/>
      <c r="K910" s="15"/>
      <c r="L910" s="15"/>
      <c r="M910" s="15"/>
      <c r="N910" s="15"/>
    </row>
    <row r="911" spans="8:14" x14ac:dyDescent="0.2">
      <c r="H911" s="15"/>
      <c r="I911" s="15"/>
      <c r="J911" s="15"/>
      <c r="K911" s="15"/>
      <c r="L911" s="15"/>
      <c r="M911" s="15"/>
      <c r="N911" s="15"/>
    </row>
    <row r="912" spans="8:14" x14ac:dyDescent="0.2">
      <c r="H912" s="15"/>
      <c r="I912" s="15"/>
      <c r="J912" s="15"/>
      <c r="K912" s="15"/>
      <c r="L912" s="15"/>
      <c r="M912" s="15"/>
      <c r="N912" s="15"/>
    </row>
    <row r="913" spans="8:14" x14ac:dyDescent="0.2">
      <c r="H913" s="15"/>
      <c r="I913" s="15"/>
      <c r="J913" s="15"/>
      <c r="K913" s="15"/>
      <c r="L913" s="15"/>
      <c r="M913" s="15"/>
      <c r="N913" s="15"/>
    </row>
    <row r="914" spans="8:14" x14ac:dyDescent="0.2">
      <c r="H914" s="15"/>
      <c r="I914" s="15"/>
      <c r="J914" s="15"/>
      <c r="K914" s="15"/>
      <c r="L914" s="15"/>
      <c r="M914" s="15"/>
      <c r="N914" s="15"/>
    </row>
    <row r="915" spans="8:14" x14ac:dyDescent="0.2">
      <c r="H915" s="15"/>
      <c r="I915" s="15"/>
      <c r="J915" s="15"/>
      <c r="K915" s="15"/>
      <c r="L915" s="15"/>
      <c r="M915" s="15"/>
      <c r="N915" s="15"/>
    </row>
    <row r="916" spans="8:14" x14ac:dyDescent="0.2">
      <c r="H916" s="15"/>
      <c r="I916" s="15"/>
      <c r="J916" s="15"/>
      <c r="K916" s="15"/>
      <c r="L916" s="15"/>
      <c r="M916" s="15"/>
      <c r="N916" s="15"/>
    </row>
    <row r="917" spans="8:14" x14ac:dyDescent="0.2">
      <c r="H917" s="15"/>
      <c r="I917" s="15"/>
      <c r="J917" s="15"/>
      <c r="K917" s="15"/>
      <c r="L917" s="15"/>
      <c r="M917" s="15"/>
      <c r="N917" s="15"/>
    </row>
    <row r="918" spans="8:14" x14ac:dyDescent="0.2">
      <c r="H918" s="15"/>
      <c r="I918" s="15"/>
      <c r="J918" s="15"/>
      <c r="K918" s="15"/>
      <c r="L918" s="15"/>
      <c r="M918" s="15"/>
      <c r="N918" s="15"/>
    </row>
    <row r="919" spans="8:14" x14ac:dyDescent="0.2">
      <c r="H919" s="15"/>
      <c r="I919" s="15"/>
      <c r="J919" s="15"/>
      <c r="K919" s="15"/>
      <c r="L919" s="15"/>
      <c r="M919" s="15"/>
      <c r="N919" s="15"/>
    </row>
    <row r="920" spans="8:14" x14ac:dyDescent="0.2">
      <c r="H920" s="15"/>
      <c r="I920" s="15"/>
      <c r="J920" s="15"/>
      <c r="K920" s="15"/>
      <c r="L920" s="15"/>
      <c r="M920" s="15"/>
      <c r="N920" s="15"/>
    </row>
    <row r="921" spans="8:14" x14ac:dyDescent="0.2">
      <c r="H921" s="15"/>
      <c r="I921" s="15"/>
      <c r="J921" s="15"/>
      <c r="K921" s="15"/>
      <c r="L921" s="15"/>
      <c r="M921" s="15"/>
      <c r="N921" s="15"/>
    </row>
    <row r="922" spans="8:14" x14ac:dyDescent="0.2">
      <c r="H922" s="15"/>
      <c r="I922" s="15"/>
      <c r="J922" s="15"/>
      <c r="K922" s="15"/>
      <c r="L922" s="15"/>
      <c r="M922" s="15"/>
      <c r="N922" s="15"/>
    </row>
    <row r="923" spans="8:14" x14ac:dyDescent="0.2">
      <c r="H923" s="15"/>
      <c r="I923" s="15"/>
      <c r="J923" s="15"/>
      <c r="K923" s="15"/>
      <c r="L923" s="15"/>
      <c r="M923" s="15"/>
      <c r="N923" s="15"/>
    </row>
    <row r="924" spans="8:14" x14ac:dyDescent="0.2">
      <c r="H924" s="15"/>
      <c r="I924" s="15"/>
      <c r="J924" s="15"/>
      <c r="K924" s="15"/>
      <c r="L924" s="15"/>
      <c r="M924" s="15"/>
      <c r="N924" s="15"/>
    </row>
    <row r="925" spans="8:14" x14ac:dyDescent="0.2">
      <c r="H925" s="15"/>
      <c r="I925" s="15"/>
      <c r="J925" s="15"/>
      <c r="K925" s="15"/>
      <c r="L925" s="15"/>
      <c r="M925" s="15"/>
      <c r="N925" s="15"/>
    </row>
    <row r="926" spans="8:14" x14ac:dyDescent="0.2">
      <c r="H926" s="15"/>
      <c r="I926" s="15"/>
      <c r="J926" s="15"/>
      <c r="K926" s="15"/>
      <c r="L926" s="15"/>
      <c r="M926" s="15"/>
      <c r="N926" s="15"/>
    </row>
    <row r="927" spans="8:14" x14ac:dyDescent="0.2">
      <c r="H927" s="15"/>
      <c r="I927" s="15"/>
      <c r="J927" s="15"/>
      <c r="K927" s="15"/>
      <c r="L927" s="15"/>
      <c r="M927" s="15"/>
      <c r="N927" s="15"/>
    </row>
    <row r="928" spans="8:14" x14ac:dyDescent="0.2">
      <c r="H928" s="15"/>
      <c r="I928" s="15"/>
      <c r="J928" s="15"/>
      <c r="K928" s="15"/>
      <c r="L928" s="15"/>
      <c r="M928" s="15"/>
      <c r="N928" s="15"/>
    </row>
    <row r="929" spans="8:14" x14ac:dyDescent="0.2">
      <c r="H929" s="15"/>
      <c r="I929" s="15"/>
      <c r="J929" s="15"/>
      <c r="K929" s="15"/>
      <c r="L929" s="15"/>
      <c r="M929" s="15"/>
      <c r="N929" s="15"/>
    </row>
    <row r="930" spans="8:14" x14ac:dyDescent="0.2">
      <c r="H930" s="15"/>
      <c r="I930" s="15"/>
      <c r="J930" s="15"/>
      <c r="K930" s="15"/>
      <c r="L930" s="15"/>
      <c r="M930" s="15"/>
      <c r="N930" s="15"/>
    </row>
    <row r="931" spans="8:14" x14ac:dyDescent="0.2">
      <c r="H931" s="15"/>
      <c r="I931" s="15"/>
      <c r="J931" s="15"/>
      <c r="K931" s="15"/>
      <c r="L931" s="15"/>
      <c r="M931" s="15"/>
      <c r="N931" s="15"/>
    </row>
    <row r="932" spans="8:14" x14ac:dyDescent="0.2">
      <c r="H932" s="15"/>
      <c r="I932" s="15"/>
      <c r="J932" s="15"/>
      <c r="K932" s="15"/>
      <c r="L932" s="15"/>
      <c r="M932" s="15"/>
      <c r="N932" s="15"/>
    </row>
    <row r="933" spans="8:14" x14ac:dyDescent="0.2">
      <c r="H933" s="15"/>
      <c r="I933" s="15"/>
      <c r="J933" s="15"/>
      <c r="K933" s="15"/>
      <c r="L933" s="15"/>
      <c r="M933" s="15"/>
      <c r="N933" s="15"/>
    </row>
    <row r="934" spans="8:14" x14ac:dyDescent="0.2">
      <c r="H934" s="15"/>
      <c r="I934" s="15"/>
      <c r="J934" s="15"/>
      <c r="K934" s="15"/>
      <c r="L934" s="15"/>
      <c r="M934" s="15"/>
      <c r="N934" s="15"/>
    </row>
    <row r="935" spans="8:14" x14ac:dyDescent="0.2">
      <c r="H935" s="15"/>
      <c r="I935" s="15"/>
      <c r="J935" s="15"/>
      <c r="K935" s="15"/>
      <c r="L935" s="15"/>
      <c r="M935" s="15"/>
      <c r="N935" s="15"/>
    </row>
    <row r="936" spans="8:14" x14ac:dyDescent="0.2">
      <c r="H936" s="15"/>
      <c r="I936" s="15"/>
      <c r="J936" s="15"/>
      <c r="K936" s="15"/>
      <c r="L936" s="15"/>
      <c r="M936" s="15"/>
      <c r="N936" s="15"/>
    </row>
    <row r="937" spans="8:14" x14ac:dyDescent="0.2">
      <c r="H937" s="15"/>
      <c r="I937" s="15"/>
      <c r="J937" s="15"/>
      <c r="K937" s="15"/>
      <c r="L937" s="15"/>
      <c r="M937" s="15"/>
      <c r="N937" s="15"/>
    </row>
    <row r="938" spans="8:14" x14ac:dyDescent="0.2">
      <c r="H938" s="15"/>
      <c r="I938" s="15"/>
      <c r="J938" s="15"/>
      <c r="K938" s="15"/>
      <c r="L938" s="15"/>
      <c r="M938" s="15"/>
      <c r="N938" s="15"/>
    </row>
    <row r="939" spans="8:14" x14ac:dyDescent="0.2">
      <c r="H939" s="15"/>
      <c r="I939" s="15"/>
      <c r="J939" s="15"/>
      <c r="K939" s="15"/>
      <c r="L939" s="15"/>
      <c r="M939" s="15"/>
      <c r="N939" s="15"/>
    </row>
    <row r="940" spans="8:14" x14ac:dyDescent="0.2">
      <c r="H940" s="15"/>
      <c r="I940" s="15"/>
      <c r="J940" s="15"/>
      <c r="K940" s="15"/>
      <c r="L940" s="15"/>
      <c r="M940" s="15"/>
      <c r="N940" s="15"/>
    </row>
    <row r="941" spans="8:14" x14ac:dyDescent="0.2">
      <c r="H941" s="15"/>
      <c r="I941" s="15"/>
      <c r="J941" s="15"/>
      <c r="K941" s="15"/>
      <c r="L941" s="15"/>
      <c r="M941" s="15"/>
      <c r="N941" s="15"/>
    </row>
    <row r="942" spans="8:14" x14ac:dyDescent="0.2">
      <c r="H942" s="15"/>
      <c r="I942" s="15"/>
      <c r="J942" s="15"/>
      <c r="K942" s="15"/>
      <c r="L942" s="15"/>
      <c r="M942" s="15"/>
      <c r="N942" s="15"/>
    </row>
    <row r="943" spans="8:14" x14ac:dyDescent="0.2">
      <c r="H943" s="15"/>
      <c r="I943" s="15"/>
      <c r="J943" s="15"/>
      <c r="K943" s="15"/>
      <c r="L943" s="15"/>
      <c r="M943" s="15"/>
      <c r="N943" s="15"/>
    </row>
    <row r="944" spans="8:14" x14ac:dyDescent="0.2">
      <c r="H944" s="15"/>
      <c r="I944" s="15"/>
      <c r="J944" s="15"/>
      <c r="K944" s="15"/>
      <c r="L944" s="15"/>
      <c r="M944" s="15"/>
      <c r="N944" s="15"/>
    </row>
    <row r="945" spans="8:14" x14ac:dyDescent="0.2">
      <c r="H945" s="15"/>
      <c r="I945" s="15"/>
      <c r="J945" s="15"/>
      <c r="K945" s="15"/>
      <c r="L945" s="15"/>
      <c r="M945" s="15"/>
      <c r="N945" s="15"/>
    </row>
    <row r="946" spans="8:14" x14ac:dyDescent="0.2">
      <c r="H946" s="15"/>
      <c r="I946" s="15"/>
      <c r="J946" s="15"/>
      <c r="K946" s="15"/>
      <c r="L946" s="15"/>
      <c r="M946" s="15"/>
      <c r="N946" s="15"/>
    </row>
    <row r="947" spans="8:14" x14ac:dyDescent="0.2">
      <c r="H947" s="15"/>
      <c r="I947" s="15"/>
      <c r="J947" s="15"/>
      <c r="K947" s="15"/>
      <c r="L947" s="15"/>
      <c r="M947" s="15"/>
      <c r="N947" s="15"/>
    </row>
    <row r="948" spans="8:14" x14ac:dyDescent="0.2">
      <c r="H948" s="15"/>
      <c r="I948" s="15"/>
      <c r="J948" s="15"/>
      <c r="K948" s="15"/>
      <c r="L948" s="15"/>
      <c r="M948" s="15"/>
      <c r="N948" s="15"/>
    </row>
    <row r="949" spans="8:14" x14ac:dyDescent="0.2">
      <c r="H949" s="15"/>
      <c r="I949" s="15"/>
      <c r="J949" s="15"/>
      <c r="K949" s="15"/>
      <c r="L949" s="15"/>
      <c r="M949" s="15"/>
      <c r="N949" s="15"/>
    </row>
    <row r="950" spans="8:14" x14ac:dyDescent="0.2">
      <c r="H950" s="15"/>
      <c r="I950" s="15"/>
      <c r="J950" s="15"/>
      <c r="K950" s="15"/>
      <c r="L950" s="15"/>
      <c r="M950" s="15"/>
      <c r="N950" s="15"/>
    </row>
    <row r="951" spans="8:14" x14ac:dyDescent="0.2">
      <c r="H951" s="15"/>
      <c r="I951" s="15"/>
      <c r="J951" s="15"/>
      <c r="K951" s="15"/>
      <c r="L951" s="15"/>
      <c r="M951" s="15"/>
      <c r="N951" s="15"/>
    </row>
    <row r="952" spans="8:14" x14ac:dyDescent="0.2">
      <c r="H952" s="15"/>
      <c r="I952" s="15"/>
      <c r="J952" s="15"/>
      <c r="K952" s="15"/>
      <c r="L952" s="15"/>
      <c r="M952" s="15"/>
      <c r="N952" s="15"/>
    </row>
    <row r="953" spans="8:14" x14ac:dyDescent="0.2">
      <c r="H953" s="15"/>
      <c r="I953" s="15"/>
      <c r="J953" s="15"/>
      <c r="K953" s="15"/>
      <c r="L953" s="15"/>
      <c r="M953" s="15"/>
      <c r="N953" s="15"/>
    </row>
    <row r="954" spans="8:14" x14ac:dyDescent="0.2">
      <c r="H954" s="15"/>
      <c r="I954" s="15"/>
      <c r="J954" s="15"/>
      <c r="K954" s="15"/>
      <c r="L954" s="15"/>
      <c r="M954" s="15"/>
      <c r="N954" s="15"/>
    </row>
    <row r="955" spans="8:14" x14ac:dyDescent="0.2">
      <c r="H955" s="15"/>
      <c r="I955" s="15"/>
      <c r="J955" s="15"/>
      <c r="K955" s="15"/>
      <c r="L955" s="15"/>
      <c r="M955" s="15"/>
      <c r="N955" s="15"/>
    </row>
    <row r="956" spans="8:14" x14ac:dyDescent="0.2">
      <c r="H956" s="15"/>
      <c r="I956" s="15"/>
      <c r="J956" s="15"/>
      <c r="K956" s="15"/>
      <c r="L956" s="15"/>
      <c r="M956" s="15"/>
      <c r="N956" s="15"/>
    </row>
    <row r="957" spans="8:14" x14ac:dyDescent="0.2">
      <c r="H957" s="15"/>
      <c r="I957" s="15"/>
      <c r="J957" s="15"/>
      <c r="K957" s="15"/>
      <c r="L957" s="15"/>
      <c r="M957" s="15"/>
      <c r="N957" s="15"/>
    </row>
    <row r="958" spans="8:14" x14ac:dyDescent="0.2">
      <c r="H958" s="15"/>
      <c r="I958" s="15"/>
      <c r="J958" s="15"/>
      <c r="K958" s="15"/>
      <c r="L958" s="15"/>
      <c r="M958" s="15"/>
      <c r="N958" s="15"/>
    </row>
    <row r="959" spans="8:14" x14ac:dyDescent="0.2">
      <c r="H959" s="15"/>
      <c r="I959" s="15"/>
      <c r="J959" s="15"/>
      <c r="K959" s="15"/>
      <c r="L959" s="15"/>
      <c r="M959" s="15"/>
      <c r="N959" s="15"/>
    </row>
    <row r="960" spans="8:14" x14ac:dyDescent="0.2">
      <c r="H960" s="15"/>
      <c r="I960" s="15"/>
      <c r="J960" s="15"/>
      <c r="K960" s="15"/>
      <c r="L960" s="15"/>
      <c r="M960" s="15"/>
      <c r="N960" s="15"/>
    </row>
    <row r="961" spans="8:14" x14ac:dyDescent="0.2">
      <c r="H961" s="15"/>
      <c r="I961" s="15"/>
      <c r="J961" s="15"/>
      <c r="K961" s="15"/>
      <c r="L961" s="15"/>
      <c r="M961" s="15"/>
      <c r="N961" s="15"/>
    </row>
    <row r="962" spans="8:14" x14ac:dyDescent="0.2">
      <c r="H962" s="15"/>
      <c r="I962" s="15"/>
      <c r="J962" s="15"/>
      <c r="K962" s="15"/>
      <c r="L962" s="15"/>
      <c r="M962" s="15"/>
      <c r="N962" s="15"/>
    </row>
    <row r="963" spans="8:14" x14ac:dyDescent="0.2">
      <c r="H963" s="15"/>
      <c r="I963" s="15"/>
      <c r="J963" s="15"/>
      <c r="K963" s="15"/>
      <c r="L963" s="15"/>
      <c r="M963" s="15"/>
      <c r="N963" s="15"/>
    </row>
    <row r="964" spans="8:14" x14ac:dyDescent="0.2">
      <c r="H964" s="15"/>
      <c r="I964" s="15"/>
      <c r="J964" s="15"/>
      <c r="K964" s="15"/>
      <c r="L964" s="15"/>
      <c r="M964" s="15"/>
      <c r="N964" s="15"/>
    </row>
    <row r="965" spans="8:14" x14ac:dyDescent="0.2">
      <c r="H965" s="15"/>
      <c r="I965" s="15"/>
      <c r="J965" s="15"/>
      <c r="K965" s="15"/>
      <c r="L965" s="15"/>
      <c r="M965" s="15"/>
      <c r="N965" s="15"/>
    </row>
    <row r="966" spans="8:14" x14ac:dyDescent="0.2">
      <c r="H966" s="15"/>
      <c r="I966" s="15"/>
      <c r="J966" s="15"/>
      <c r="K966" s="15"/>
      <c r="L966" s="15"/>
      <c r="M966" s="15"/>
      <c r="N966" s="15"/>
    </row>
    <row r="967" spans="8:14" x14ac:dyDescent="0.2">
      <c r="H967" s="15"/>
      <c r="I967" s="15"/>
      <c r="J967" s="15"/>
      <c r="K967" s="15"/>
      <c r="L967" s="15"/>
      <c r="M967" s="15"/>
      <c r="N967" s="15"/>
    </row>
    <row r="968" spans="8:14" x14ac:dyDescent="0.2">
      <c r="H968" s="15"/>
      <c r="I968" s="15"/>
      <c r="J968" s="15"/>
      <c r="K968" s="15"/>
      <c r="L968" s="15"/>
      <c r="M968" s="15"/>
      <c r="N968" s="15"/>
    </row>
    <row r="969" spans="8:14" x14ac:dyDescent="0.2">
      <c r="H969" s="15"/>
      <c r="I969" s="15"/>
      <c r="J969" s="15"/>
      <c r="K969" s="15"/>
      <c r="L969" s="15"/>
      <c r="M969" s="15"/>
      <c r="N969" s="15"/>
    </row>
    <row r="970" spans="8:14" x14ac:dyDescent="0.2">
      <c r="H970" s="15"/>
      <c r="I970" s="15"/>
      <c r="J970" s="15"/>
      <c r="K970" s="15"/>
      <c r="L970" s="15"/>
      <c r="M970" s="15"/>
      <c r="N970" s="15"/>
    </row>
    <row r="971" spans="8:14" x14ac:dyDescent="0.2">
      <c r="H971" s="15"/>
      <c r="I971" s="15"/>
      <c r="J971" s="15"/>
      <c r="K971" s="15"/>
      <c r="L971" s="15"/>
      <c r="M971" s="15"/>
      <c r="N971" s="15"/>
    </row>
    <row r="972" spans="8:14" x14ac:dyDescent="0.2">
      <c r="H972" s="15"/>
      <c r="I972" s="15"/>
      <c r="J972" s="15"/>
      <c r="K972" s="15"/>
      <c r="L972" s="15"/>
      <c r="M972" s="15"/>
      <c r="N972" s="15"/>
    </row>
    <row r="973" spans="8:14" x14ac:dyDescent="0.2">
      <c r="H973" s="15"/>
      <c r="I973" s="15"/>
      <c r="J973" s="15"/>
      <c r="K973" s="15"/>
      <c r="L973" s="15"/>
      <c r="M973" s="15"/>
      <c r="N973" s="15"/>
    </row>
    <row r="974" spans="8:14" x14ac:dyDescent="0.2">
      <c r="H974" s="15"/>
      <c r="I974" s="15"/>
      <c r="J974" s="15"/>
      <c r="K974" s="15"/>
      <c r="L974" s="15"/>
      <c r="M974" s="15"/>
      <c r="N974" s="15"/>
    </row>
    <row r="975" spans="8:14" x14ac:dyDescent="0.2">
      <c r="H975" s="15"/>
      <c r="I975" s="15"/>
      <c r="J975" s="15"/>
      <c r="K975" s="15"/>
      <c r="L975" s="15"/>
      <c r="M975" s="15"/>
      <c r="N975" s="15"/>
    </row>
    <row r="976" spans="8:14" x14ac:dyDescent="0.2">
      <c r="H976" s="15"/>
      <c r="I976" s="15"/>
      <c r="J976" s="15"/>
      <c r="K976" s="15"/>
      <c r="L976" s="15"/>
      <c r="M976" s="15"/>
      <c r="N976" s="15"/>
    </row>
    <row r="977" spans="8:14" x14ac:dyDescent="0.2">
      <c r="H977" s="15"/>
      <c r="I977" s="15"/>
      <c r="J977" s="15"/>
      <c r="K977" s="15"/>
      <c r="L977" s="15"/>
      <c r="M977" s="15"/>
      <c r="N977" s="15"/>
    </row>
    <row r="978" spans="8:14" x14ac:dyDescent="0.2">
      <c r="H978" s="15"/>
      <c r="I978" s="15"/>
      <c r="J978" s="15"/>
      <c r="K978" s="15"/>
      <c r="L978" s="15"/>
      <c r="M978" s="15"/>
      <c r="N978" s="15"/>
    </row>
    <row r="979" spans="8:14" x14ac:dyDescent="0.2">
      <c r="H979" s="15"/>
      <c r="I979" s="15"/>
      <c r="J979" s="15"/>
      <c r="K979" s="15"/>
      <c r="L979" s="15"/>
      <c r="M979" s="15"/>
      <c r="N979" s="15"/>
    </row>
    <row r="980" spans="8:14" x14ac:dyDescent="0.2">
      <c r="H980" s="15"/>
      <c r="I980" s="15"/>
      <c r="J980" s="15"/>
      <c r="K980" s="15"/>
      <c r="L980" s="15"/>
      <c r="M980" s="15"/>
      <c r="N980" s="15"/>
    </row>
    <row r="981" spans="8:14" x14ac:dyDescent="0.2">
      <c r="H981" s="15"/>
      <c r="I981" s="15"/>
      <c r="J981" s="15"/>
      <c r="K981" s="15"/>
      <c r="L981" s="15"/>
      <c r="M981" s="15"/>
      <c r="N981" s="15"/>
    </row>
    <row r="982" spans="8:14" x14ac:dyDescent="0.2">
      <c r="H982" s="15"/>
      <c r="I982" s="15"/>
      <c r="J982" s="15"/>
      <c r="K982" s="15"/>
      <c r="L982" s="15"/>
      <c r="M982" s="15"/>
      <c r="N982" s="15"/>
    </row>
    <row r="983" spans="8:14" x14ac:dyDescent="0.2">
      <c r="H983" s="15"/>
      <c r="I983" s="15"/>
      <c r="J983" s="15"/>
      <c r="K983" s="15"/>
      <c r="L983" s="15"/>
      <c r="M983" s="15"/>
      <c r="N983" s="15"/>
    </row>
    <row r="984" spans="8:14" x14ac:dyDescent="0.2">
      <c r="H984" s="15"/>
      <c r="I984" s="15"/>
      <c r="J984" s="15"/>
      <c r="K984" s="15"/>
      <c r="L984" s="15"/>
      <c r="M984" s="15"/>
      <c r="N984" s="15"/>
    </row>
    <row r="985" spans="8:14" x14ac:dyDescent="0.2">
      <c r="H985" s="15"/>
      <c r="I985" s="15"/>
      <c r="J985" s="15"/>
      <c r="K985" s="15"/>
      <c r="L985" s="15"/>
      <c r="M985" s="15"/>
      <c r="N985" s="15"/>
    </row>
    <row r="986" spans="8:14" x14ac:dyDescent="0.2">
      <c r="H986" s="15"/>
      <c r="I986" s="15"/>
      <c r="J986" s="15"/>
      <c r="K986" s="15"/>
      <c r="L986" s="15"/>
      <c r="M986" s="15"/>
      <c r="N986" s="15"/>
    </row>
    <row r="987" spans="8:14" x14ac:dyDescent="0.2">
      <c r="H987" s="15"/>
      <c r="I987" s="15"/>
      <c r="J987" s="15"/>
      <c r="K987" s="15"/>
      <c r="L987" s="15"/>
      <c r="M987" s="15"/>
      <c r="N987" s="15"/>
    </row>
    <row r="988" spans="8:14" x14ac:dyDescent="0.2">
      <c r="H988" s="15"/>
      <c r="I988" s="15"/>
      <c r="J988" s="15"/>
      <c r="K988" s="15"/>
      <c r="L988" s="15"/>
      <c r="M988" s="15"/>
      <c r="N988" s="15"/>
    </row>
    <row r="989" spans="8:14" x14ac:dyDescent="0.2">
      <c r="H989" s="15"/>
      <c r="I989" s="15"/>
      <c r="J989" s="15"/>
      <c r="K989" s="15"/>
      <c r="L989" s="15"/>
      <c r="M989" s="15"/>
      <c r="N989" s="15"/>
    </row>
    <row r="990" spans="8:14" x14ac:dyDescent="0.2">
      <c r="H990" s="15"/>
      <c r="I990" s="15"/>
      <c r="J990" s="15"/>
      <c r="K990" s="15"/>
      <c r="L990" s="15"/>
      <c r="M990" s="15"/>
      <c r="N990" s="15"/>
    </row>
    <row r="991" spans="8:14" x14ac:dyDescent="0.2">
      <c r="H991" s="15"/>
      <c r="I991" s="15"/>
      <c r="J991" s="15"/>
      <c r="K991" s="15"/>
      <c r="L991" s="15"/>
      <c r="M991" s="15"/>
      <c r="N991" s="15"/>
    </row>
    <row r="992" spans="8:14" x14ac:dyDescent="0.2">
      <c r="H992" s="15"/>
      <c r="I992" s="15"/>
      <c r="J992" s="15"/>
      <c r="K992" s="15"/>
      <c r="L992" s="15"/>
      <c r="M992" s="15"/>
      <c r="N992" s="15"/>
    </row>
    <row r="993" spans="8:14" x14ac:dyDescent="0.2">
      <c r="H993" s="15"/>
      <c r="I993" s="15"/>
      <c r="J993" s="15"/>
      <c r="K993" s="15"/>
      <c r="L993" s="15"/>
      <c r="M993" s="15"/>
      <c r="N993" s="15"/>
    </row>
    <row r="994" spans="8:14" x14ac:dyDescent="0.2">
      <c r="H994" s="15"/>
      <c r="I994" s="15"/>
      <c r="J994" s="15"/>
      <c r="K994" s="15"/>
      <c r="L994" s="15"/>
      <c r="M994" s="15"/>
      <c r="N994" s="15"/>
    </row>
    <row r="995" spans="8:14" x14ac:dyDescent="0.2">
      <c r="H995" s="15"/>
      <c r="I995" s="15"/>
      <c r="J995" s="15"/>
      <c r="K995" s="15"/>
      <c r="L995" s="15"/>
      <c r="M995" s="15"/>
      <c r="N995" s="15"/>
    </row>
    <row r="996" spans="8:14" x14ac:dyDescent="0.2">
      <c r="H996" s="15"/>
      <c r="I996" s="15"/>
      <c r="J996" s="15"/>
      <c r="K996" s="15"/>
      <c r="L996" s="15"/>
      <c r="M996" s="15"/>
      <c r="N996" s="15"/>
    </row>
    <row r="997" spans="8:14" x14ac:dyDescent="0.2">
      <c r="H997" s="15"/>
      <c r="I997" s="15"/>
      <c r="J997" s="15"/>
      <c r="K997" s="15"/>
      <c r="L997" s="15"/>
      <c r="M997" s="15"/>
      <c r="N997" s="15"/>
    </row>
    <row r="998" spans="8:14" x14ac:dyDescent="0.2">
      <c r="H998" s="15"/>
      <c r="I998" s="15"/>
      <c r="J998" s="15"/>
      <c r="K998" s="15"/>
      <c r="L998" s="15"/>
      <c r="M998" s="15"/>
      <c r="N998" s="15"/>
    </row>
    <row r="999" spans="8:14" x14ac:dyDescent="0.2">
      <c r="H999" s="15"/>
      <c r="I999" s="15"/>
      <c r="J999" s="15"/>
      <c r="K999" s="15"/>
      <c r="L999" s="15"/>
      <c r="M999" s="15"/>
      <c r="N999" s="15"/>
    </row>
    <row r="1000" spans="8:14" x14ac:dyDescent="0.2">
      <c r="H1000" s="15"/>
      <c r="I1000" s="15"/>
      <c r="J1000" s="15"/>
      <c r="K1000" s="15"/>
      <c r="L1000" s="15"/>
      <c r="M1000" s="15"/>
      <c r="N1000" s="15"/>
    </row>
    <row r="1001" spans="8:14" x14ac:dyDescent="0.2">
      <c r="H1001" s="15"/>
      <c r="I1001" s="15"/>
      <c r="J1001" s="15"/>
      <c r="K1001" s="15"/>
      <c r="L1001" s="15"/>
      <c r="M1001" s="15"/>
      <c r="N1001" s="15"/>
    </row>
    <row r="1002" spans="8:14" x14ac:dyDescent="0.2">
      <c r="H1002" s="15"/>
      <c r="I1002" s="15"/>
      <c r="J1002" s="15"/>
      <c r="K1002" s="15"/>
      <c r="L1002" s="15"/>
      <c r="M1002" s="15"/>
      <c r="N1002" s="15"/>
    </row>
    <row r="1003" spans="8:14" x14ac:dyDescent="0.2">
      <c r="H1003" s="15"/>
      <c r="I1003" s="15"/>
      <c r="J1003" s="15"/>
      <c r="K1003" s="15"/>
      <c r="L1003" s="15"/>
      <c r="M1003" s="15"/>
      <c r="N1003" s="15"/>
    </row>
    <row r="1004" spans="8:14" x14ac:dyDescent="0.2">
      <c r="H1004" s="15"/>
      <c r="I1004" s="15"/>
      <c r="J1004" s="15"/>
      <c r="K1004" s="15"/>
      <c r="L1004" s="15"/>
      <c r="M1004" s="15"/>
      <c r="N1004" s="15"/>
    </row>
    <row r="1005" spans="8:14" x14ac:dyDescent="0.2">
      <c r="H1005" s="15"/>
      <c r="I1005" s="15"/>
      <c r="J1005" s="15"/>
      <c r="K1005" s="15"/>
      <c r="L1005" s="15"/>
      <c r="M1005" s="15"/>
      <c r="N1005" s="15"/>
    </row>
    <row r="1006" spans="8:14" x14ac:dyDescent="0.2">
      <c r="H1006" s="15"/>
      <c r="I1006" s="15"/>
      <c r="J1006" s="15"/>
      <c r="K1006" s="15"/>
      <c r="L1006" s="15"/>
      <c r="M1006" s="15"/>
      <c r="N1006" s="15"/>
    </row>
    <row r="1007" spans="8:14" x14ac:dyDescent="0.2">
      <c r="H1007" s="15"/>
      <c r="I1007" s="15"/>
      <c r="J1007" s="15"/>
      <c r="K1007" s="15"/>
      <c r="L1007" s="15"/>
      <c r="M1007" s="15"/>
      <c r="N1007" s="15"/>
    </row>
    <row r="1008" spans="8:14" x14ac:dyDescent="0.2">
      <c r="H1008" s="15"/>
      <c r="I1008" s="15"/>
      <c r="J1008" s="15"/>
      <c r="K1008" s="15"/>
      <c r="L1008" s="15"/>
      <c r="M1008" s="15"/>
      <c r="N1008" s="15"/>
    </row>
    <row r="1009" spans="8:14" x14ac:dyDescent="0.2">
      <c r="H1009" s="15"/>
      <c r="I1009" s="15"/>
      <c r="J1009" s="15"/>
      <c r="K1009" s="15"/>
      <c r="L1009" s="15"/>
      <c r="M1009" s="15"/>
      <c r="N1009" s="15"/>
    </row>
    <row r="1010" spans="8:14" x14ac:dyDescent="0.2">
      <c r="H1010" s="15"/>
      <c r="I1010" s="15"/>
      <c r="J1010" s="15"/>
      <c r="K1010" s="15"/>
      <c r="L1010" s="15"/>
      <c r="M1010" s="15"/>
      <c r="N1010" s="15"/>
    </row>
    <row r="1011" spans="8:14" x14ac:dyDescent="0.2">
      <c r="H1011" s="15"/>
      <c r="I1011" s="15"/>
      <c r="J1011" s="15"/>
      <c r="K1011" s="15"/>
      <c r="L1011" s="15"/>
      <c r="M1011" s="15"/>
      <c r="N1011" s="15"/>
    </row>
  </sheetData>
  <mergeCells count="14">
    <mergeCell ref="B17:C17"/>
    <mergeCell ref="A4:N4"/>
    <mergeCell ref="B6:C6"/>
    <mergeCell ref="B7:C7"/>
    <mergeCell ref="B8:C8"/>
    <mergeCell ref="A2:O2"/>
    <mergeCell ref="A3:O3"/>
    <mergeCell ref="B15:C15"/>
    <mergeCell ref="B14:C14"/>
    <mergeCell ref="B9:C9"/>
    <mergeCell ref="B10:C10"/>
    <mergeCell ref="B11:C11"/>
    <mergeCell ref="B12:C12"/>
    <mergeCell ref="B13:C13"/>
  </mergeCells>
  <pageMargins left="0.19685039370078741" right="0.19685039370078741" top="0.27559055118110237" bottom="0.35433070866141736" header="0.15748031496062992" footer="0.23622047244094491"/>
  <pageSetup paperSize="8" scale="67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DCF9-D2FE-45B0-A0EA-ECB668241EC9}">
  <sheetPr>
    <pageSetUpPr fitToPage="1"/>
  </sheetPr>
  <dimension ref="A2:W1011"/>
  <sheetViews>
    <sheetView view="pageBreakPreview" zoomScale="70" zoomScaleNormal="55" zoomScaleSheetLayoutView="70" workbookViewId="0">
      <pane xSplit="5" ySplit="6" topLeftCell="K50" activePane="bottomRight" state="frozen"/>
      <selection activeCell="A32" sqref="A32:XFD34"/>
      <selection pane="topRight" activeCell="A32" sqref="A32:XFD34"/>
      <selection pane="bottomLeft" activeCell="A32" sqref="A32:XFD34"/>
      <selection pane="bottomRight" activeCell="A32" sqref="A32:XFD34"/>
    </sheetView>
  </sheetViews>
  <sheetFormatPr defaultRowHeight="12.75" x14ac:dyDescent="0.2"/>
  <cols>
    <col min="1" max="1" width="55.42578125" style="1" customWidth="1"/>
    <col min="2" max="2" width="9.28515625" style="1" customWidth="1"/>
    <col min="3" max="3" width="12.42578125" style="1" customWidth="1"/>
    <col min="4" max="4" width="17.5703125" style="1" hidden="1" customWidth="1"/>
    <col min="5" max="5" width="2.5703125" style="1" hidden="1" customWidth="1"/>
    <col min="6" max="7" width="26" style="1" bestFit="1" customWidth="1"/>
    <col min="8" max="8" width="24.5703125" style="1" bestFit="1" customWidth="1"/>
    <col min="9" max="9" width="26" style="104" bestFit="1" customWidth="1"/>
    <col min="10" max="10" width="24.28515625" style="1" customWidth="1"/>
    <col min="11" max="11" width="25.5703125" style="104" customWidth="1"/>
    <col min="12" max="12" width="25.28515625" style="1" customWidth="1"/>
    <col min="13" max="13" width="25.28515625" style="104" customWidth="1"/>
    <col min="14" max="14" width="24.42578125" style="1" customWidth="1"/>
    <col min="15" max="15" width="25.28515625" style="104" customWidth="1"/>
    <col min="16" max="16" width="24.42578125" style="1" customWidth="1"/>
    <col min="17" max="17" width="25.28515625" style="104" customWidth="1"/>
    <col min="18" max="18" width="24.42578125" style="1" customWidth="1"/>
    <col min="19" max="19" width="25.28515625" style="104" customWidth="1"/>
    <col min="20" max="20" width="24.42578125" style="1" customWidth="1"/>
    <col min="21" max="21" width="23.7109375" style="1" customWidth="1"/>
    <col min="22" max="22" width="18.7109375" style="1" bestFit="1" customWidth="1"/>
    <col min="23" max="16384" width="9.140625" style="1"/>
  </cols>
  <sheetData>
    <row r="2" spans="1:22" ht="22.5" x14ac:dyDescent="0.3">
      <c r="A2" s="157" t="s">
        <v>132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2" ht="30.75" customHeight="1" x14ac:dyDescent="0.3">
      <c r="A3" s="148" t="s">
        <v>133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2" ht="15.75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12"/>
      <c r="P4" s="112"/>
      <c r="Q4" s="112"/>
      <c r="R4" s="112"/>
      <c r="S4" s="112"/>
      <c r="T4" s="112"/>
    </row>
    <row r="5" spans="1:22" ht="18.75" x14ac:dyDescent="0.3">
      <c r="H5" s="18"/>
      <c r="J5" s="18"/>
      <c r="L5" s="18"/>
      <c r="M5" s="111"/>
      <c r="N5" s="72"/>
      <c r="O5" s="111"/>
      <c r="P5" s="111"/>
      <c r="Q5" s="111"/>
      <c r="R5" s="111"/>
      <c r="S5" s="111"/>
      <c r="T5" s="111"/>
      <c r="U5" s="77" t="s">
        <v>115</v>
      </c>
    </row>
    <row r="6" spans="1:22" ht="133.5" customHeight="1" x14ac:dyDescent="0.2">
      <c r="A6" s="85" t="s">
        <v>0</v>
      </c>
      <c r="B6" s="155"/>
      <c r="C6" s="156"/>
      <c r="D6" s="85" t="s">
        <v>3</v>
      </c>
      <c r="E6" s="85" t="s">
        <v>4</v>
      </c>
      <c r="F6" s="93" t="s">
        <v>135</v>
      </c>
      <c r="G6" s="93" t="s">
        <v>136</v>
      </c>
      <c r="H6" s="94" t="s">
        <v>5</v>
      </c>
      <c r="I6" s="100" t="s">
        <v>138</v>
      </c>
      <c r="J6" s="94" t="s">
        <v>5</v>
      </c>
      <c r="K6" s="100" t="s">
        <v>140</v>
      </c>
      <c r="L6" s="94" t="s">
        <v>5</v>
      </c>
      <c r="M6" s="100" t="s">
        <v>141</v>
      </c>
      <c r="N6" s="94" t="s">
        <v>5</v>
      </c>
      <c r="O6" s="100" t="s">
        <v>142</v>
      </c>
      <c r="P6" s="94" t="s">
        <v>5</v>
      </c>
      <c r="Q6" s="100" t="s">
        <v>143</v>
      </c>
      <c r="R6" s="94" t="s">
        <v>5</v>
      </c>
      <c r="S6" s="100" t="s">
        <v>144</v>
      </c>
      <c r="T6" s="94" t="s">
        <v>5</v>
      </c>
      <c r="U6" s="94" t="s">
        <v>137</v>
      </c>
    </row>
    <row r="7" spans="1:22" s="61" customFormat="1" ht="22.15" customHeight="1" x14ac:dyDescent="0.2">
      <c r="A7" s="84" t="s">
        <v>96</v>
      </c>
      <c r="B7" s="155"/>
      <c r="C7" s="156"/>
      <c r="D7" s="85"/>
      <c r="E7" s="85"/>
      <c r="F7" s="86">
        <v>103587309161.88</v>
      </c>
      <c r="G7" s="86">
        <v>104180089156.88</v>
      </c>
      <c r="H7" s="90">
        <f>G7-F7</f>
        <v>592779995</v>
      </c>
      <c r="I7" s="101">
        <v>104386915563.88</v>
      </c>
      <c r="J7" s="90">
        <f>I7-G7</f>
        <v>206826407</v>
      </c>
      <c r="K7" s="101">
        <v>105996806586.88</v>
      </c>
      <c r="L7" s="90">
        <f>K7-I7</f>
        <v>1609891023</v>
      </c>
      <c r="M7" s="101">
        <v>110237748936.88</v>
      </c>
      <c r="N7" s="90">
        <f>M7-K7</f>
        <v>4240942350</v>
      </c>
      <c r="O7" s="101">
        <v>111389208934.88</v>
      </c>
      <c r="P7" s="90">
        <f>O7-M7</f>
        <v>1151459998</v>
      </c>
      <c r="Q7" s="101">
        <v>111743441096.88</v>
      </c>
      <c r="R7" s="90">
        <f>Q7-O7</f>
        <v>354232162</v>
      </c>
      <c r="S7" s="101">
        <v>111982430396.88</v>
      </c>
      <c r="T7" s="90">
        <f>S7-Q7</f>
        <v>238989300</v>
      </c>
      <c r="U7" s="90">
        <f>S7-F7</f>
        <v>8395121235</v>
      </c>
    </row>
    <row r="8" spans="1:22" s="61" customFormat="1" ht="18.600000000000001" customHeight="1" x14ac:dyDescent="0.2">
      <c r="A8" s="28" t="s">
        <v>97</v>
      </c>
      <c r="B8" s="155"/>
      <c r="C8" s="156"/>
      <c r="D8" s="85"/>
      <c r="E8" s="85"/>
      <c r="F8" s="114">
        <f>+F7-F9</f>
        <v>79869363181.880005</v>
      </c>
      <c r="G8" s="114">
        <f>+G7-G9</f>
        <v>79869363181.880005</v>
      </c>
      <c r="H8" s="90">
        <f t="shared" ref="H8" si="0">G8-F8</f>
        <v>0</v>
      </c>
      <c r="I8" s="102">
        <f>+I7-I9</f>
        <v>79869363181.880005</v>
      </c>
      <c r="J8" s="90">
        <f>I8-G8</f>
        <v>0</v>
      </c>
      <c r="K8" s="102">
        <f>+K7-K9</f>
        <v>81369363181.880005</v>
      </c>
      <c r="L8" s="90">
        <f t="shared" ref="L8:L15" si="1">K8-I8</f>
        <v>1500000000</v>
      </c>
      <c r="M8" s="102">
        <f>+M7-M9</f>
        <v>85369363181.880005</v>
      </c>
      <c r="N8" s="90">
        <f t="shared" ref="N8:T15" si="2">M8-K8</f>
        <v>4000000000</v>
      </c>
      <c r="O8" s="102">
        <f>+O7-O9</f>
        <v>85873213481.880005</v>
      </c>
      <c r="P8" s="90">
        <f t="shared" si="2"/>
        <v>503850300</v>
      </c>
      <c r="Q8" s="102">
        <f>+Q7-Q9</f>
        <v>85873213481.880005</v>
      </c>
      <c r="R8" s="90">
        <f t="shared" si="2"/>
        <v>0</v>
      </c>
      <c r="S8" s="102">
        <f>+S7-S9</f>
        <v>85873213481.880005</v>
      </c>
      <c r="T8" s="90">
        <f>S8-Q8</f>
        <v>0</v>
      </c>
      <c r="U8" s="90">
        <f>S8-F8</f>
        <v>6003850300</v>
      </c>
    </row>
    <row r="9" spans="1:22" s="61" customFormat="1" ht="25.15" customHeight="1" x14ac:dyDescent="0.2">
      <c r="A9" s="28" t="s">
        <v>98</v>
      </c>
      <c r="B9" s="155"/>
      <c r="C9" s="156"/>
      <c r="D9" s="85"/>
      <c r="E9" s="85"/>
      <c r="F9" s="114">
        <f>SUM(F10:F15)</f>
        <v>23717945980</v>
      </c>
      <c r="G9" s="114">
        <f>SUM(G10:G15)</f>
        <v>24310725975</v>
      </c>
      <c r="H9" s="90">
        <f>SUM(H10:H15)</f>
        <v>592779995</v>
      </c>
      <c r="I9" s="102">
        <f>SUM(I10:I15)</f>
        <v>24517552382</v>
      </c>
      <c r="J9" s="90">
        <f>I9-G9</f>
        <v>206826407</v>
      </c>
      <c r="K9" s="102">
        <f>SUM(K10:K15)</f>
        <v>24627443405</v>
      </c>
      <c r="L9" s="90">
        <f>K9-I9</f>
        <v>109891023</v>
      </c>
      <c r="M9" s="102">
        <f>SUM(M10:M15)</f>
        <v>24868385755</v>
      </c>
      <c r="N9" s="90">
        <f>M9-K9</f>
        <v>240942350</v>
      </c>
      <c r="O9" s="102">
        <f>SUM(O10:O15)</f>
        <v>25515995453</v>
      </c>
      <c r="P9" s="90">
        <f>O9-M9</f>
        <v>647609698</v>
      </c>
      <c r="Q9" s="102">
        <f>SUM(Q10:Q15)</f>
        <v>25870227615</v>
      </c>
      <c r="R9" s="90">
        <f>Q9-O9</f>
        <v>354232162</v>
      </c>
      <c r="S9" s="102">
        <f>SUM(S10:S15)</f>
        <v>26109216915</v>
      </c>
      <c r="T9" s="90">
        <f>S9-Q9</f>
        <v>238989300</v>
      </c>
      <c r="U9" s="90">
        <f t="shared" ref="U9:U71" si="3">S9-F9</f>
        <v>2391270935</v>
      </c>
    </row>
    <row r="10" spans="1:22" ht="34.15" customHeight="1" x14ac:dyDescent="0.2">
      <c r="A10" s="48" t="s">
        <v>99</v>
      </c>
      <c r="B10" s="151"/>
      <c r="C10" s="152"/>
      <c r="D10" s="99"/>
      <c r="E10" s="99"/>
      <c r="F10" s="95"/>
      <c r="G10" s="53">
        <f>+F10+237489900</f>
        <v>237489900</v>
      </c>
      <c r="H10" s="87">
        <f>G10-F10</f>
        <v>237489900</v>
      </c>
      <c r="I10" s="113">
        <f>+G10</f>
        <v>237489900</v>
      </c>
      <c r="J10" s="87">
        <f>I10-G10</f>
        <v>0</v>
      </c>
      <c r="K10" s="113">
        <f>+I10</f>
        <v>237489900</v>
      </c>
      <c r="L10" s="87">
        <f>K10-I10</f>
        <v>0</v>
      </c>
      <c r="M10" s="113">
        <f>+K10+154729900</f>
        <v>392219800</v>
      </c>
      <c r="N10" s="87">
        <f t="shared" si="2"/>
        <v>154729900</v>
      </c>
      <c r="O10" s="113">
        <f>+M10</f>
        <v>392219800</v>
      </c>
      <c r="P10" s="87">
        <f t="shared" si="2"/>
        <v>0</v>
      </c>
      <c r="Q10" s="113">
        <f>+O10</f>
        <v>392219800</v>
      </c>
      <c r="R10" s="87">
        <f t="shared" si="2"/>
        <v>0</v>
      </c>
      <c r="S10" s="113">
        <f>+Q10+37000000</f>
        <v>429219800</v>
      </c>
      <c r="T10" s="87">
        <f t="shared" si="2"/>
        <v>37000000</v>
      </c>
      <c r="U10" s="90">
        <f t="shared" si="3"/>
        <v>429219800</v>
      </c>
      <c r="V10" s="60"/>
    </row>
    <row r="11" spans="1:22" ht="37.15" customHeight="1" x14ac:dyDescent="0.2">
      <c r="A11" s="49" t="s">
        <v>100</v>
      </c>
      <c r="B11" s="151"/>
      <c r="C11" s="152"/>
      <c r="D11" s="99"/>
      <c r="E11" s="99"/>
      <c r="F11" s="53">
        <v>21037479000</v>
      </c>
      <c r="G11" s="53">
        <f>+F11</f>
        <v>21037479000</v>
      </c>
      <c r="H11" s="87">
        <f t="shared" ref="H11:H15" si="4">G11-F11</f>
        <v>0</v>
      </c>
      <c r="I11" s="113">
        <f>+G11+64118300</f>
        <v>21101597300</v>
      </c>
      <c r="J11" s="87">
        <f t="shared" ref="J11:J15" si="5">I11-G11</f>
        <v>64118300</v>
      </c>
      <c r="K11" s="113">
        <f>+I11+25119400</f>
        <v>21126716700</v>
      </c>
      <c r="L11" s="87">
        <f>K11-I11</f>
        <v>25119400</v>
      </c>
      <c r="M11" s="113">
        <f>+K11</f>
        <v>21126716700</v>
      </c>
      <c r="N11" s="87">
        <f t="shared" si="2"/>
        <v>0</v>
      </c>
      <c r="O11" s="113">
        <f>+M11+379814800</f>
        <v>21506531500</v>
      </c>
      <c r="P11" s="87">
        <f t="shared" si="2"/>
        <v>379814800</v>
      </c>
      <c r="Q11" s="113">
        <f>+O11+390059100</f>
        <v>21896590600</v>
      </c>
      <c r="R11" s="87">
        <f t="shared" si="2"/>
        <v>390059100</v>
      </c>
      <c r="S11" s="113">
        <f>+Q11+199913600</f>
        <v>22096504200</v>
      </c>
      <c r="T11" s="87">
        <f>S11-Q11</f>
        <v>199913600</v>
      </c>
      <c r="U11" s="90">
        <f t="shared" si="3"/>
        <v>1059025200</v>
      </c>
      <c r="V11" s="60"/>
    </row>
    <row r="12" spans="1:22" ht="37.9" customHeight="1" x14ac:dyDescent="0.2">
      <c r="A12" s="49" t="s">
        <v>101</v>
      </c>
      <c r="B12" s="151"/>
      <c r="C12" s="152"/>
      <c r="D12" s="99"/>
      <c r="E12" s="99"/>
      <c r="F12" s="53">
        <v>2013428900</v>
      </c>
      <c r="G12" s="53">
        <f>+F12</f>
        <v>2013428900</v>
      </c>
      <c r="H12" s="87">
        <f t="shared" si="4"/>
        <v>0</v>
      </c>
      <c r="I12" s="113">
        <f>+G12</f>
        <v>2013428900</v>
      </c>
      <c r="J12" s="87">
        <f t="shared" si="5"/>
        <v>0</v>
      </c>
      <c r="K12" s="113">
        <f>+I12</f>
        <v>2013428900</v>
      </c>
      <c r="L12" s="87">
        <f t="shared" si="1"/>
        <v>0</v>
      </c>
      <c r="M12" s="113">
        <f t="shared" ref="M12:S33" si="6">+K12</f>
        <v>2013428900</v>
      </c>
      <c r="N12" s="87">
        <f t="shared" si="2"/>
        <v>0</v>
      </c>
      <c r="O12" s="113">
        <f>+M12-24255900</f>
        <v>1989173000</v>
      </c>
      <c r="P12" s="87">
        <f t="shared" si="2"/>
        <v>-24255900</v>
      </c>
      <c r="Q12" s="113">
        <f>+O12-36028000</f>
        <v>1953145000</v>
      </c>
      <c r="R12" s="87">
        <f t="shared" si="2"/>
        <v>-36028000</v>
      </c>
      <c r="S12" s="113">
        <f>+Q12</f>
        <v>1953145000</v>
      </c>
      <c r="T12" s="87">
        <f t="shared" si="2"/>
        <v>0</v>
      </c>
      <c r="U12" s="90">
        <f t="shared" si="3"/>
        <v>-60283900</v>
      </c>
    </row>
    <row r="13" spans="1:22" ht="15" x14ac:dyDescent="0.2">
      <c r="A13" s="49" t="s">
        <v>102</v>
      </c>
      <c r="B13" s="151"/>
      <c r="C13" s="152"/>
      <c r="D13" s="99"/>
      <c r="E13" s="99"/>
      <c r="F13" s="53">
        <v>667038080</v>
      </c>
      <c r="G13" s="53">
        <f>+F13-30000</f>
        <v>667008080</v>
      </c>
      <c r="H13" s="87">
        <f>G13-F13</f>
        <v>-30000</v>
      </c>
      <c r="I13" s="113">
        <f>+G13+64065866</f>
        <v>731073946</v>
      </c>
      <c r="J13" s="87">
        <f t="shared" si="5"/>
        <v>64065866</v>
      </c>
      <c r="K13" s="113">
        <f>+I13+20063966</f>
        <v>751137912</v>
      </c>
      <c r="L13" s="87">
        <f t="shared" si="1"/>
        <v>20063966</v>
      </c>
      <c r="M13" s="113">
        <f>+K13+74499166</f>
        <v>825637078</v>
      </c>
      <c r="N13" s="87">
        <f t="shared" si="2"/>
        <v>74499166</v>
      </c>
      <c r="O13" s="113">
        <f>+M13+292050798</f>
        <v>1117687876</v>
      </c>
      <c r="P13" s="87">
        <f t="shared" si="2"/>
        <v>292050798</v>
      </c>
      <c r="Q13" s="113">
        <f>+O13+201062</f>
        <v>1117888938</v>
      </c>
      <c r="R13" s="87">
        <f t="shared" si="2"/>
        <v>201062</v>
      </c>
      <c r="S13" s="113">
        <f>+Q13+2075700</f>
        <v>1119964638</v>
      </c>
      <c r="T13" s="87">
        <f t="shared" si="2"/>
        <v>2075700</v>
      </c>
      <c r="U13" s="90">
        <f t="shared" si="3"/>
        <v>452926558</v>
      </c>
    </row>
    <row r="14" spans="1:22" ht="52.5" customHeight="1" x14ac:dyDescent="0.2">
      <c r="A14" s="49" t="s">
        <v>103</v>
      </c>
      <c r="B14" s="151"/>
      <c r="C14" s="152"/>
      <c r="D14" s="99"/>
      <c r="E14" s="99"/>
      <c r="F14" s="76"/>
      <c r="G14" s="53">
        <f>+F14+335941000+19379095</f>
        <v>355320095</v>
      </c>
      <c r="H14" s="87">
        <f t="shared" si="4"/>
        <v>355320095</v>
      </c>
      <c r="I14" s="113">
        <f>+G14+64346959</f>
        <v>419667054</v>
      </c>
      <c r="J14" s="87">
        <f t="shared" si="5"/>
        <v>64346959</v>
      </c>
      <c r="K14" s="113">
        <f>+I14+26948657+37759000</f>
        <v>484374711</v>
      </c>
      <c r="L14" s="87">
        <f t="shared" si="1"/>
        <v>64707657</v>
      </c>
      <c r="M14" s="113">
        <f>+K14+11713284</f>
        <v>496087995</v>
      </c>
      <c r="N14" s="87">
        <f t="shared" si="2"/>
        <v>11713284</v>
      </c>
      <c r="O14" s="113">
        <f>+M14</f>
        <v>496087995</v>
      </c>
      <c r="P14" s="87">
        <f t="shared" si="2"/>
        <v>0</v>
      </c>
      <c r="Q14" s="113">
        <f>+O14</f>
        <v>496087995</v>
      </c>
      <c r="R14" s="87">
        <f t="shared" si="2"/>
        <v>0</v>
      </c>
      <c r="S14" s="113">
        <f>+Q14</f>
        <v>496087995</v>
      </c>
      <c r="T14" s="87">
        <f t="shared" si="2"/>
        <v>0</v>
      </c>
      <c r="U14" s="90">
        <f t="shared" si="3"/>
        <v>496087995</v>
      </c>
    </row>
    <row r="15" spans="1:22" ht="47.25" customHeight="1" x14ac:dyDescent="0.2">
      <c r="A15" s="49" t="s">
        <v>112</v>
      </c>
      <c r="B15" s="151"/>
      <c r="C15" s="152"/>
      <c r="D15" s="99"/>
      <c r="E15" s="99"/>
      <c r="F15" s="53"/>
      <c r="G15" s="53">
        <f t="shared" ref="G15:G33" si="7">+F15</f>
        <v>0</v>
      </c>
      <c r="H15" s="87">
        <f t="shared" si="4"/>
        <v>0</v>
      </c>
      <c r="I15" s="113">
        <f>+G15+14295282</f>
        <v>14295282</v>
      </c>
      <c r="J15" s="87">
        <f t="shared" si="5"/>
        <v>14295282</v>
      </c>
      <c r="K15" s="113">
        <f t="shared" ref="K15:K33" si="8">+I15</f>
        <v>14295282</v>
      </c>
      <c r="L15" s="87">
        <f t="shared" si="1"/>
        <v>0</v>
      </c>
      <c r="M15" s="113">
        <f>+K15</f>
        <v>14295282</v>
      </c>
      <c r="N15" s="87">
        <f t="shared" si="2"/>
        <v>0</v>
      </c>
      <c r="O15" s="113">
        <f>+M15</f>
        <v>14295282</v>
      </c>
      <c r="P15" s="87">
        <f t="shared" si="2"/>
        <v>0</v>
      </c>
      <c r="Q15" s="113">
        <f t="shared" si="6"/>
        <v>14295282</v>
      </c>
      <c r="R15" s="87">
        <f t="shared" si="2"/>
        <v>0</v>
      </c>
      <c r="S15" s="113">
        <f t="shared" si="6"/>
        <v>14295282</v>
      </c>
      <c r="T15" s="87">
        <f t="shared" si="2"/>
        <v>0</v>
      </c>
      <c r="U15" s="90">
        <f t="shared" si="3"/>
        <v>14295282</v>
      </c>
    </row>
    <row r="16" spans="1:22" ht="38.25" hidden="1" customHeight="1" x14ac:dyDescent="0.2">
      <c r="A16" s="49"/>
      <c r="B16" s="96"/>
      <c r="C16" s="97"/>
      <c r="D16" s="85"/>
      <c r="E16" s="85"/>
      <c r="F16" s="53">
        <f>F9-F10-F11-F12-F13-F14</f>
        <v>0</v>
      </c>
      <c r="G16" s="86">
        <f t="shared" si="7"/>
        <v>0</v>
      </c>
      <c r="H16" s="98">
        <f t="shared" ref="H16:N16" si="9">H9-H10-H11-H12-H13-H14-H15</f>
        <v>0</v>
      </c>
      <c r="I16" s="101">
        <f t="shared" ref="I16:I33" si="10">+G16</f>
        <v>0</v>
      </c>
      <c r="J16" s="98">
        <f t="shared" si="9"/>
        <v>0</v>
      </c>
      <c r="K16" s="101">
        <f t="shared" si="8"/>
        <v>0</v>
      </c>
      <c r="L16" s="98">
        <f t="shared" si="9"/>
        <v>0</v>
      </c>
      <c r="M16" s="101">
        <f t="shared" si="6"/>
        <v>0</v>
      </c>
      <c r="N16" s="98">
        <f t="shared" si="9"/>
        <v>0</v>
      </c>
      <c r="O16" s="101">
        <f t="shared" si="6"/>
        <v>0</v>
      </c>
      <c r="P16" s="98">
        <f t="shared" ref="P16:R16" si="11">P9-P10-P11-P12-P13-P14-P15</f>
        <v>0</v>
      </c>
      <c r="Q16" s="101">
        <f t="shared" si="6"/>
        <v>0</v>
      </c>
      <c r="R16" s="98">
        <f t="shared" si="11"/>
        <v>0</v>
      </c>
      <c r="S16" s="101">
        <f t="shared" si="6"/>
        <v>0</v>
      </c>
      <c r="T16" s="98">
        <f t="shared" ref="T16" si="12">T9-T10-T11-T12-T13-T14-T15</f>
        <v>0</v>
      </c>
      <c r="U16" s="90">
        <f t="shared" si="3"/>
        <v>0</v>
      </c>
      <c r="V16" s="18"/>
    </row>
    <row r="17" spans="1:21" s="61" customFormat="1" ht="14.25" x14ac:dyDescent="0.2">
      <c r="A17" s="84" t="s">
        <v>6</v>
      </c>
      <c r="B17" s="153"/>
      <c r="C17" s="154"/>
      <c r="D17" s="91">
        <f>D19+D29+D32+D38+D49+D54+D57+D65+D68+D75+D81+D85+D89+D91</f>
        <v>0</v>
      </c>
      <c r="E17" s="91">
        <f>E19+E29+E32+E38+E49+E54+E57+E65+E68+E75+E81+E85+E89+E91</f>
        <v>0</v>
      </c>
      <c r="F17" s="92">
        <f>F19+F29+F32+F38+F49+F54+F57+F65+F68+F75+F81+F85+F89+F91</f>
        <v>119428166733.99998</v>
      </c>
      <c r="G17" s="92">
        <f>G19+G29+G32+G38+G49+G54+G57+G65+G68+G75+G81+G85+G89+G91</f>
        <v>129638391907.20999</v>
      </c>
      <c r="H17" s="90">
        <f>G17-F17</f>
        <v>10210225173.210007</v>
      </c>
      <c r="I17" s="92">
        <f>I19+I29+I32+I38+I49+I54+I57+I65+I68+I75+I81+I85+I89+I91</f>
        <v>136418055125.93001</v>
      </c>
      <c r="J17" s="90">
        <f>I17-G17</f>
        <v>6779663218.7200165</v>
      </c>
      <c r="K17" s="121">
        <f t="shared" ref="K17:T17" si="13">K19+K29+K32+K38+K49+K54+K57+K65+K68+K75+K81+K85+K89+K91</f>
        <v>138063133821.44</v>
      </c>
      <c r="L17" s="122">
        <f t="shared" si="13"/>
        <v>1645078695.5099978</v>
      </c>
      <c r="M17" s="121">
        <f t="shared" si="13"/>
        <v>142304076171.43997</v>
      </c>
      <c r="N17" s="122">
        <f t="shared" si="13"/>
        <v>4240942350.000001</v>
      </c>
      <c r="O17" s="121">
        <f t="shared" si="13"/>
        <v>143455536169.44</v>
      </c>
      <c r="P17" s="122">
        <f t="shared" si="13"/>
        <v>1151459997.9999998</v>
      </c>
      <c r="Q17" s="121">
        <f t="shared" si="13"/>
        <v>143809768331.44</v>
      </c>
      <c r="R17" s="122">
        <f t="shared" si="13"/>
        <v>354232161.99999976</v>
      </c>
      <c r="S17" s="121">
        <f t="shared" si="13"/>
        <v>144048757631.44</v>
      </c>
      <c r="T17" s="122">
        <f t="shared" si="13"/>
        <v>238989300.00000191</v>
      </c>
      <c r="U17" s="90">
        <f t="shared" si="3"/>
        <v>24620590897.440018</v>
      </c>
    </row>
    <row r="18" spans="1:21" s="61" customFormat="1" ht="14.25" x14ac:dyDescent="0.2">
      <c r="A18" s="84"/>
      <c r="B18" s="85" t="s">
        <v>1</v>
      </c>
      <c r="C18" s="85" t="s">
        <v>2</v>
      </c>
      <c r="D18" s="91"/>
      <c r="E18" s="91"/>
      <c r="F18" s="92"/>
      <c r="G18" s="86"/>
      <c r="H18" s="70"/>
      <c r="I18" s="101"/>
      <c r="J18" s="122"/>
      <c r="K18" s="101"/>
      <c r="L18" s="122"/>
      <c r="M18" s="101"/>
      <c r="N18" s="122"/>
      <c r="O18" s="101"/>
      <c r="P18" s="122"/>
      <c r="Q18" s="101"/>
      <c r="R18" s="122"/>
      <c r="S18" s="101"/>
      <c r="T18" s="122"/>
      <c r="U18" s="90">
        <f t="shared" si="3"/>
        <v>0</v>
      </c>
    </row>
    <row r="19" spans="1:21" s="61" customFormat="1" ht="18" customHeight="1" x14ac:dyDescent="0.2">
      <c r="A19" s="28" t="s">
        <v>7</v>
      </c>
      <c r="B19" s="29" t="s">
        <v>8</v>
      </c>
      <c r="C19" s="29" t="s">
        <v>9</v>
      </c>
      <c r="D19" s="6">
        <f t="shared" ref="D19:N19" si="14">SUM(D20:D28)</f>
        <v>0</v>
      </c>
      <c r="E19" s="6">
        <f t="shared" si="14"/>
        <v>0</v>
      </c>
      <c r="F19" s="37">
        <f t="shared" si="14"/>
        <v>9601983559.1199989</v>
      </c>
      <c r="G19" s="37">
        <f t="shared" si="14"/>
        <v>10784614535.299999</v>
      </c>
      <c r="H19" s="38">
        <f>SUM(H20:H28)</f>
        <v>1182630976.1800003</v>
      </c>
      <c r="I19" s="105">
        <f>SUM(I20:I28)</f>
        <v>11411487349.529999</v>
      </c>
      <c r="J19" s="123">
        <f>SUM(J20:J28)</f>
        <v>626872814.22999883</v>
      </c>
      <c r="K19" s="124">
        <f>SUM(K20:K28)</f>
        <v>10493339284.9</v>
      </c>
      <c r="L19" s="123">
        <f>SUM(L20:L28)</f>
        <v>-918148064.62999916</v>
      </c>
      <c r="M19" s="124">
        <f t="shared" si="14"/>
        <v>10694009332.700001</v>
      </c>
      <c r="N19" s="123">
        <f t="shared" si="14"/>
        <v>200670047.80000055</v>
      </c>
      <c r="O19" s="124">
        <f t="shared" ref="O19:P19" si="15">SUM(O20:O28)</f>
        <v>9273988434.9899998</v>
      </c>
      <c r="P19" s="123">
        <f t="shared" si="15"/>
        <v>-1420020897.7100008</v>
      </c>
      <c r="Q19" s="124">
        <f t="shared" ref="Q19:R19" si="16">SUM(Q20:Q28)</f>
        <v>9328285593.9599991</v>
      </c>
      <c r="R19" s="123">
        <f t="shared" si="16"/>
        <v>54297158.970000446</v>
      </c>
      <c r="S19" s="124">
        <f t="shared" ref="S19:T19" si="17">SUM(S20:S28)</f>
        <v>10174494454.709999</v>
      </c>
      <c r="T19" s="123">
        <f t="shared" si="17"/>
        <v>846208860.75</v>
      </c>
      <c r="U19" s="90">
        <f t="shared" si="3"/>
        <v>572510895.59000015</v>
      </c>
    </row>
    <row r="20" spans="1:21" ht="30" x14ac:dyDescent="0.25">
      <c r="A20" s="83" t="s">
        <v>90</v>
      </c>
      <c r="B20" s="103" t="s">
        <v>8</v>
      </c>
      <c r="C20" s="103" t="s">
        <v>10</v>
      </c>
      <c r="D20" s="7"/>
      <c r="E20" s="7"/>
      <c r="F20" s="88">
        <v>6382649</v>
      </c>
      <c r="G20" s="88">
        <v>6382649</v>
      </c>
      <c r="H20" s="24">
        <f>G20-F20</f>
        <v>0</v>
      </c>
      <c r="I20" s="106">
        <v>6382649</v>
      </c>
      <c r="J20" s="125">
        <f>I20-G20</f>
        <v>0</v>
      </c>
      <c r="K20" s="126">
        <v>6540644</v>
      </c>
      <c r="L20" s="125">
        <f>K20-I20</f>
        <v>157995</v>
      </c>
      <c r="M20" s="126">
        <v>6540644</v>
      </c>
      <c r="N20" s="125">
        <f>M20-K20</f>
        <v>0</v>
      </c>
      <c r="O20" s="126">
        <v>7806855.7400000002</v>
      </c>
      <c r="P20" s="125">
        <f>O20-M20</f>
        <v>1266211.7400000002</v>
      </c>
      <c r="Q20" s="126">
        <v>7806855.7400000002</v>
      </c>
      <c r="R20" s="125">
        <f>Q20-O20</f>
        <v>0</v>
      </c>
      <c r="S20" s="126">
        <v>7806855.7400000002</v>
      </c>
      <c r="T20" s="125">
        <f>S20-Q20</f>
        <v>0</v>
      </c>
      <c r="U20" s="87">
        <f t="shared" si="3"/>
        <v>1424206.7400000002</v>
      </c>
    </row>
    <row r="21" spans="1:21" s="10" customFormat="1" ht="45" x14ac:dyDescent="0.2">
      <c r="A21" s="83" t="s">
        <v>11</v>
      </c>
      <c r="B21" s="103" t="s">
        <v>8</v>
      </c>
      <c r="C21" s="103" t="s">
        <v>12</v>
      </c>
      <c r="D21" s="8"/>
      <c r="E21" s="9"/>
      <c r="F21" s="88">
        <v>120960680</v>
      </c>
      <c r="G21" s="88">
        <v>120960680</v>
      </c>
      <c r="H21" s="24">
        <f t="shared" ref="H21:H28" si="18">G21-F21</f>
        <v>0</v>
      </c>
      <c r="I21" s="106">
        <v>124608867.70999999</v>
      </c>
      <c r="J21" s="125">
        <f t="shared" ref="J21:J28" si="19">I21-G21</f>
        <v>3648187.7099999934</v>
      </c>
      <c r="K21" s="126">
        <v>125553557.70999999</v>
      </c>
      <c r="L21" s="125">
        <f t="shared" ref="L21:L28" si="20">K21-I21</f>
        <v>944690</v>
      </c>
      <c r="M21" s="126">
        <v>126301110.58</v>
      </c>
      <c r="N21" s="125">
        <f t="shared" ref="N21:T28" si="21">M21-K21</f>
        <v>747552.87000000477</v>
      </c>
      <c r="O21" s="126">
        <v>132001001.58</v>
      </c>
      <c r="P21" s="125">
        <f t="shared" si="21"/>
        <v>5699891</v>
      </c>
      <c r="Q21" s="126">
        <v>132001001.58</v>
      </c>
      <c r="R21" s="125">
        <f t="shared" si="21"/>
        <v>0</v>
      </c>
      <c r="S21" s="126">
        <v>132001001.58</v>
      </c>
      <c r="T21" s="125">
        <f t="shared" si="21"/>
        <v>0</v>
      </c>
      <c r="U21" s="87">
        <f t="shared" si="3"/>
        <v>11040321.579999998</v>
      </c>
    </row>
    <row r="22" spans="1:21" s="10" customFormat="1" ht="51.75" customHeight="1" x14ac:dyDescent="0.2">
      <c r="A22" s="83" t="s">
        <v>124</v>
      </c>
      <c r="B22" s="103" t="s">
        <v>8</v>
      </c>
      <c r="C22" s="103" t="s">
        <v>14</v>
      </c>
      <c r="D22" s="8"/>
      <c r="E22" s="9"/>
      <c r="F22" s="88">
        <v>310819296.62</v>
      </c>
      <c r="G22" s="88">
        <v>311898865.88999999</v>
      </c>
      <c r="H22" s="24">
        <f t="shared" si="18"/>
        <v>1079569.2699999809</v>
      </c>
      <c r="I22" s="106">
        <v>321488923.63999999</v>
      </c>
      <c r="J22" s="125">
        <f t="shared" si="19"/>
        <v>9590057.75</v>
      </c>
      <c r="K22" s="126">
        <v>323451789.13999999</v>
      </c>
      <c r="L22" s="125">
        <f t="shared" si="20"/>
        <v>1962865.5</v>
      </c>
      <c r="M22" s="126">
        <v>323451789.13999999</v>
      </c>
      <c r="N22" s="125">
        <f t="shared" si="21"/>
        <v>0</v>
      </c>
      <c r="O22" s="126">
        <v>342320995.79000002</v>
      </c>
      <c r="P22" s="125">
        <f t="shared" si="21"/>
        <v>18869206.650000036</v>
      </c>
      <c r="Q22" s="126">
        <v>344320995.79000002</v>
      </c>
      <c r="R22" s="125">
        <f t="shared" si="21"/>
        <v>2000000</v>
      </c>
      <c r="S22" s="126">
        <v>346382795.79000002</v>
      </c>
      <c r="T22" s="125">
        <f t="shared" si="21"/>
        <v>2061800</v>
      </c>
      <c r="U22" s="87">
        <f t="shared" si="3"/>
        <v>35563499.170000017</v>
      </c>
    </row>
    <row r="23" spans="1:21" ht="15" x14ac:dyDescent="0.25">
      <c r="A23" s="83" t="s">
        <v>15</v>
      </c>
      <c r="B23" s="103" t="s">
        <v>8</v>
      </c>
      <c r="C23" s="103" t="s">
        <v>16</v>
      </c>
      <c r="D23" s="11"/>
      <c r="E23" s="7"/>
      <c r="F23" s="88">
        <v>63100</v>
      </c>
      <c r="G23" s="88">
        <v>63100</v>
      </c>
      <c r="H23" s="24">
        <f t="shared" si="18"/>
        <v>0</v>
      </c>
      <c r="I23" s="106">
        <v>63100</v>
      </c>
      <c r="J23" s="125">
        <f t="shared" si="19"/>
        <v>0</v>
      </c>
      <c r="K23" s="126">
        <v>63100</v>
      </c>
      <c r="L23" s="125">
        <f t="shared" si="20"/>
        <v>0</v>
      </c>
      <c r="M23" s="126">
        <v>63100</v>
      </c>
      <c r="N23" s="125">
        <f t="shared" si="21"/>
        <v>0</v>
      </c>
      <c r="O23" s="126">
        <v>63100</v>
      </c>
      <c r="P23" s="125">
        <f t="shared" si="21"/>
        <v>0</v>
      </c>
      <c r="Q23" s="126">
        <v>63100</v>
      </c>
      <c r="R23" s="125">
        <f t="shared" si="21"/>
        <v>0</v>
      </c>
      <c r="S23" s="126">
        <v>63100</v>
      </c>
      <c r="T23" s="125">
        <f t="shared" si="21"/>
        <v>0</v>
      </c>
      <c r="U23" s="87">
        <f t="shared" si="3"/>
        <v>0</v>
      </c>
    </row>
    <row r="24" spans="1:21" s="10" customFormat="1" ht="45" x14ac:dyDescent="0.2">
      <c r="A24" s="83" t="s">
        <v>17</v>
      </c>
      <c r="B24" s="103" t="s">
        <v>8</v>
      </c>
      <c r="C24" s="103" t="s">
        <v>18</v>
      </c>
      <c r="D24" s="8"/>
      <c r="E24" s="9"/>
      <c r="F24" s="88">
        <v>157692400</v>
      </c>
      <c r="G24" s="88">
        <v>158029687.69</v>
      </c>
      <c r="H24" s="24">
        <f t="shared" si="18"/>
        <v>337287.68999999762</v>
      </c>
      <c r="I24" s="106">
        <v>171154880.59999999</v>
      </c>
      <c r="J24" s="125">
        <f t="shared" si="19"/>
        <v>13125192.909999996</v>
      </c>
      <c r="K24" s="126">
        <v>171522345.59999999</v>
      </c>
      <c r="L24" s="125">
        <f t="shared" si="20"/>
        <v>367465</v>
      </c>
      <c r="M24" s="126">
        <v>171522345.59999999</v>
      </c>
      <c r="N24" s="125">
        <f t="shared" si="21"/>
        <v>0</v>
      </c>
      <c r="O24" s="126">
        <v>181976012.05000001</v>
      </c>
      <c r="P24" s="125">
        <f t="shared" si="21"/>
        <v>10453666.450000018</v>
      </c>
      <c r="Q24" s="126">
        <v>181976012.05000001</v>
      </c>
      <c r="R24" s="125">
        <f t="shared" si="21"/>
        <v>0</v>
      </c>
      <c r="S24" s="126">
        <v>180676012.05000001</v>
      </c>
      <c r="T24" s="125">
        <f t="shared" si="21"/>
        <v>-1300000</v>
      </c>
      <c r="U24" s="87">
        <f t="shared" si="3"/>
        <v>22983612.050000012</v>
      </c>
    </row>
    <row r="25" spans="1:21" ht="15" x14ac:dyDescent="0.25">
      <c r="A25" s="83" t="s">
        <v>19</v>
      </c>
      <c r="B25" s="103" t="s">
        <v>8</v>
      </c>
      <c r="C25" s="103" t="s">
        <v>20</v>
      </c>
      <c r="D25" s="11"/>
      <c r="E25" s="7"/>
      <c r="F25" s="88">
        <v>364741700</v>
      </c>
      <c r="G25" s="88">
        <v>364741700</v>
      </c>
      <c r="H25" s="24">
        <f t="shared" si="18"/>
        <v>0</v>
      </c>
      <c r="I25" s="106">
        <v>366609228.37</v>
      </c>
      <c r="J25" s="125">
        <f t="shared" si="19"/>
        <v>1867528.3700000048</v>
      </c>
      <c r="K25" s="126">
        <v>366965928.37</v>
      </c>
      <c r="L25" s="125">
        <f t="shared" si="20"/>
        <v>356700</v>
      </c>
      <c r="M25" s="126">
        <v>367700643.11000001</v>
      </c>
      <c r="N25" s="125">
        <f t="shared" si="21"/>
        <v>734714.74000000954</v>
      </c>
      <c r="O25" s="126">
        <v>371250450.72000003</v>
      </c>
      <c r="P25" s="125">
        <f t="shared" si="21"/>
        <v>3549807.6100000143</v>
      </c>
      <c r="Q25" s="126">
        <v>371670472.67000002</v>
      </c>
      <c r="R25" s="125">
        <f t="shared" si="21"/>
        <v>420021.94999998808</v>
      </c>
      <c r="S25" s="126">
        <v>371670472.67000002</v>
      </c>
      <c r="T25" s="125">
        <f t="shared" si="21"/>
        <v>0</v>
      </c>
      <c r="U25" s="87">
        <f t="shared" si="3"/>
        <v>6928772.6700000167</v>
      </c>
    </row>
    <row r="26" spans="1:21" ht="30" x14ac:dyDescent="0.25">
      <c r="A26" s="83" t="s">
        <v>125</v>
      </c>
      <c r="B26" s="103" t="s">
        <v>8</v>
      </c>
      <c r="C26" s="103" t="s">
        <v>44</v>
      </c>
      <c r="D26" s="11"/>
      <c r="E26" s="7"/>
      <c r="F26" s="88"/>
      <c r="G26" s="88">
        <v>15602683</v>
      </c>
      <c r="H26" s="24">
        <f t="shared" si="18"/>
        <v>15602683</v>
      </c>
      <c r="I26" s="106">
        <v>15602683</v>
      </c>
      <c r="J26" s="125">
        <f t="shared" si="19"/>
        <v>0</v>
      </c>
      <c r="K26" s="126">
        <v>15602683</v>
      </c>
      <c r="L26" s="125">
        <f t="shared" si="20"/>
        <v>0</v>
      </c>
      <c r="M26" s="126">
        <v>15602683</v>
      </c>
      <c r="N26" s="125">
        <f t="shared" si="21"/>
        <v>0</v>
      </c>
      <c r="O26" s="126">
        <v>15602683</v>
      </c>
      <c r="P26" s="125">
        <f t="shared" si="21"/>
        <v>0</v>
      </c>
      <c r="Q26" s="126">
        <v>15602683</v>
      </c>
      <c r="R26" s="125">
        <f t="shared" si="21"/>
        <v>0</v>
      </c>
      <c r="S26" s="126">
        <v>15602683</v>
      </c>
      <c r="T26" s="125">
        <f t="shared" si="21"/>
        <v>0</v>
      </c>
      <c r="U26" s="87">
        <f t="shared" si="3"/>
        <v>15602683</v>
      </c>
    </row>
    <row r="27" spans="1:21" ht="15" x14ac:dyDescent="0.25">
      <c r="A27" s="83" t="s">
        <v>22</v>
      </c>
      <c r="B27" s="103" t="s">
        <v>8</v>
      </c>
      <c r="C27" s="103" t="s">
        <v>23</v>
      </c>
      <c r="D27" s="11"/>
      <c r="E27" s="7"/>
      <c r="F27" s="88">
        <v>1000000000</v>
      </c>
      <c r="G27" s="88">
        <v>1750000000</v>
      </c>
      <c r="H27" s="24">
        <f t="shared" si="18"/>
        <v>750000000</v>
      </c>
      <c r="I27" s="106">
        <v>1750000000</v>
      </c>
      <c r="J27" s="125">
        <f t="shared" si="19"/>
        <v>0</v>
      </c>
      <c r="K27" s="126">
        <v>1750000000</v>
      </c>
      <c r="L27" s="125">
        <f t="shared" si="20"/>
        <v>0</v>
      </c>
      <c r="M27" s="126">
        <v>1750000000</v>
      </c>
      <c r="N27" s="125">
        <f t="shared" si="21"/>
        <v>0</v>
      </c>
      <c r="O27" s="126">
        <v>1750000000</v>
      </c>
      <c r="P27" s="125">
        <f t="shared" si="21"/>
        <v>0</v>
      </c>
      <c r="Q27" s="126">
        <v>2000000000</v>
      </c>
      <c r="R27" s="125">
        <f t="shared" si="21"/>
        <v>250000000</v>
      </c>
      <c r="S27" s="126">
        <v>2000000000</v>
      </c>
      <c r="T27" s="125">
        <f t="shared" si="21"/>
        <v>0</v>
      </c>
      <c r="U27" s="87">
        <f t="shared" si="3"/>
        <v>1000000000</v>
      </c>
    </row>
    <row r="28" spans="1:21" ht="15" x14ac:dyDescent="0.25">
      <c r="A28" s="83" t="s">
        <v>24</v>
      </c>
      <c r="B28" s="103" t="s">
        <v>8</v>
      </c>
      <c r="C28" s="103" t="s">
        <v>25</v>
      </c>
      <c r="D28" s="11"/>
      <c r="E28" s="7"/>
      <c r="F28" s="88">
        <v>7641323733.5</v>
      </c>
      <c r="G28" s="88">
        <v>8056935169.7200003</v>
      </c>
      <c r="H28" s="24">
        <f t="shared" si="18"/>
        <v>415611436.22000027</v>
      </c>
      <c r="I28" s="106">
        <v>8655577017.2099991</v>
      </c>
      <c r="J28" s="125">
        <f t="shared" si="19"/>
        <v>598641847.48999882</v>
      </c>
      <c r="K28" s="126">
        <v>7733639237.0799999</v>
      </c>
      <c r="L28" s="125">
        <f t="shared" si="20"/>
        <v>-921937780.12999916</v>
      </c>
      <c r="M28" s="126">
        <v>7932827017.2700005</v>
      </c>
      <c r="N28" s="125">
        <f t="shared" si="21"/>
        <v>199187780.19000053</v>
      </c>
      <c r="O28" s="126">
        <v>6472967336.1099997</v>
      </c>
      <c r="P28" s="125">
        <f t="shared" si="21"/>
        <v>-1459859681.1600008</v>
      </c>
      <c r="Q28" s="126">
        <v>6274844473.1300001</v>
      </c>
      <c r="R28" s="125">
        <f t="shared" si="21"/>
        <v>-198122862.97999954</v>
      </c>
      <c r="S28" s="126">
        <v>7120291533.8800001</v>
      </c>
      <c r="T28" s="125">
        <f t="shared" si="21"/>
        <v>845447060.75</v>
      </c>
      <c r="U28" s="87">
        <f t="shared" si="3"/>
        <v>-521032199.61999989</v>
      </c>
    </row>
    <row r="29" spans="1:21" s="61" customFormat="1" ht="18" customHeight="1" x14ac:dyDescent="0.2">
      <c r="A29" s="28" t="s">
        <v>26</v>
      </c>
      <c r="B29" s="29" t="s">
        <v>10</v>
      </c>
      <c r="C29" s="29" t="s">
        <v>9</v>
      </c>
      <c r="D29" s="6">
        <f>SUM(D30:D31)</f>
        <v>0</v>
      </c>
      <c r="E29" s="6"/>
      <c r="F29" s="37">
        <f t="shared" ref="F29:N29" si="22">SUM(F30:F31)</f>
        <v>51870800</v>
      </c>
      <c r="G29" s="37">
        <f t="shared" si="22"/>
        <v>53975144</v>
      </c>
      <c r="H29" s="38">
        <f>SUM(H30:H31)</f>
        <v>2104344</v>
      </c>
      <c r="I29" s="105">
        <f>SUM(I30:I31)</f>
        <v>53975144</v>
      </c>
      <c r="J29" s="123">
        <f t="shared" si="22"/>
        <v>0</v>
      </c>
      <c r="K29" s="124">
        <f>SUM(K30:K31)</f>
        <v>56790664</v>
      </c>
      <c r="L29" s="123">
        <f t="shared" si="22"/>
        <v>2815520</v>
      </c>
      <c r="M29" s="124">
        <f t="shared" si="22"/>
        <v>56790664</v>
      </c>
      <c r="N29" s="123">
        <f t="shared" si="22"/>
        <v>0</v>
      </c>
      <c r="O29" s="124">
        <f t="shared" ref="O29:P29" si="23">SUM(O30:O31)</f>
        <v>56845164</v>
      </c>
      <c r="P29" s="123">
        <f t="shared" si="23"/>
        <v>54500</v>
      </c>
      <c r="Q29" s="124">
        <f t="shared" ref="Q29:R29" si="24">SUM(Q30:Q31)</f>
        <v>56845164</v>
      </c>
      <c r="R29" s="123">
        <f t="shared" si="24"/>
        <v>0</v>
      </c>
      <c r="S29" s="124">
        <f t="shared" ref="S29:T29" si="25">SUM(S30:S31)</f>
        <v>57570437</v>
      </c>
      <c r="T29" s="123">
        <f t="shared" si="25"/>
        <v>725273</v>
      </c>
      <c r="U29" s="90">
        <f t="shared" si="3"/>
        <v>5699637</v>
      </c>
    </row>
    <row r="30" spans="1:21" ht="15" x14ac:dyDescent="0.25">
      <c r="A30" s="83" t="s">
        <v>27</v>
      </c>
      <c r="B30" s="103" t="s">
        <v>10</v>
      </c>
      <c r="C30" s="103" t="s">
        <v>12</v>
      </c>
      <c r="D30" s="12"/>
      <c r="E30" s="7"/>
      <c r="F30" s="88">
        <v>46452800</v>
      </c>
      <c r="G30" s="88">
        <v>46452800</v>
      </c>
      <c r="H30" s="24">
        <f>G30-F30</f>
        <v>0</v>
      </c>
      <c r="I30" s="106">
        <v>46452800</v>
      </c>
      <c r="J30" s="125">
        <f>I30-G30</f>
        <v>0</v>
      </c>
      <c r="K30" s="126">
        <v>46452800</v>
      </c>
      <c r="L30" s="125">
        <f>K30-I30</f>
        <v>0</v>
      </c>
      <c r="M30" s="126">
        <v>46452800</v>
      </c>
      <c r="N30" s="125">
        <f>M30-K30</f>
        <v>0</v>
      </c>
      <c r="O30" s="126">
        <v>46507300</v>
      </c>
      <c r="P30" s="125">
        <f>O30-M30</f>
        <v>54500</v>
      </c>
      <c r="Q30" s="126">
        <v>46507300</v>
      </c>
      <c r="R30" s="125">
        <f>Q30-O30</f>
        <v>0</v>
      </c>
      <c r="S30" s="126">
        <v>46507300</v>
      </c>
      <c r="T30" s="125">
        <f>S30-Q30</f>
        <v>0</v>
      </c>
      <c r="U30" s="87">
        <f t="shared" si="3"/>
        <v>54500</v>
      </c>
    </row>
    <row r="31" spans="1:21" ht="15" x14ac:dyDescent="0.25">
      <c r="A31" s="83" t="s">
        <v>28</v>
      </c>
      <c r="B31" s="103" t="s">
        <v>10</v>
      </c>
      <c r="C31" s="103" t="s">
        <v>14</v>
      </c>
      <c r="D31" s="11"/>
      <c r="E31" s="7"/>
      <c r="F31" s="88">
        <v>5418000</v>
      </c>
      <c r="G31" s="88">
        <v>7522344</v>
      </c>
      <c r="H31" s="24">
        <f>G31-F31</f>
        <v>2104344</v>
      </c>
      <c r="I31" s="106">
        <v>7522344</v>
      </c>
      <c r="J31" s="125">
        <f>I31-G31</f>
        <v>0</v>
      </c>
      <c r="K31" s="126">
        <v>10337864</v>
      </c>
      <c r="L31" s="125">
        <f>K31-I31</f>
        <v>2815520</v>
      </c>
      <c r="M31" s="126">
        <v>10337864</v>
      </c>
      <c r="N31" s="125">
        <f>M31-K31</f>
        <v>0</v>
      </c>
      <c r="O31" s="126">
        <v>10337864</v>
      </c>
      <c r="P31" s="125">
        <f>O31-M31</f>
        <v>0</v>
      </c>
      <c r="Q31" s="126">
        <v>10337864</v>
      </c>
      <c r="R31" s="125">
        <f>Q31-O31</f>
        <v>0</v>
      </c>
      <c r="S31" s="126">
        <v>11063137</v>
      </c>
      <c r="T31" s="125">
        <f>S31-Q31</f>
        <v>725273</v>
      </c>
      <c r="U31" s="87">
        <f t="shared" si="3"/>
        <v>5645137</v>
      </c>
    </row>
    <row r="32" spans="1:21" s="62" customFormat="1" ht="28.5" x14ac:dyDescent="0.2">
      <c r="A32" s="28" t="s">
        <v>29</v>
      </c>
      <c r="B32" s="29" t="s">
        <v>12</v>
      </c>
      <c r="C32" s="29" t="s">
        <v>9</v>
      </c>
      <c r="D32" s="13">
        <f>SUM(D33:D37)</f>
        <v>0</v>
      </c>
      <c r="E32" s="13">
        <f>SUM(E33:E37)</f>
        <v>0</v>
      </c>
      <c r="F32" s="37">
        <f t="shared" ref="F32:M32" si="26">F34+F35+F36+F37</f>
        <v>1204185213</v>
      </c>
      <c r="G32" s="37">
        <f t="shared" si="26"/>
        <v>1487507147</v>
      </c>
      <c r="H32" s="38">
        <f>H34+H35+H36+H37</f>
        <v>283321934</v>
      </c>
      <c r="I32" s="105">
        <f>SUM(I34:I37)</f>
        <v>1579682759.3099999</v>
      </c>
      <c r="J32" s="123">
        <f t="shared" si="26"/>
        <v>92175612.310000002</v>
      </c>
      <c r="K32" s="124">
        <f>SUM(K34:K37)</f>
        <v>1585127349.0999999</v>
      </c>
      <c r="L32" s="123">
        <f t="shared" si="26"/>
        <v>5444589.7899999917</v>
      </c>
      <c r="M32" s="124">
        <f t="shared" si="26"/>
        <v>1623741439.0999999</v>
      </c>
      <c r="N32" s="123">
        <f>SUM(N33:N37)</f>
        <v>38614090</v>
      </c>
      <c r="O32" s="124">
        <f t="shared" ref="O32:Q32" si="27">O34+O35+O36+O37</f>
        <v>1665850134.0799999</v>
      </c>
      <c r="P32" s="123">
        <f>SUM(P33:P37)</f>
        <v>42108694.979999974</v>
      </c>
      <c r="Q32" s="124">
        <f t="shared" si="27"/>
        <v>1666448825.3</v>
      </c>
      <c r="R32" s="123">
        <f>SUM(R33:R37)</f>
        <v>598691.21999999881</v>
      </c>
      <c r="S32" s="124">
        <f t="shared" ref="S32" si="28">S34+S35+S36+S37</f>
        <v>1462157463.3400002</v>
      </c>
      <c r="T32" s="123">
        <f>SUM(T33:T37)</f>
        <v>-204291361.95999995</v>
      </c>
      <c r="U32" s="90">
        <f t="shared" si="3"/>
        <v>257972250.34000015</v>
      </c>
    </row>
    <row r="33" spans="1:21" ht="15" hidden="1" customHeight="1" x14ac:dyDescent="0.25">
      <c r="A33" s="19" t="s">
        <v>30</v>
      </c>
      <c r="B33" s="20" t="s">
        <v>12</v>
      </c>
      <c r="C33" s="20" t="s">
        <v>10</v>
      </c>
      <c r="D33" s="11"/>
      <c r="E33" s="7"/>
      <c r="F33" s="23"/>
      <c r="G33" s="86">
        <f t="shared" si="7"/>
        <v>0</v>
      </c>
      <c r="H33" s="57"/>
      <c r="I33" s="101">
        <f t="shared" si="10"/>
        <v>0</v>
      </c>
      <c r="J33" s="127"/>
      <c r="K33" s="101">
        <f t="shared" si="8"/>
        <v>0</v>
      </c>
      <c r="L33" s="127"/>
      <c r="M33" s="101">
        <f t="shared" si="6"/>
        <v>0</v>
      </c>
      <c r="N33" s="127"/>
      <c r="O33" s="101">
        <f t="shared" si="6"/>
        <v>0</v>
      </c>
      <c r="P33" s="127"/>
      <c r="Q33" s="101">
        <f t="shared" si="6"/>
        <v>0</v>
      </c>
      <c r="R33" s="127"/>
      <c r="S33" s="101">
        <f t="shared" si="6"/>
        <v>0</v>
      </c>
      <c r="T33" s="127"/>
      <c r="U33" s="90">
        <f t="shared" si="3"/>
        <v>0</v>
      </c>
    </row>
    <row r="34" spans="1:21" ht="15" x14ac:dyDescent="0.25">
      <c r="A34" s="83" t="s">
        <v>31</v>
      </c>
      <c r="B34" s="103" t="s">
        <v>12</v>
      </c>
      <c r="C34" s="103" t="s">
        <v>14</v>
      </c>
      <c r="D34" s="11"/>
      <c r="E34" s="7"/>
      <c r="F34" s="88">
        <v>98236524</v>
      </c>
      <c r="G34" s="88">
        <v>98386524</v>
      </c>
      <c r="H34" s="24">
        <f t="shared" ref="H34:H36" si="29">G34-F34</f>
        <v>150000</v>
      </c>
      <c r="I34" s="106">
        <v>104556354.31</v>
      </c>
      <c r="J34" s="125">
        <f>I34-G34</f>
        <v>6169830.3100000024</v>
      </c>
      <c r="K34" s="126">
        <v>104556354.31</v>
      </c>
      <c r="L34" s="125">
        <f>K34-I34</f>
        <v>0</v>
      </c>
      <c r="M34" s="126">
        <v>106443354.31</v>
      </c>
      <c r="N34" s="125">
        <f t="shared" ref="N34:T37" si="30">M34-K34</f>
        <v>1887000</v>
      </c>
      <c r="O34" s="126">
        <v>108628060.92</v>
      </c>
      <c r="P34" s="125">
        <f t="shared" si="30"/>
        <v>2184706.6099999994</v>
      </c>
      <c r="Q34" s="126">
        <v>109226752.14</v>
      </c>
      <c r="R34" s="125">
        <f t="shared" si="30"/>
        <v>598691.21999999881</v>
      </c>
      <c r="S34" s="126">
        <v>109196859.54000001</v>
      </c>
      <c r="T34" s="125">
        <f t="shared" si="30"/>
        <v>-29892.59999999404</v>
      </c>
      <c r="U34" s="87">
        <f t="shared" si="3"/>
        <v>10960335.540000007</v>
      </c>
    </row>
    <row r="35" spans="1:21" ht="45" x14ac:dyDescent="0.25">
      <c r="A35" s="83" t="s">
        <v>128</v>
      </c>
      <c r="B35" s="103" t="s">
        <v>12</v>
      </c>
      <c r="C35" s="103" t="s">
        <v>21</v>
      </c>
      <c r="D35" s="11"/>
      <c r="E35" s="7"/>
      <c r="F35" s="88">
        <v>886384540</v>
      </c>
      <c r="G35" s="88">
        <v>892037075</v>
      </c>
      <c r="H35" s="24">
        <f t="shared" si="29"/>
        <v>5652535</v>
      </c>
      <c r="I35" s="106">
        <v>942539425</v>
      </c>
      <c r="J35" s="125">
        <f>I35-G35</f>
        <v>50502350</v>
      </c>
      <c r="K35" s="126">
        <v>942539425</v>
      </c>
      <c r="L35" s="125">
        <f>K35-I35</f>
        <v>0</v>
      </c>
      <c r="M35" s="126">
        <v>974373375</v>
      </c>
      <c r="N35" s="125">
        <f t="shared" si="30"/>
        <v>31833950</v>
      </c>
      <c r="O35" s="126">
        <v>987335038.13999999</v>
      </c>
      <c r="P35" s="125">
        <f t="shared" si="30"/>
        <v>12961663.139999986</v>
      </c>
      <c r="Q35" s="126">
        <v>987335038.13999999</v>
      </c>
      <c r="R35" s="125">
        <f t="shared" si="30"/>
        <v>0</v>
      </c>
      <c r="S35" s="126">
        <v>986023171.11000001</v>
      </c>
      <c r="T35" s="125">
        <f t="shared" si="30"/>
        <v>-1311867.0299999714</v>
      </c>
      <c r="U35" s="87">
        <f t="shared" si="3"/>
        <v>99638631.110000014</v>
      </c>
    </row>
    <row r="36" spans="1:21" ht="15" x14ac:dyDescent="0.25">
      <c r="A36" s="83" t="s">
        <v>35</v>
      </c>
      <c r="B36" s="103" t="s">
        <v>12</v>
      </c>
      <c r="C36" s="103" t="s">
        <v>23</v>
      </c>
      <c r="D36" s="11"/>
      <c r="E36" s="7"/>
      <c r="F36" s="88">
        <v>139451973</v>
      </c>
      <c r="G36" s="88">
        <v>216940678</v>
      </c>
      <c r="H36" s="24">
        <f t="shared" si="29"/>
        <v>77488705</v>
      </c>
      <c r="I36" s="106">
        <v>232725090</v>
      </c>
      <c r="J36" s="125">
        <f>I36-G36</f>
        <v>15784412</v>
      </c>
      <c r="K36" s="126">
        <v>238169679.78999999</v>
      </c>
      <c r="L36" s="125">
        <f>K36-I36</f>
        <v>5444589.7899999917</v>
      </c>
      <c r="M36" s="126">
        <v>243239329.78999999</v>
      </c>
      <c r="N36" s="125">
        <f t="shared" si="30"/>
        <v>5069650</v>
      </c>
      <c r="O36" s="126">
        <v>270201655.01999998</v>
      </c>
      <c r="P36" s="125">
        <f t="shared" si="30"/>
        <v>26962325.229999989</v>
      </c>
      <c r="Q36" s="126">
        <v>270201655.01999998</v>
      </c>
      <c r="R36" s="125">
        <f t="shared" si="30"/>
        <v>0</v>
      </c>
      <c r="S36" s="126">
        <v>267252052.69</v>
      </c>
      <c r="T36" s="125">
        <f t="shared" si="30"/>
        <v>-2949602.3299999833</v>
      </c>
      <c r="U36" s="87">
        <f t="shared" si="3"/>
        <v>127800079.69</v>
      </c>
    </row>
    <row r="37" spans="1:21" s="10" customFormat="1" ht="30" x14ac:dyDescent="0.2">
      <c r="A37" s="83" t="s">
        <v>36</v>
      </c>
      <c r="B37" s="103" t="s">
        <v>12</v>
      </c>
      <c r="C37" s="103" t="s">
        <v>37</v>
      </c>
      <c r="D37" s="89"/>
      <c r="E37" s="9"/>
      <c r="F37" s="88">
        <v>80112176</v>
      </c>
      <c r="G37" s="88">
        <v>280142870</v>
      </c>
      <c r="H37" s="24">
        <f>G37-F37</f>
        <v>200030694</v>
      </c>
      <c r="I37" s="106">
        <v>299861890</v>
      </c>
      <c r="J37" s="125">
        <f>I37-G37</f>
        <v>19719020</v>
      </c>
      <c r="K37" s="126">
        <v>299861890</v>
      </c>
      <c r="L37" s="125">
        <f>K37-I37</f>
        <v>0</v>
      </c>
      <c r="M37" s="126">
        <v>299685380</v>
      </c>
      <c r="N37" s="125">
        <f t="shared" si="30"/>
        <v>-176510</v>
      </c>
      <c r="O37" s="126">
        <v>299685380</v>
      </c>
      <c r="P37" s="125">
        <f t="shared" si="30"/>
        <v>0</v>
      </c>
      <c r="Q37" s="126">
        <v>299685380</v>
      </c>
      <c r="R37" s="125">
        <f t="shared" si="30"/>
        <v>0</v>
      </c>
      <c r="S37" s="126">
        <v>99685380</v>
      </c>
      <c r="T37" s="125">
        <f t="shared" si="30"/>
        <v>-200000000</v>
      </c>
      <c r="U37" s="87">
        <f t="shared" si="3"/>
        <v>19573204</v>
      </c>
    </row>
    <row r="38" spans="1:21" s="61" customFormat="1" ht="19.5" customHeight="1" x14ac:dyDescent="0.2">
      <c r="A38" s="31" t="s">
        <v>38</v>
      </c>
      <c r="B38" s="32" t="s">
        <v>14</v>
      </c>
      <c r="C38" s="29" t="s">
        <v>9</v>
      </c>
      <c r="D38" s="6">
        <f t="shared" ref="D38:L38" si="31">SUM(D39:D48)</f>
        <v>0</v>
      </c>
      <c r="E38" s="6">
        <f t="shared" si="31"/>
        <v>0</v>
      </c>
      <c r="F38" s="37">
        <f t="shared" si="31"/>
        <v>27916089623.009998</v>
      </c>
      <c r="G38" s="37">
        <f t="shared" si="31"/>
        <v>30916282583.700005</v>
      </c>
      <c r="H38" s="38">
        <f t="shared" si="31"/>
        <v>3000192960.690001</v>
      </c>
      <c r="I38" s="105">
        <f>SUM(I39:I48)</f>
        <v>31360299274.25</v>
      </c>
      <c r="J38" s="123">
        <f t="shared" si="31"/>
        <v>444016690.55000025</v>
      </c>
      <c r="K38" s="124">
        <f t="shared" si="31"/>
        <v>32080914421.619999</v>
      </c>
      <c r="L38" s="128">
        <f t="shared" si="31"/>
        <v>720615147.36999965</v>
      </c>
      <c r="M38" s="124">
        <f t="shared" ref="M38:T38" si="32">SUM(M39:M48)</f>
        <v>32459212418.790001</v>
      </c>
      <c r="N38" s="123">
        <f t="shared" si="32"/>
        <v>378297997.1700002</v>
      </c>
      <c r="O38" s="124">
        <f t="shared" si="32"/>
        <v>32441934651.640003</v>
      </c>
      <c r="P38" s="123">
        <f t="shared" si="32"/>
        <v>-17277767.149999857</v>
      </c>
      <c r="Q38" s="124">
        <f t="shared" si="32"/>
        <v>32737281059.839996</v>
      </c>
      <c r="R38" s="123">
        <f t="shared" si="32"/>
        <v>295346408.19999999</v>
      </c>
      <c r="S38" s="124">
        <f t="shared" si="32"/>
        <v>32400069283.420002</v>
      </c>
      <c r="T38" s="123">
        <f t="shared" si="32"/>
        <v>-337211776.42000008</v>
      </c>
      <c r="U38" s="90">
        <f t="shared" si="3"/>
        <v>4483979660.4100037</v>
      </c>
    </row>
    <row r="39" spans="1:21" ht="15" x14ac:dyDescent="0.25">
      <c r="A39" s="83" t="s">
        <v>39</v>
      </c>
      <c r="B39" s="103" t="s">
        <v>14</v>
      </c>
      <c r="C39" s="103" t="s">
        <v>8</v>
      </c>
      <c r="D39" s="12"/>
      <c r="E39" s="7"/>
      <c r="F39" s="88">
        <v>452694574</v>
      </c>
      <c r="G39" s="88">
        <v>455043691.94999999</v>
      </c>
      <c r="H39" s="24">
        <f>G39-F39</f>
        <v>2349117.9499999881</v>
      </c>
      <c r="I39" s="106">
        <v>468356807.51999998</v>
      </c>
      <c r="J39" s="125">
        <f>I39-G39</f>
        <v>13313115.569999993</v>
      </c>
      <c r="K39" s="126">
        <v>469242675.89999998</v>
      </c>
      <c r="L39" s="125">
        <f>K39-I39</f>
        <v>885868.37999999523</v>
      </c>
      <c r="M39" s="126">
        <v>481263055.01999998</v>
      </c>
      <c r="N39" s="125">
        <f>M39-K39</f>
        <v>12020379.120000005</v>
      </c>
      <c r="O39" s="126">
        <v>490683164.98000002</v>
      </c>
      <c r="P39" s="125">
        <f>O39-M39</f>
        <v>9420109.9600000381</v>
      </c>
      <c r="Q39" s="126">
        <v>487671907.44999999</v>
      </c>
      <c r="R39" s="125">
        <f>Q39-O39</f>
        <v>-3011257.530000031</v>
      </c>
      <c r="S39" s="126">
        <v>487671907.44999999</v>
      </c>
      <c r="T39" s="125">
        <f>S39-Q39</f>
        <v>0</v>
      </c>
      <c r="U39" s="87">
        <f t="shared" si="3"/>
        <v>34977333.449999988</v>
      </c>
    </row>
    <row r="40" spans="1:21" ht="15" x14ac:dyDescent="0.25">
      <c r="A40" s="83" t="s">
        <v>40</v>
      </c>
      <c r="B40" s="103" t="s">
        <v>14</v>
      </c>
      <c r="C40" s="103" t="s">
        <v>14</v>
      </c>
      <c r="D40" s="11"/>
      <c r="E40" s="7"/>
      <c r="F40" s="88">
        <v>4572000</v>
      </c>
      <c r="G40" s="88">
        <v>4572000</v>
      </c>
      <c r="H40" s="24">
        <f t="shared" ref="H40:H48" si="33">G40-F40</f>
        <v>0</v>
      </c>
      <c r="I40" s="106">
        <v>4572000</v>
      </c>
      <c r="J40" s="125">
        <f t="shared" ref="J40:J48" si="34">I40-G40</f>
        <v>0</v>
      </c>
      <c r="K40" s="126">
        <v>4572000</v>
      </c>
      <c r="L40" s="125">
        <f t="shared" ref="L40:L48" si="35">K40-I40</f>
        <v>0</v>
      </c>
      <c r="M40" s="126">
        <v>4572000</v>
      </c>
      <c r="N40" s="125">
        <f t="shared" ref="N40:T48" si="36">M40-K40</f>
        <v>0</v>
      </c>
      <c r="O40" s="126">
        <v>2915000</v>
      </c>
      <c r="P40" s="125">
        <f t="shared" si="36"/>
        <v>-1657000</v>
      </c>
      <c r="Q40" s="126">
        <v>2915000</v>
      </c>
      <c r="R40" s="125">
        <f t="shared" si="36"/>
        <v>0</v>
      </c>
      <c r="S40" s="126">
        <v>2915000</v>
      </c>
      <c r="T40" s="125">
        <f t="shared" si="36"/>
        <v>0</v>
      </c>
      <c r="U40" s="87">
        <f t="shared" si="3"/>
        <v>-1657000</v>
      </c>
    </row>
    <row r="41" spans="1:21" ht="15" x14ac:dyDescent="0.25">
      <c r="A41" s="83" t="s">
        <v>41</v>
      </c>
      <c r="B41" s="103" t="s">
        <v>14</v>
      </c>
      <c r="C41" s="103" t="s">
        <v>16</v>
      </c>
      <c r="D41" s="11"/>
      <c r="E41" s="7"/>
      <c r="F41" s="88">
        <v>3462515362.0500002</v>
      </c>
      <c r="G41" s="88">
        <v>3463144665.9099998</v>
      </c>
      <c r="H41" s="24">
        <f t="shared" si="33"/>
        <v>629303.85999965668</v>
      </c>
      <c r="I41" s="106">
        <v>3752389439.6900001</v>
      </c>
      <c r="J41" s="125">
        <f t="shared" si="34"/>
        <v>289244773.78000021</v>
      </c>
      <c r="K41" s="126">
        <v>3752920678.1799998</v>
      </c>
      <c r="L41" s="125">
        <f t="shared" si="35"/>
        <v>531238.48999977112</v>
      </c>
      <c r="M41" s="126">
        <v>4027334569.0500002</v>
      </c>
      <c r="N41" s="125">
        <f t="shared" si="36"/>
        <v>274413890.87000036</v>
      </c>
      <c r="O41" s="126">
        <v>3924526962.48</v>
      </c>
      <c r="P41" s="125">
        <f t="shared" si="36"/>
        <v>-102807606.57000017</v>
      </c>
      <c r="Q41" s="126">
        <v>4172452335.21</v>
      </c>
      <c r="R41" s="125">
        <f t="shared" si="36"/>
        <v>247925372.73000002</v>
      </c>
      <c r="S41" s="126">
        <v>3834800166.27</v>
      </c>
      <c r="T41" s="125">
        <f t="shared" si="36"/>
        <v>-337652168.94000006</v>
      </c>
      <c r="U41" s="87">
        <f t="shared" si="3"/>
        <v>372284804.21999979</v>
      </c>
    </row>
    <row r="42" spans="1:21" ht="15" x14ac:dyDescent="0.25">
      <c r="A42" s="83" t="s">
        <v>91</v>
      </c>
      <c r="B42" s="103" t="s">
        <v>14</v>
      </c>
      <c r="C42" s="103" t="s">
        <v>18</v>
      </c>
      <c r="D42" s="11"/>
      <c r="E42" s="7"/>
      <c r="F42" s="88">
        <v>191017165</v>
      </c>
      <c r="G42" s="88">
        <v>197157613.30000001</v>
      </c>
      <c r="H42" s="24">
        <f t="shared" si="33"/>
        <v>6140448.3000000119</v>
      </c>
      <c r="I42" s="106">
        <v>167326573.30000001</v>
      </c>
      <c r="J42" s="125">
        <f t="shared" si="34"/>
        <v>-29831040</v>
      </c>
      <c r="K42" s="126">
        <v>167326573.30000001</v>
      </c>
      <c r="L42" s="125">
        <f t="shared" si="35"/>
        <v>0</v>
      </c>
      <c r="M42" s="126">
        <v>170240373.30000001</v>
      </c>
      <c r="N42" s="125">
        <f t="shared" si="36"/>
        <v>2913800</v>
      </c>
      <c r="O42" s="126">
        <v>163893703.30000001</v>
      </c>
      <c r="P42" s="125">
        <f t="shared" si="36"/>
        <v>-6346670</v>
      </c>
      <c r="Q42" s="126">
        <v>162893703.30000001</v>
      </c>
      <c r="R42" s="125">
        <f t="shared" si="36"/>
        <v>-1000000</v>
      </c>
      <c r="S42" s="126">
        <v>162893703.30000001</v>
      </c>
      <c r="T42" s="125">
        <f t="shared" si="36"/>
        <v>0</v>
      </c>
      <c r="U42" s="87">
        <f t="shared" si="3"/>
        <v>-28123461.699999988</v>
      </c>
    </row>
    <row r="43" spans="1:21" ht="15" x14ac:dyDescent="0.25">
      <c r="A43" s="83" t="s">
        <v>42</v>
      </c>
      <c r="B43" s="103" t="s">
        <v>14</v>
      </c>
      <c r="C43" s="103" t="s">
        <v>20</v>
      </c>
      <c r="D43" s="11"/>
      <c r="E43" s="7"/>
      <c r="F43" s="88">
        <v>659587201.15999997</v>
      </c>
      <c r="G43" s="88">
        <v>664581349.13</v>
      </c>
      <c r="H43" s="24">
        <f t="shared" si="33"/>
        <v>4994147.9700000286</v>
      </c>
      <c r="I43" s="106">
        <v>681311735.88999999</v>
      </c>
      <c r="J43" s="125">
        <f t="shared" si="34"/>
        <v>16730386.75999999</v>
      </c>
      <c r="K43" s="126">
        <v>694399954.48000002</v>
      </c>
      <c r="L43" s="125">
        <f t="shared" si="35"/>
        <v>13088218.590000033</v>
      </c>
      <c r="M43" s="126">
        <v>721269714.48000002</v>
      </c>
      <c r="N43" s="125">
        <f t="shared" si="36"/>
        <v>26869760</v>
      </c>
      <c r="O43" s="126">
        <v>733198284.74000001</v>
      </c>
      <c r="P43" s="125">
        <f t="shared" si="36"/>
        <v>11928570.25999999</v>
      </c>
      <c r="Q43" s="126">
        <v>733318284.74000001</v>
      </c>
      <c r="R43" s="125">
        <f t="shared" si="36"/>
        <v>120000</v>
      </c>
      <c r="S43" s="126">
        <v>733318284.74000001</v>
      </c>
      <c r="T43" s="125">
        <f t="shared" si="36"/>
        <v>0</v>
      </c>
      <c r="U43" s="87">
        <f t="shared" si="3"/>
        <v>73731083.580000043</v>
      </c>
    </row>
    <row r="44" spans="1:21" ht="15" x14ac:dyDescent="0.25">
      <c r="A44" s="83" t="s">
        <v>43</v>
      </c>
      <c r="B44" s="103" t="s">
        <v>14</v>
      </c>
      <c r="C44" s="103" t="s">
        <v>44</v>
      </c>
      <c r="D44" s="11"/>
      <c r="E44" s="7"/>
      <c r="F44" s="88">
        <v>2783559626</v>
      </c>
      <c r="G44" s="88">
        <v>2951660848.5</v>
      </c>
      <c r="H44" s="24">
        <f t="shared" si="33"/>
        <v>168101222.5</v>
      </c>
      <c r="I44" s="106">
        <v>2955429365.2600002</v>
      </c>
      <c r="J44" s="125">
        <f t="shared" si="34"/>
        <v>3768516.7600002289</v>
      </c>
      <c r="K44" s="126">
        <v>2955429365.2600002</v>
      </c>
      <c r="L44" s="125">
        <f t="shared" si="35"/>
        <v>0</v>
      </c>
      <c r="M44" s="126">
        <v>2933678106.1199999</v>
      </c>
      <c r="N44" s="125">
        <f t="shared" si="36"/>
        <v>-21751259.140000343</v>
      </c>
      <c r="O44" s="126">
        <v>2935410162.3800001</v>
      </c>
      <c r="P44" s="125">
        <f t="shared" si="36"/>
        <v>1732056.2600002289</v>
      </c>
      <c r="Q44" s="126">
        <v>2925648566.5100002</v>
      </c>
      <c r="R44" s="125">
        <f t="shared" si="36"/>
        <v>-9761595.8699998856</v>
      </c>
      <c r="S44" s="126">
        <v>2925648566.5100002</v>
      </c>
      <c r="T44" s="125">
        <f t="shared" si="36"/>
        <v>0</v>
      </c>
      <c r="U44" s="87">
        <f t="shared" si="3"/>
        <v>142088940.51000023</v>
      </c>
    </row>
    <row r="45" spans="1:21" ht="15" x14ac:dyDescent="0.25">
      <c r="A45" s="83" t="s">
        <v>45</v>
      </c>
      <c r="B45" s="103" t="s">
        <v>14</v>
      </c>
      <c r="C45" s="103" t="s">
        <v>33</v>
      </c>
      <c r="D45" s="11"/>
      <c r="E45" s="7"/>
      <c r="F45" s="88">
        <v>15486283711.5</v>
      </c>
      <c r="G45" s="88">
        <v>18739851837.130001</v>
      </c>
      <c r="H45" s="24">
        <f t="shared" si="33"/>
        <v>3253568125.6300011</v>
      </c>
      <c r="I45" s="106">
        <v>18739851837.130001</v>
      </c>
      <c r="J45" s="125">
        <f t="shared" si="34"/>
        <v>0</v>
      </c>
      <c r="K45" s="126">
        <v>18823843737.130001</v>
      </c>
      <c r="L45" s="125">
        <f t="shared" si="35"/>
        <v>83991900</v>
      </c>
      <c r="M45" s="126">
        <v>18829068137.130001</v>
      </c>
      <c r="N45" s="125">
        <f t="shared" si="36"/>
        <v>5224400</v>
      </c>
      <c r="O45" s="126">
        <v>18829068137.130001</v>
      </c>
      <c r="P45" s="125">
        <f t="shared" si="36"/>
        <v>0</v>
      </c>
      <c r="Q45" s="126">
        <v>18829068137.130001</v>
      </c>
      <c r="R45" s="125">
        <f t="shared" si="36"/>
        <v>0</v>
      </c>
      <c r="S45" s="126">
        <v>18829068137.130001</v>
      </c>
      <c r="T45" s="125">
        <f t="shared" si="36"/>
        <v>0</v>
      </c>
      <c r="U45" s="87">
        <f t="shared" si="3"/>
        <v>3342784425.6300011</v>
      </c>
    </row>
    <row r="46" spans="1:21" ht="15" x14ac:dyDescent="0.25">
      <c r="A46" s="83" t="s">
        <v>114</v>
      </c>
      <c r="B46" s="103" t="s">
        <v>14</v>
      </c>
      <c r="C46" s="103" t="s">
        <v>21</v>
      </c>
      <c r="D46" s="11"/>
      <c r="E46" s="7"/>
      <c r="F46" s="88">
        <v>1350996487</v>
      </c>
      <c r="G46" s="88">
        <v>1434072363.02</v>
      </c>
      <c r="H46" s="24">
        <f t="shared" si="33"/>
        <v>83075876.019999981</v>
      </c>
      <c r="I46" s="106">
        <v>1552763774.8499999</v>
      </c>
      <c r="J46" s="125">
        <f t="shared" si="34"/>
        <v>118691411.82999992</v>
      </c>
      <c r="K46" s="126">
        <v>2117220621.8499999</v>
      </c>
      <c r="L46" s="125">
        <f t="shared" si="35"/>
        <v>564456847</v>
      </c>
      <c r="M46" s="126">
        <v>2131540931.8499999</v>
      </c>
      <c r="N46" s="125">
        <f t="shared" si="36"/>
        <v>14320310</v>
      </c>
      <c r="O46" s="126">
        <v>2155663558.5799999</v>
      </c>
      <c r="P46" s="125">
        <f t="shared" si="36"/>
        <v>24122626.730000019</v>
      </c>
      <c r="Q46" s="126">
        <v>2130899238.5799999</v>
      </c>
      <c r="R46" s="125">
        <f t="shared" si="36"/>
        <v>-24764320</v>
      </c>
      <c r="S46" s="126">
        <v>2130899238.5799999</v>
      </c>
      <c r="T46" s="125">
        <f t="shared" si="36"/>
        <v>0</v>
      </c>
      <c r="U46" s="87">
        <f t="shared" si="3"/>
        <v>779902751.57999992</v>
      </c>
    </row>
    <row r="47" spans="1:21" ht="30" x14ac:dyDescent="0.25">
      <c r="A47" s="83" t="s">
        <v>134</v>
      </c>
      <c r="B47" s="103" t="s">
        <v>14</v>
      </c>
      <c r="C47" s="103" t="s">
        <v>23</v>
      </c>
      <c r="D47" s="11"/>
      <c r="E47" s="7"/>
      <c r="F47" s="88">
        <v>23300000</v>
      </c>
      <c r="G47" s="88">
        <v>23300000</v>
      </c>
      <c r="H47" s="24">
        <f t="shared" si="33"/>
        <v>0</v>
      </c>
      <c r="I47" s="106">
        <v>23300000</v>
      </c>
      <c r="J47" s="125"/>
      <c r="K47" s="126">
        <v>23300000</v>
      </c>
      <c r="L47" s="125"/>
      <c r="M47" s="126">
        <v>23300000</v>
      </c>
      <c r="N47" s="125">
        <f t="shared" si="36"/>
        <v>0</v>
      </c>
      <c r="O47" s="126">
        <v>23300000</v>
      </c>
      <c r="P47" s="125">
        <f t="shared" si="36"/>
        <v>0</v>
      </c>
      <c r="Q47" s="126">
        <v>23300000</v>
      </c>
      <c r="R47" s="125">
        <f t="shared" si="36"/>
        <v>0</v>
      </c>
      <c r="S47" s="126">
        <v>23300000</v>
      </c>
      <c r="T47" s="125">
        <f t="shared" si="36"/>
        <v>0</v>
      </c>
      <c r="U47" s="87">
        <f t="shared" si="3"/>
        <v>0</v>
      </c>
    </row>
    <row r="48" spans="1:21" s="10" customFormat="1" ht="15" x14ac:dyDescent="0.2">
      <c r="A48" s="83" t="s">
        <v>46</v>
      </c>
      <c r="B48" s="103" t="s">
        <v>14</v>
      </c>
      <c r="C48" s="103" t="s">
        <v>47</v>
      </c>
      <c r="D48" s="8"/>
      <c r="E48" s="9"/>
      <c r="F48" s="88">
        <v>3501563496.3000002</v>
      </c>
      <c r="G48" s="88">
        <v>2982898214.7600002</v>
      </c>
      <c r="H48" s="24">
        <f t="shared" si="33"/>
        <v>-518665281.53999996</v>
      </c>
      <c r="I48" s="106">
        <v>3014997740.6100001</v>
      </c>
      <c r="J48" s="125">
        <f t="shared" si="34"/>
        <v>32099525.849999905</v>
      </c>
      <c r="K48" s="126">
        <v>3072658815.52</v>
      </c>
      <c r="L48" s="125">
        <f t="shared" si="35"/>
        <v>57661074.909999847</v>
      </c>
      <c r="M48" s="126">
        <v>3136945531.8400002</v>
      </c>
      <c r="N48" s="125">
        <f t="shared" si="36"/>
        <v>64286716.320000172</v>
      </c>
      <c r="O48" s="126">
        <v>3183275678.0500002</v>
      </c>
      <c r="P48" s="125">
        <f t="shared" si="36"/>
        <v>46330146.210000038</v>
      </c>
      <c r="Q48" s="126">
        <v>3269113886.9200001</v>
      </c>
      <c r="R48" s="125">
        <f t="shared" si="36"/>
        <v>85838208.869999886</v>
      </c>
      <c r="S48" s="126">
        <v>3269554279.4400001</v>
      </c>
      <c r="T48" s="125">
        <f t="shared" si="36"/>
        <v>440392.51999998093</v>
      </c>
      <c r="U48" s="87">
        <f t="shared" si="3"/>
        <v>-232009216.86000013</v>
      </c>
    </row>
    <row r="49" spans="1:21" s="61" customFormat="1" ht="14.25" x14ac:dyDescent="0.2">
      <c r="A49" s="28" t="s">
        <v>48</v>
      </c>
      <c r="B49" s="29" t="s">
        <v>16</v>
      </c>
      <c r="C49" s="29" t="s">
        <v>9</v>
      </c>
      <c r="D49" s="6">
        <f t="shared" ref="D49:G49" si="37">SUM(D50:D53)</f>
        <v>0</v>
      </c>
      <c r="E49" s="6">
        <f t="shared" si="37"/>
        <v>0</v>
      </c>
      <c r="F49" s="37">
        <f t="shared" si="37"/>
        <v>4599851087.25</v>
      </c>
      <c r="G49" s="37">
        <f t="shared" si="37"/>
        <v>6083759883.1199999</v>
      </c>
      <c r="H49" s="38">
        <f t="shared" ref="H49:T49" si="38">SUM(H50:H53)</f>
        <v>1483908795.8700004</v>
      </c>
      <c r="I49" s="105">
        <f t="shared" si="38"/>
        <v>7954761569.8900003</v>
      </c>
      <c r="J49" s="123">
        <f t="shared" si="38"/>
        <v>1871001686.7700002</v>
      </c>
      <c r="K49" s="124">
        <f t="shared" si="38"/>
        <v>7949531944.3499994</v>
      </c>
      <c r="L49" s="123">
        <f t="shared" si="38"/>
        <v>-5229625.5400005579</v>
      </c>
      <c r="M49" s="124">
        <f t="shared" si="38"/>
        <v>7981898868.4899988</v>
      </c>
      <c r="N49" s="123">
        <f t="shared" si="38"/>
        <v>32366924.139999986</v>
      </c>
      <c r="O49" s="124">
        <f t="shared" si="38"/>
        <v>8274444715.6499987</v>
      </c>
      <c r="P49" s="123">
        <f t="shared" si="38"/>
        <v>292545847.15999997</v>
      </c>
      <c r="Q49" s="124">
        <f t="shared" si="38"/>
        <v>8265880497.579999</v>
      </c>
      <c r="R49" s="123">
        <f t="shared" si="38"/>
        <v>-8564218.0699996948</v>
      </c>
      <c r="S49" s="124">
        <f t="shared" si="38"/>
        <v>8266601203.3999996</v>
      </c>
      <c r="T49" s="123">
        <f t="shared" si="38"/>
        <v>720705.81999999285</v>
      </c>
      <c r="U49" s="90">
        <f t="shared" si="3"/>
        <v>3666750116.1499996</v>
      </c>
    </row>
    <row r="50" spans="1:21" ht="15" x14ac:dyDescent="0.25">
      <c r="A50" s="83" t="s">
        <v>49</v>
      </c>
      <c r="B50" s="103" t="s">
        <v>16</v>
      </c>
      <c r="C50" s="103" t="s">
        <v>8</v>
      </c>
      <c r="D50" s="7"/>
      <c r="E50" s="7"/>
      <c r="F50" s="88">
        <v>746051157.88999999</v>
      </c>
      <c r="G50" s="88">
        <v>746051157.88999999</v>
      </c>
      <c r="H50" s="24">
        <f>G50-F50</f>
        <v>0</v>
      </c>
      <c r="I50" s="106">
        <v>1750304631.5699999</v>
      </c>
      <c r="J50" s="125">
        <f>I50-G50</f>
        <v>1004253473.6799999</v>
      </c>
      <c r="K50" s="126">
        <v>1750304631.5699999</v>
      </c>
      <c r="L50" s="125">
        <f>K50-I50</f>
        <v>0</v>
      </c>
      <c r="M50" s="126">
        <v>1750304631.5699999</v>
      </c>
      <c r="N50" s="125">
        <f>M50-K50</f>
        <v>0</v>
      </c>
      <c r="O50" s="126">
        <v>1831120631.5699999</v>
      </c>
      <c r="P50" s="125">
        <f>O50-M50</f>
        <v>80816000</v>
      </c>
      <c r="Q50" s="126">
        <v>1831120631.5699999</v>
      </c>
      <c r="R50" s="125">
        <f>Q50-O50</f>
        <v>0</v>
      </c>
      <c r="S50" s="126">
        <v>1831120631.5699999</v>
      </c>
      <c r="T50" s="125">
        <f>S50-Q50</f>
        <v>0</v>
      </c>
      <c r="U50" s="87">
        <f t="shared" si="3"/>
        <v>1085069473.6799998</v>
      </c>
    </row>
    <row r="51" spans="1:21" ht="15" x14ac:dyDescent="0.25">
      <c r="A51" s="83" t="s">
        <v>50</v>
      </c>
      <c r="B51" s="103" t="s">
        <v>16</v>
      </c>
      <c r="C51" s="103" t="s">
        <v>10</v>
      </c>
      <c r="D51" s="12"/>
      <c r="E51" s="7"/>
      <c r="F51" s="88">
        <v>2469505624.6799998</v>
      </c>
      <c r="G51" s="88">
        <v>3758254856.9499998</v>
      </c>
      <c r="H51" s="24">
        <f t="shared" ref="H51:H53" si="39">G51-F51</f>
        <v>1288749232.27</v>
      </c>
      <c r="I51" s="106">
        <v>4617209252.6300001</v>
      </c>
      <c r="J51" s="125">
        <f>I51-G51</f>
        <v>858954395.68000031</v>
      </c>
      <c r="K51" s="126">
        <v>4566854831.5299997</v>
      </c>
      <c r="L51" s="125">
        <f>K51-I51</f>
        <v>-50354421.100000381</v>
      </c>
      <c r="M51" s="126">
        <v>4578460799.0699997</v>
      </c>
      <c r="N51" s="125">
        <f>M51-K51</f>
        <v>11605967.539999962</v>
      </c>
      <c r="O51" s="126">
        <v>4760460799.0699997</v>
      </c>
      <c r="P51" s="125">
        <f>O51-M51</f>
        <v>182000000</v>
      </c>
      <c r="Q51" s="126">
        <v>4750546231.75</v>
      </c>
      <c r="R51" s="125">
        <f>Q51-O51</f>
        <v>-9914567.3199996948</v>
      </c>
      <c r="S51" s="126">
        <v>4750546231.75</v>
      </c>
      <c r="T51" s="125">
        <f>S51-Q51</f>
        <v>0</v>
      </c>
      <c r="U51" s="87">
        <f t="shared" si="3"/>
        <v>2281040607.0700002</v>
      </c>
    </row>
    <row r="52" spans="1:21" ht="15" x14ac:dyDescent="0.25">
      <c r="A52" s="83" t="s">
        <v>51</v>
      </c>
      <c r="B52" s="103" t="s">
        <v>16</v>
      </c>
      <c r="C52" s="103" t="s">
        <v>12</v>
      </c>
      <c r="D52" s="11"/>
      <c r="E52" s="7"/>
      <c r="F52" s="88">
        <v>1003882744.6799999</v>
      </c>
      <c r="G52" s="88">
        <v>1195733734.9000001</v>
      </c>
      <c r="H52" s="24">
        <f t="shared" si="39"/>
        <v>191850990.22000015</v>
      </c>
      <c r="I52" s="106">
        <v>1195733734.9000001</v>
      </c>
      <c r="J52" s="125">
        <f>I52-G52</f>
        <v>0</v>
      </c>
      <c r="K52" s="126">
        <v>1239752086.5599999</v>
      </c>
      <c r="L52" s="125">
        <f>K52-I52</f>
        <v>44018351.659999847</v>
      </c>
      <c r="M52" s="126">
        <v>1239752086.5599999</v>
      </c>
      <c r="N52" s="125">
        <f>M52-K52</f>
        <v>0</v>
      </c>
      <c r="O52" s="126">
        <v>1239752086.5599999</v>
      </c>
      <c r="P52" s="125">
        <f>O52-M52</f>
        <v>0</v>
      </c>
      <c r="Q52" s="126">
        <v>1239752086.5599999</v>
      </c>
      <c r="R52" s="125">
        <f>Q52-O52</f>
        <v>0</v>
      </c>
      <c r="S52" s="126">
        <v>1239752086.5599999</v>
      </c>
      <c r="T52" s="125">
        <f>S52-Q52</f>
        <v>0</v>
      </c>
      <c r="U52" s="87">
        <f t="shared" si="3"/>
        <v>235869341.88</v>
      </c>
    </row>
    <row r="53" spans="1:21" s="10" customFormat="1" ht="30" x14ac:dyDescent="0.2">
      <c r="A53" s="83" t="s">
        <v>52</v>
      </c>
      <c r="B53" s="103" t="s">
        <v>16</v>
      </c>
      <c r="C53" s="103" t="s">
        <v>16</v>
      </c>
      <c r="D53" s="8"/>
      <c r="E53" s="9"/>
      <c r="F53" s="88">
        <v>380411560</v>
      </c>
      <c r="G53" s="88">
        <v>383720133.38</v>
      </c>
      <c r="H53" s="24">
        <f t="shared" si="39"/>
        <v>3308573.3799999952</v>
      </c>
      <c r="I53" s="106">
        <v>391513950.79000002</v>
      </c>
      <c r="J53" s="125">
        <f>I53-G53</f>
        <v>7793817.4100000262</v>
      </c>
      <c r="K53" s="126">
        <v>392620394.69</v>
      </c>
      <c r="L53" s="125">
        <f>K53-I53</f>
        <v>1106443.8999999762</v>
      </c>
      <c r="M53" s="126">
        <v>413381351.29000002</v>
      </c>
      <c r="N53" s="125">
        <f>M53-K53</f>
        <v>20760956.600000024</v>
      </c>
      <c r="O53" s="126">
        <v>443111198.44999999</v>
      </c>
      <c r="P53" s="125">
        <f>O53-M53</f>
        <v>29729847.159999967</v>
      </c>
      <c r="Q53" s="126">
        <v>444461547.69999999</v>
      </c>
      <c r="R53" s="125">
        <f>Q53-O53</f>
        <v>1350349.25</v>
      </c>
      <c r="S53" s="126">
        <v>445182253.51999998</v>
      </c>
      <c r="T53" s="125">
        <f>S53-Q53</f>
        <v>720705.81999999285</v>
      </c>
      <c r="U53" s="87">
        <f t="shared" si="3"/>
        <v>64770693.519999981</v>
      </c>
    </row>
    <row r="54" spans="1:21" s="61" customFormat="1" ht="14.25" x14ac:dyDescent="0.2">
      <c r="A54" s="28" t="s">
        <v>53</v>
      </c>
      <c r="B54" s="29" t="s">
        <v>18</v>
      </c>
      <c r="C54" s="29" t="s">
        <v>9</v>
      </c>
      <c r="D54" s="6">
        <f t="shared" ref="D54:G54" si="40">SUM(D55:D56)</f>
        <v>0</v>
      </c>
      <c r="E54" s="6">
        <f t="shared" si="40"/>
        <v>0</v>
      </c>
      <c r="F54" s="37">
        <f t="shared" si="40"/>
        <v>296190400</v>
      </c>
      <c r="G54" s="37">
        <f t="shared" si="40"/>
        <v>297084165.14999998</v>
      </c>
      <c r="H54" s="38">
        <f t="shared" ref="H54:T54" si="41">SUM(H55:H56)</f>
        <v>893765.14999997616</v>
      </c>
      <c r="I54" s="105">
        <f t="shared" si="41"/>
        <v>334454278.88</v>
      </c>
      <c r="J54" s="123">
        <f t="shared" si="41"/>
        <v>37370113.730000019</v>
      </c>
      <c r="K54" s="124">
        <f t="shared" si="41"/>
        <v>334454278.88</v>
      </c>
      <c r="L54" s="123">
        <f t="shared" si="41"/>
        <v>0</v>
      </c>
      <c r="M54" s="124">
        <f t="shared" si="41"/>
        <v>324921450.25</v>
      </c>
      <c r="N54" s="123">
        <f t="shared" si="41"/>
        <v>-9532828.6299999952</v>
      </c>
      <c r="O54" s="124">
        <f t="shared" si="41"/>
        <v>330314557.49000001</v>
      </c>
      <c r="P54" s="123">
        <f t="shared" si="41"/>
        <v>5393107.2400000095</v>
      </c>
      <c r="Q54" s="124">
        <f t="shared" si="41"/>
        <v>394335516.69</v>
      </c>
      <c r="R54" s="123">
        <f t="shared" si="41"/>
        <v>64020959.199999988</v>
      </c>
      <c r="S54" s="124">
        <f t="shared" si="41"/>
        <v>394335516.69</v>
      </c>
      <c r="T54" s="123">
        <f t="shared" si="41"/>
        <v>0</v>
      </c>
      <c r="U54" s="90">
        <f t="shared" si="3"/>
        <v>98145116.689999998</v>
      </c>
    </row>
    <row r="55" spans="1:21" ht="15" x14ac:dyDescent="0.25">
      <c r="A55" s="83" t="s">
        <v>92</v>
      </c>
      <c r="B55" s="103" t="s">
        <v>18</v>
      </c>
      <c r="C55" s="103" t="s">
        <v>10</v>
      </c>
      <c r="D55" s="7"/>
      <c r="E55" s="7"/>
      <c r="F55" s="88">
        <v>6600000</v>
      </c>
      <c r="G55" s="88">
        <v>6600000</v>
      </c>
      <c r="H55" s="24">
        <f>G55-F55</f>
        <v>0</v>
      </c>
      <c r="I55" s="106">
        <v>6600000</v>
      </c>
      <c r="J55" s="125">
        <f>I55-G55</f>
        <v>0</v>
      </c>
      <c r="K55" s="126">
        <v>6600000</v>
      </c>
      <c r="L55" s="125">
        <f>K55-I55</f>
        <v>0</v>
      </c>
      <c r="M55" s="126">
        <v>6600000</v>
      </c>
      <c r="N55" s="125">
        <f>M55-K55</f>
        <v>0</v>
      </c>
      <c r="O55" s="126">
        <v>1528000</v>
      </c>
      <c r="P55" s="125">
        <f>O55-M55</f>
        <v>-5072000</v>
      </c>
      <c r="Q55" s="126">
        <v>1528000</v>
      </c>
      <c r="R55" s="125">
        <f>Q55-O55</f>
        <v>0</v>
      </c>
      <c r="S55" s="126">
        <v>1528000</v>
      </c>
      <c r="T55" s="125">
        <f>S55-Q55</f>
        <v>0</v>
      </c>
      <c r="U55" s="87">
        <f t="shared" si="3"/>
        <v>-5072000</v>
      </c>
    </row>
    <row r="56" spans="1:21" ht="15" x14ac:dyDescent="0.25">
      <c r="A56" s="83" t="s">
        <v>54</v>
      </c>
      <c r="B56" s="103" t="s">
        <v>18</v>
      </c>
      <c r="C56" s="103" t="s">
        <v>16</v>
      </c>
      <c r="D56" s="11"/>
      <c r="E56" s="7"/>
      <c r="F56" s="88">
        <v>289590400</v>
      </c>
      <c r="G56" s="88">
        <v>290484165.14999998</v>
      </c>
      <c r="H56" s="24">
        <f>G56-F56</f>
        <v>893765.14999997616</v>
      </c>
      <c r="I56" s="106">
        <v>327854278.88</v>
      </c>
      <c r="J56" s="125">
        <f>I56-G56</f>
        <v>37370113.730000019</v>
      </c>
      <c r="K56" s="126">
        <v>327854278.88</v>
      </c>
      <c r="L56" s="125">
        <f>K56-I56</f>
        <v>0</v>
      </c>
      <c r="M56" s="126">
        <v>318321450.25</v>
      </c>
      <c r="N56" s="125">
        <f>M56-K56</f>
        <v>-9532828.6299999952</v>
      </c>
      <c r="O56" s="126">
        <v>328786557.49000001</v>
      </c>
      <c r="P56" s="125">
        <f>O56-M56</f>
        <v>10465107.24000001</v>
      </c>
      <c r="Q56" s="126">
        <v>392807516.69</v>
      </c>
      <c r="R56" s="125">
        <f>Q56-O56</f>
        <v>64020959.199999988</v>
      </c>
      <c r="S56" s="126">
        <v>392807516.69</v>
      </c>
      <c r="T56" s="125">
        <f>S56-Q56</f>
        <v>0</v>
      </c>
      <c r="U56" s="87">
        <f t="shared" si="3"/>
        <v>103217116.69</v>
      </c>
    </row>
    <row r="57" spans="1:21" s="61" customFormat="1" ht="14.25" x14ac:dyDescent="0.2">
      <c r="A57" s="28" t="s">
        <v>55</v>
      </c>
      <c r="B57" s="29" t="s">
        <v>20</v>
      </c>
      <c r="C57" s="29" t="s">
        <v>9</v>
      </c>
      <c r="D57" s="6">
        <f t="shared" ref="D57:N57" si="42">SUM(D58:D64)</f>
        <v>0</v>
      </c>
      <c r="E57" s="6">
        <f t="shared" si="42"/>
        <v>0</v>
      </c>
      <c r="F57" s="37">
        <f t="shared" si="42"/>
        <v>25772767200.18</v>
      </c>
      <c r="G57" s="37">
        <f t="shared" si="42"/>
        <v>26584328598.789997</v>
      </c>
      <c r="H57" s="38">
        <f>SUM(H58:H64)</f>
        <v>811561398.6099987</v>
      </c>
      <c r="I57" s="105">
        <f>SUM(I58:I64)</f>
        <v>27957882186.560001</v>
      </c>
      <c r="J57" s="123">
        <f>SUM(J58:J64)</f>
        <v>1373553587.7700021</v>
      </c>
      <c r="K57" s="124">
        <f>SUM(K58:K64)</f>
        <v>28065551254.41</v>
      </c>
      <c r="L57" s="123">
        <f t="shared" si="42"/>
        <v>107669067.84999752</v>
      </c>
      <c r="M57" s="124">
        <f>SUM(M58:M64)</f>
        <v>29071979726.879997</v>
      </c>
      <c r="N57" s="123">
        <f t="shared" si="42"/>
        <v>1006428472.4699994</v>
      </c>
      <c r="O57" s="124">
        <f>SUM(O58:O64)</f>
        <v>29382635990.619999</v>
      </c>
      <c r="P57" s="123">
        <f t="shared" ref="P57:R57" si="43">SUM(P58:P64)</f>
        <v>310656263.74000114</v>
      </c>
      <c r="Q57" s="124">
        <f>SUM(Q58:Q64)</f>
        <v>29079001406.309998</v>
      </c>
      <c r="R57" s="123">
        <f t="shared" si="43"/>
        <v>-303634584.31000161</v>
      </c>
      <c r="S57" s="124">
        <f>SUM(S58:S64)</f>
        <v>29232344334.310001</v>
      </c>
      <c r="T57" s="123">
        <f t="shared" ref="T57" si="44">SUM(T58:T64)</f>
        <v>153342928.00000262</v>
      </c>
      <c r="U57" s="90">
        <f t="shared" si="3"/>
        <v>3459577134.1300011</v>
      </c>
    </row>
    <row r="58" spans="1:21" ht="15" x14ac:dyDescent="0.25">
      <c r="A58" s="83" t="s">
        <v>56</v>
      </c>
      <c r="B58" s="103" t="s">
        <v>20</v>
      </c>
      <c r="C58" s="103" t="s">
        <v>8</v>
      </c>
      <c r="D58" s="12"/>
      <c r="E58" s="7"/>
      <c r="F58" s="88">
        <v>4915648367</v>
      </c>
      <c r="G58" s="88">
        <v>5002322507</v>
      </c>
      <c r="H58" s="24">
        <f>G58-F58</f>
        <v>86674140</v>
      </c>
      <c r="I58" s="106">
        <v>5055614537</v>
      </c>
      <c r="J58" s="125">
        <f>I58-G58</f>
        <v>53292030</v>
      </c>
      <c r="K58" s="126">
        <v>5032368800</v>
      </c>
      <c r="L58" s="125">
        <f>K58-I58</f>
        <v>-23245737</v>
      </c>
      <c r="M58" s="126">
        <v>5264820700</v>
      </c>
      <c r="N58" s="125">
        <f>M58-K58</f>
        <v>232451900</v>
      </c>
      <c r="O58" s="126">
        <v>5262133207.25</v>
      </c>
      <c r="P58" s="125">
        <f>O58-M58</f>
        <v>-2687492.75</v>
      </c>
      <c r="Q58" s="126">
        <v>5242750402.25</v>
      </c>
      <c r="R58" s="125">
        <f>Q58-O58</f>
        <v>-19382805</v>
      </c>
      <c r="S58" s="126">
        <v>5242750402.25</v>
      </c>
      <c r="T58" s="125">
        <f>S58-Q58</f>
        <v>0</v>
      </c>
      <c r="U58" s="87">
        <f t="shared" si="3"/>
        <v>327102035.25</v>
      </c>
    </row>
    <row r="59" spans="1:21" ht="15" x14ac:dyDescent="0.25">
      <c r="A59" s="83" t="s">
        <v>57</v>
      </c>
      <c r="B59" s="103" t="s">
        <v>20</v>
      </c>
      <c r="C59" s="103" t="s">
        <v>10</v>
      </c>
      <c r="D59" s="11"/>
      <c r="E59" s="7"/>
      <c r="F59" s="88">
        <v>15882014996.950001</v>
      </c>
      <c r="G59" s="88">
        <v>16441338254.15</v>
      </c>
      <c r="H59" s="24">
        <f t="shared" ref="H59:H64" si="45">G59-F59</f>
        <v>559323257.19999886</v>
      </c>
      <c r="I59" s="106">
        <v>17527318166.740002</v>
      </c>
      <c r="J59" s="125">
        <f t="shared" ref="J59:J64" si="46">I59-G59</f>
        <v>1085979912.5900021</v>
      </c>
      <c r="K59" s="126">
        <v>17620884102.049999</v>
      </c>
      <c r="L59" s="125">
        <f t="shared" ref="L59:L64" si="47">K59-I59</f>
        <v>93565935.309997559</v>
      </c>
      <c r="M59" s="126">
        <v>18231516707.599998</v>
      </c>
      <c r="N59" s="125">
        <f t="shared" ref="N59:T64" si="48">M59-K59</f>
        <v>610632605.54999924</v>
      </c>
      <c r="O59" s="126">
        <v>18420613176.41</v>
      </c>
      <c r="P59" s="125">
        <f t="shared" si="48"/>
        <v>189096468.81000137</v>
      </c>
      <c r="Q59" s="126">
        <v>18440783011.919998</v>
      </c>
      <c r="R59" s="125">
        <f t="shared" si="48"/>
        <v>20169835.509998322</v>
      </c>
      <c r="S59" s="126">
        <v>18602288979.470001</v>
      </c>
      <c r="T59" s="125">
        <f t="shared" si="48"/>
        <v>161505967.55000305</v>
      </c>
      <c r="U59" s="87">
        <f t="shared" si="3"/>
        <v>2720273982.5200005</v>
      </c>
    </row>
    <row r="60" spans="1:21" ht="15" x14ac:dyDescent="0.25">
      <c r="A60" s="83" t="s">
        <v>95</v>
      </c>
      <c r="B60" s="103" t="s">
        <v>20</v>
      </c>
      <c r="C60" s="103" t="s">
        <v>12</v>
      </c>
      <c r="D60" s="11"/>
      <c r="E60" s="7"/>
      <c r="F60" s="88">
        <v>488420720.74000001</v>
      </c>
      <c r="G60" s="88">
        <v>491148736.94999999</v>
      </c>
      <c r="H60" s="24">
        <f t="shared" si="45"/>
        <v>2728016.2099999785</v>
      </c>
      <c r="I60" s="106">
        <v>505393802.19</v>
      </c>
      <c r="J60" s="125">
        <f t="shared" si="46"/>
        <v>14245065.24000001</v>
      </c>
      <c r="K60" s="126">
        <v>505988622.19</v>
      </c>
      <c r="L60" s="125">
        <f t="shared" si="47"/>
        <v>594820</v>
      </c>
      <c r="M60" s="126">
        <v>527546284.97000003</v>
      </c>
      <c r="N60" s="125">
        <f t="shared" si="48"/>
        <v>21557662.780000031</v>
      </c>
      <c r="O60" s="126">
        <v>535729873.57999998</v>
      </c>
      <c r="P60" s="125">
        <f t="shared" si="48"/>
        <v>8183588.6099999547</v>
      </c>
      <c r="Q60" s="126">
        <v>539502770.52999997</v>
      </c>
      <c r="R60" s="125">
        <f t="shared" si="48"/>
        <v>3772896.9499999881</v>
      </c>
      <c r="S60" s="126">
        <v>539146623.51999998</v>
      </c>
      <c r="T60" s="125">
        <f t="shared" si="48"/>
        <v>-356147.00999999046</v>
      </c>
      <c r="U60" s="87">
        <f t="shared" si="3"/>
        <v>50725902.779999971</v>
      </c>
    </row>
    <row r="61" spans="1:21" ht="15" x14ac:dyDescent="0.25">
      <c r="A61" s="83" t="s">
        <v>58</v>
      </c>
      <c r="B61" s="103" t="s">
        <v>20</v>
      </c>
      <c r="C61" s="103" t="s">
        <v>14</v>
      </c>
      <c r="D61" s="11"/>
      <c r="E61" s="7"/>
      <c r="F61" s="88">
        <v>2428619520.4200001</v>
      </c>
      <c r="G61" s="88">
        <v>2495603581.3299999</v>
      </c>
      <c r="H61" s="24">
        <f t="shared" si="45"/>
        <v>66984060.909999847</v>
      </c>
      <c r="I61" s="106">
        <v>2567309907.3099999</v>
      </c>
      <c r="J61" s="125">
        <f t="shared" si="46"/>
        <v>71706325.980000019</v>
      </c>
      <c r="K61" s="126">
        <v>2603251739</v>
      </c>
      <c r="L61" s="125">
        <f t="shared" si="47"/>
        <v>35941831.690000057</v>
      </c>
      <c r="M61" s="126">
        <v>2698352608.2800002</v>
      </c>
      <c r="N61" s="125">
        <f t="shared" si="48"/>
        <v>95100869.28000021</v>
      </c>
      <c r="O61" s="126">
        <v>2730016889.8200002</v>
      </c>
      <c r="P61" s="125">
        <f t="shared" si="48"/>
        <v>31664281.539999962</v>
      </c>
      <c r="Q61" s="126">
        <v>2724795908.5100002</v>
      </c>
      <c r="R61" s="125">
        <f t="shared" si="48"/>
        <v>-5220981.3099999428</v>
      </c>
      <c r="S61" s="126">
        <v>2722589015.9699998</v>
      </c>
      <c r="T61" s="125">
        <f t="shared" si="48"/>
        <v>-2206892.5400004387</v>
      </c>
      <c r="U61" s="87">
        <f t="shared" si="3"/>
        <v>293969495.54999971</v>
      </c>
    </row>
    <row r="62" spans="1:21" s="10" customFormat="1" ht="30" x14ac:dyDescent="0.2">
      <c r="A62" s="83" t="s">
        <v>59</v>
      </c>
      <c r="B62" s="103" t="s">
        <v>20</v>
      </c>
      <c r="C62" s="103" t="s">
        <v>16</v>
      </c>
      <c r="D62" s="8"/>
      <c r="E62" s="9"/>
      <c r="F62" s="88">
        <v>170050803.31</v>
      </c>
      <c r="G62" s="88">
        <v>173723787.59999999</v>
      </c>
      <c r="H62" s="24">
        <f t="shared" si="45"/>
        <v>3672984.2899999917</v>
      </c>
      <c r="I62" s="106">
        <v>181423925.93000001</v>
      </c>
      <c r="J62" s="125">
        <f t="shared" si="46"/>
        <v>7700138.3300000131</v>
      </c>
      <c r="K62" s="126">
        <v>181423925.93000001</v>
      </c>
      <c r="L62" s="125">
        <f t="shared" si="47"/>
        <v>0</v>
      </c>
      <c r="M62" s="126">
        <v>185769900.93000001</v>
      </c>
      <c r="N62" s="125">
        <f t="shared" si="48"/>
        <v>4345975</v>
      </c>
      <c r="O62" s="126">
        <v>176786175.30000001</v>
      </c>
      <c r="P62" s="125">
        <f t="shared" si="48"/>
        <v>-8983725.6299999952</v>
      </c>
      <c r="Q62" s="126">
        <v>173945905.37</v>
      </c>
      <c r="R62" s="125">
        <f t="shared" si="48"/>
        <v>-2840269.9300000072</v>
      </c>
      <c r="S62" s="126">
        <v>173945905.37</v>
      </c>
      <c r="T62" s="125">
        <f t="shared" si="48"/>
        <v>0</v>
      </c>
      <c r="U62" s="87">
        <f t="shared" si="3"/>
        <v>3895102.0600000024</v>
      </c>
    </row>
    <row r="63" spans="1:21" ht="15" x14ac:dyDescent="0.25">
      <c r="A63" s="83" t="s">
        <v>129</v>
      </c>
      <c r="B63" s="103" t="s">
        <v>20</v>
      </c>
      <c r="C63" s="103" t="s">
        <v>20</v>
      </c>
      <c r="D63" s="11"/>
      <c r="E63" s="7"/>
      <c r="F63" s="88">
        <v>220477277</v>
      </c>
      <c r="G63" s="88">
        <v>222706897</v>
      </c>
      <c r="H63" s="24">
        <f t="shared" si="45"/>
        <v>2229620</v>
      </c>
      <c r="I63" s="106">
        <v>239489627</v>
      </c>
      <c r="J63" s="125">
        <f t="shared" si="46"/>
        <v>16782730</v>
      </c>
      <c r="K63" s="126">
        <v>239849769.74000001</v>
      </c>
      <c r="L63" s="125">
        <f t="shared" si="47"/>
        <v>360142.74000000954</v>
      </c>
      <c r="M63" s="126">
        <v>244906868.91</v>
      </c>
      <c r="N63" s="125">
        <f t="shared" si="48"/>
        <v>5057099.1699999869</v>
      </c>
      <c r="O63" s="126">
        <v>253369968.91</v>
      </c>
      <c r="P63" s="125">
        <f t="shared" si="48"/>
        <v>8463100</v>
      </c>
      <c r="Q63" s="126">
        <v>253752334.86000001</v>
      </c>
      <c r="R63" s="125">
        <f t="shared" si="48"/>
        <v>382365.95000001788</v>
      </c>
      <c r="S63" s="126">
        <v>253752334.86000001</v>
      </c>
      <c r="T63" s="125">
        <f t="shared" si="48"/>
        <v>0</v>
      </c>
      <c r="U63" s="87">
        <f t="shared" si="3"/>
        <v>33275057.860000014</v>
      </c>
    </row>
    <row r="64" spans="1:21" ht="15" x14ac:dyDescent="0.25">
      <c r="A64" s="83" t="s">
        <v>61</v>
      </c>
      <c r="B64" s="103" t="s">
        <v>20</v>
      </c>
      <c r="C64" s="103" t="s">
        <v>33</v>
      </c>
      <c r="D64" s="11"/>
      <c r="E64" s="7"/>
      <c r="F64" s="88">
        <v>1667535514.76</v>
      </c>
      <c r="G64" s="88">
        <v>1757484834.76</v>
      </c>
      <c r="H64" s="24">
        <f t="shared" si="45"/>
        <v>89949320</v>
      </c>
      <c r="I64" s="106">
        <v>1881332220.3900001</v>
      </c>
      <c r="J64" s="125">
        <f t="shared" si="46"/>
        <v>123847385.63000011</v>
      </c>
      <c r="K64" s="126">
        <v>1881784295.5</v>
      </c>
      <c r="L64" s="125">
        <f t="shared" si="47"/>
        <v>452075.1099998951</v>
      </c>
      <c r="M64" s="126">
        <v>1919066656.1900001</v>
      </c>
      <c r="N64" s="125">
        <f t="shared" si="48"/>
        <v>37282360.690000057</v>
      </c>
      <c r="O64" s="126">
        <v>2003986699.3499999</v>
      </c>
      <c r="P64" s="125">
        <f t="shared" si="48"/>
        <v>84920043.159999847</v>
      </c>
      <c r="Q64" s="126">
        <v>1703471072.8699999</v>
      </c>
      <c r="R64" s="125">
        <f t="shared" si="48"/>
        <v>-300515626.48000002</v>
      </c>
      <c r="S64" s="126">
        <v>1697871072.8699999</v>
      </c>
      <c r="T64" s="125">
        <f t="shared" si="48"/>
        <v>-5600000</v>
      </c>
      <c r="U64" s="87">
        <f t="shared" si="3"/>
        <v>30335558.109999895</v>
      </c>
    </row>
    <row r="65" spans="1:21" s="61" customFormat="1" ht="14.25" x14ac:dyDescent="0.2">
      <c r="A65" s="28" t="s">
        <v>93</v>
      </c>
      <c r="B65" s="29" t="s">
        <v>44</v>
      </c>
      <c r="C65" s="29" t="s">
        <v>9</v>
      </c>
      <c r="D65" s="6">
        <f t="shared" ref="D65:G65" si="49">SUM(D66:D67)</f>
        <v>0</v>
      </c>
      <c r="E65" s="6">
        <f t="shared" si="49"/>
        <v>0</v>
      </c>
      <c r="F65" s="37">
        <f t="shared" si="49"/>
        <v>1615198211.02</v>
      </c>
      <c r="G65" s="37">
        <f t="shared" si="49"/>
        <v>1688814025.1200001</v>
      </c>
      <c r="H65" s="38">
        <f t="shared" ref="H65:T65" si="50">SUM(H66:H67)</f>
        <v>73615814.100000054</v>
      </c>
      <c r="I65" s="105">
        <f t="shared" si="50"/>
        <v>1718657054.53</v>
      </c>
      <c r="J65" s="123">
        <f t="shared" si="50"/>
        <v>29843029.409999974</v>
      </c>
      <c r="K65" s="124">
        <f t="shared" si="50"/>
        <v>1756985303.3299999</v>
      </c>
      <c r="L65" s="123">
        <f t="shared" si="50"/>
        <v>38328248.799999997</v>
      </c>
      <c r="M65" s="124">
        <f t="shared" si="50"/>
        <v>1803326110.1799998</v>
      </c>
      <c r="N65" s="123">
        <f t="shared" si="50"/>
        <v>46340806.849999905</v>
      </c>
      <c r="O65" s="124">
        <f t="shared" si="50"/>
        <v>1883018055.1600001</v>
      </c>
      <c r="P65" s="123">
        <f t="shared" si="50"/>
        <v>79691944.980000138</v>
      </c>
      <c r="Q65" s="124">
        <f t="shared" si="50"/>
        <v>1888256660.3500001</v>
      </c>
      <c r="R65" s="123">
        <f t="shared" si="50"/>
        <v>5238605.1900000572</v>
      </c>
      <c r="S65" s="124">
        <f t="shared" si="50"/>
        <v>1905989807.3600001</v>
      </c>
      <c r="T65" s="123">
        <f t="shared" si="50"/>
        <v>17733147.00999999</v>
      </c>
      <c r="U65" s="90">
        <f t="shared" si="3"/>
        <v>290791596.34000015</v>
      </c>
    </row>
    <row r="66" spans="1:21" ht="15" x14ac:dyDescent="0.25">
      <c r="A66" s="83" t="s">
        <v>62</v>
      </c>
      <c r="B66" s="103" t="s">
        <v>44</v>
      </c>
      <c r="C66" s="103" t="s">
        <v>8</v>
      </c>
      <c r="D66" s="11"/>
      <c r="E66" s="7"/>
      <c r="F66" s="88">
        <v>1579461492.02</v>
      </c>
      <c r="G66" s="88">
        <v>1652899385.72</v>
      </c>
      <c r="H66" s="24">
        <f>G66-F66</f>
        <v>73437893.700000048</v>
      </c>
      <c r="I66" s="106">
        <v>1681573891.75</v>
      </c>
      <c r="J66" s="125">
        <f>I66-G66</f>
        <v>28674506.029999971</v>
      </c>
      <c r="K66" s="126">
        <v>1719120141.75</v>
      </c>
      <c r="L66" s="125">
        <f>K66-I66</f>
        <v>37546250</v>
      </c>
      <c r="M66" s="126">
        <v>1765460948.5999999</v>
      </c>
      <c r="N66" s="125">
        <f>M66-K66</f>
        <v>46340806.849999905</v>
      </c>
      <c r="O66" s="126">
        <v>1842902360.96</v>
      </c>
      <c r="P66" s="125">
        <f>O66-M66</f>
        <v>77441412.360000134</v>
      </c>
      <c r="Q66" s="126">
        <v>1848140966.1500001</v>
      </c>
      <c r="R66" s="125">
        <f>Q66-O66</f>
        <v>5238605.1900000572</v>
      </c>
      <c r="S66" s="126">
        <v>1865874113.1600001</v>
      </c>
      <c r="T66" s="125">
        <f>S66-Q66</f>
        <v>17733147.00999999</v>
      </c>
      <c r="U66" s="87">
        <f t="shared" si="3"/>
        <v>286412621.1400001</v>
      </c>
    </row>
    <row r="67" spans="1:21" ht="15" x14ac:dyDescent="0.25">
      <c r="A67" s="83" t="s">
        <v>63</v>
      </c>
      <c r="B67" s="103" t="s">
        <v>44</v>
      </c>
      <c r="C67" s="103" t="s">
        <v>14</v>
      </c>
      <c r="D67" s="11"/>
      <c r="E67" s="7"/>
      <c r="F67" s="88">
        <v>35736719</v>
      </c>
      <c r="G67" s="88">
        <v>35914639.399999999</v>
      </c>
      <c r="H67" s="24">
        <f>G67-F67</f>
        <v>177920.39999999851</v>
      </c>
      <c r="I67" s="106">
        <v>37083162.780000001</v>
      </c>
      <c r="J67" s="125">
        <f>I67-G67</f>
        <v>1168523.3800000027</v>
      </c>
      <c r="K67" s="126">
        <v>37865161.579999998</v>
      </c>
      <c r="L67" s="125">
        <f>K67-I67</f>
        <v>781998.79999999702</v>
      </c>
      <c r="M67" s="126">
        <v>37865161.579999998</v>
      </c>
      <c r="N67" s="125">
        <f>M67-K67</f>
        <v>0</v>
      </c>
      <c r="O67" s="126">
        <v>40115694.200000003</v>
      </c>
      <c r="P67" s="125">
        <f>O67-M67</f>
        <v>2250532.6200000048</v>
      </c>
      <c r="Q67" s="126">
        <v>40115694.200000003</v>
      </c>
      <c r="R67" s="125">
        <f>Q67-O67</f>
        <v>0</v>
      </c>
      <c r="S67" s="126">
        <v>40115694.200000003</v>
      </c>
      <c r="T67" s="125">
        <f>S67-Q67</f>
        <v>0</v>
      </c>
      <c r="U67" s="87">
        <f t="shared" si="3"/>
        <v>4378975.200000003</v>
      </c>
    </row>
    <row r="68" spans="1:21" s="61" customFormat="1" ht="14.25" x14ac:dyDescent="0.2">
      <c r="A68" s="28" t="s">
        <v>64</v>
      </c>
      <c r="B68" s="29" t="s">
        <v>33</v>
      </c>
      <c r="C68" s="29" t="s">
        <v>9</v>
      </c>
      <c r="D68" s="6">
        <f t="shared" ref="D68:G68" si="51">SUM(D69:D74)</f>
        <v>0</v>
      </c>
      <c r="E68" s="6">
        <f t="shared" si="51"/>
        <v>0</v>
      </c>
      <c r="F68" s="37">
        <f t="shared" si="51"/>
        <v>14552943358.789999</v>
      </c>
      <c r="G68" s="37">
        <f t="shared" si="51"/>
        <v>15603717269.82</v>
      </c>
      <c r="H68" s="38">
        <f t="shared" ref="H68:T68" si="52">SUM(H69:H74)</f>
        <v>1050773911.0299997</v>
      </c>
      <c r="I68" s="105">
        <f t="shared" si="52"/>
        <v>16833664039.130001</v>
      </c>
      <c r="J68" s="123">
        <f t="shared" si="52"/>
        <v>1229946769.3099999</v>
      </c>
      <c r="K68" s="124">
        <f t="shared" si="52"/>
        <v>17083428774.43</v>
      </c>
      <c r="L68" s="123">
        <f t="shared" si="52"/>
        <v>249764735.30000019</v>
      </c>
      <c r="M68" s="124">
        <f t="shared" si="52"/>
        <v>18121946356.529999</v>
      </c>
      <c r="N68" s="123">
        <f t="shared" si="52"/>
        <v>1038517582.1000004</v>
      </c>
      <c r="O68" s="124">
        <f t="shared" si="52"/>
        <v>18880983931.68</v>
      </c>
      <c r="P68" s="123">
        <f t="shared" si="52"/>
        <v>759037575.15000033</v>
      </c>
      <c r="Q68" s="124">
        <f t="shared" si="52"/>
        <v>18929099873.82</v>
      </c>
      <c r="R68" s="123">
        <f t="shared" si="52"/>
        <v>48115942.13999939</v>
      </c>
      <c r="S68" s="124">
        <f t="shared" si="52"/>
        <v>18932161477.629997</v>
      </c>
      <c r="T68" s="123">
        <f t="shared" si="52"/>
        <v>3061603.8099994659</v>
      </c>
      <c r="U68" s="90">
        <f>S68-F68</f>
        <v>4379218118.8399982</v>
      </c>
    </row>
    <row r="69" spans="1:21" ht="15" x14ac:dyDescent="0.25">
      <c r="A69" s="83" t="s">
        <v>65</v>
      </c>
      <c r="B69" s="103" t="s">
        <v>33</v>
      </c>
      <c r="C69" s="103" t="s">
        <v>8</v>
      </c>
      <c r="D69" s="11"/>
      <c r="E69" s="7"/>
      <c r="F69" s="88">
        <v>5276276246.1499996</v>
      </c>
      <c r="G69" s="88">
        <v>5353044445.3599997</v>
      </c>
      <c r="H69" s="24">
        <f>G69-F69</f>
        <v>76768199.210000038</v>
      </c>
      <c r="I69" s="106">
        <v>5355856945.3599997</v>
      </c>
      <c r="J69" s="125">
        <f t="shared" ref="J69:J74" si="53">I69-G69</f>
        <v>2812500</v>
      </c>
      <c r="K69" s="126">
        <v>5354987070.4499998</v>
      </c>
      <c r="L69" s="125">
        <f t="shared" ref="L69:L74" si="54">K69-I69</f>
        <v>-869874.90999984741</v>
      </c>
      <c r="M69" s="126">
        <v>5455927570.4499998</v>
      </c>
      <c r="N69" s="125">
        <f t="shared" ref="N69:T74" si="55">M69-K69</f>
        <v>100940500</v>
      </c>
      <c r="O69" s="126">
        <v>5452449985.5600004</v>
      </c>
      <c r="P69" s="125">
        <f t="shared" si="55"/>
        <v>-3477584.8899993896</v>
      </c>
      <c r="Q69" s="126">
        <v>5451172386.5600004</v>
      </c>
      <c r="R69" s="125">
        <f t="shared" si="55"/>
        <v>-1277599</v>
      </c>
      <c r="S69" s="126">
        <v>5448793843.2200003</v>
      </c>
      <c r="T69" s="125">
        <f t="shared" si="55"/>
        <v>-2378543.3400001526</v>
      </c>
      <c r="U69" s="87">
        <f t="shared" si="3"/>
        <v>172517597.07000065</v>
      </c>
    </row>
    <row r="70" spans="1:21" ht="15" x14ac:dyDescent="0.25">
      <c r="A70" s="83" t="s">
        <v>66</v>
      </c>
      <c r="B70" s="103" t="s">
        <v>33</v>
      </c>
      <c r="C70" s="103" t="s">
        <v>10</v>
      </c>
      <c r="D70" s="12"/>
      <c r="E70" s="7"/>
      <c r="F70" s="88">
        <v>3017725584.21</v>
      </c>
      <c r="G70" s="88">
        <v>3117725584.21</v>
      </c>
      <c r="H70" s="24">
        <f t="shared" ref="H70:H74" si="56">G70-F70</f>
        <v>100000000</v>
      </c>
      <c r="I70" s="106">
        <v>3407176381.4000001</v>
      </c>
      <c r="J70" s="125">
        <f t="shared" si="53"/>
        <v>289450797.19000006</v>
      </c>
      <c r="K70" s="126">
        <v>3441621517.4000001</v>
      </c>
      <c r="L70" s="125">
        <f t="shared" si="54"/>
        <v>34445136</v>
      </c>
      <c r="M70" s="126">
        <v>3445635417.4000001</v>
      </c>
      <c r="N70" s="125">
        <f t="shared" si="55"/>
        <v>4013900</v>
      </c>
      <c r="O70" s="126">
        <v>3558119517.4000001</v>
      </c>
      <c r="P70" s="125">
        <f t="shared" si="55"/>
        <v>112484100</v>
      </c>
      <c r="Q70" s="126">
        <v>3558119517.4000001</v>
      </c>
      <c r="R70" s="125">
        <f t="shared" si="55"/>
        <v>0</v>
      </c>
      <c r="S70" s="126">
        <v>3555719517.4000001</v>
      </c>
      <c r="T70" s="125">
        <f t="shared" si="55"/>
        <v>-2400000</v>
      </c>
      <c r="U70" s="87">
        <f t="shared" si="3"/>
        <v>537993933.19000006</v>
      </c>
    </row>
    <row r="71" spans="1:21" ht="15" x14ac:dyDescent="0.25">
      <c r="A71" s="83" t="s">
        <v>130</v>
      </c>
      <c r="B71" s="103" t="s">
        <v>33</v>
      </c>
      <c r="C71" s="103" t="s">
        <v>14</v>
      </c>
      <c r="D71" s="12"/>
      <c r="E71" s="7"/>
      <c r="F71" s="88">
        <v>94791100</v>
      </c>
      <c r="G71" s="88">
        <v>94791100</v>
      </c>
      <c r="H71" s="24">
        <f t="shared" si="56"/>
        <v>0</v>
      </c>
      <c r="I71" s="106">
        <v>95039100</v>
      </c>
      <c r="J71" s="125">
        <f t="shared" si="53"/>
        <v>248000</v>
      </c>
      <c r="K71" s="126">
        <v>95039100</v>
      </c>
      <c r="L71" s="125">
        <f t="shared" si="54"/>
        <v>0</v>
      </c>
      <c r="M71" s="126">
        <v>98415300</v>
      </c>
      <c r="N71" s="125">
        <f t="shared" si="55"/>
        <v>3376200</v>
      </c>
      <c r="O71" s="126">
        <v>98415300</v>
      </c>
      <c r="P71" s="125">
        <f t="shared" si="55"/>
        <v>0</v>
      </c>
      <c r="Q71" s="126">
        <v>98415300</v>
      </c>
      <c r="R71" s="125">
        <f t="shared" si="55"/>
        <v>0</v>
      </c>
      <c r="S71" s="126">
        <v>98415300</v>
      </c>
      <c r="T71" s="125">
        <f t="shared" si="55"/>
        <v>0</v>
      </c>
      <c r="U71" s="87">
        <f t="shared" si="3"/>
        <v>3624200</v>
      </c>
    </row>
    <row r="72" spans="1:21" ht="15" x14ac:dyDescent="0.25">
      <c r="A72" s="83" t="s">
        <v>68</v>
      </c>
      <c r="B72" s="103" t="s">
        <v>33</v>
      </c>
      <c r="C72" s="103" t="s">
        <v>16</v>
      </c>
      <c r="D72" s="11"/>
      <c r="E72" s="7"/>
      <c r="F72" s="88">
        <v>198039628.58000001</v>
      </c>
      <c r="G72" s="88">
        <v>198039628.58000001</v>
      </c>
      <c r="H72" s="24">
        <f t="shared" si="56"/>
        <v>0</v>
      </c>
      <c r="I72" s="106">
        <v>202458828.58000001</v>
      </c>
      <c r="J72" s="125">
        <f t="shared" si="53"/>
        <v>4419200</v>
      </c>
      <c r="K72" s="126">
        <v>203418628.58000001</v>
      </c>
      <c r="L72" s="125">
        <f t="shared" si="54"/>
        <v>959800</v>
      </c>
      <c r="M72" s="126">
        <v>209470928.58000001</v>
      </c>
      <c r="N72" s="125">
        <f t="shared" si="55"/>
        <v>6052300</v>
      </c>
      <c r="O72" s="126">
        <v>212923707.30000001</v>
      </c>
      <c r="P72" s="125">
        <f t="shared" si="55"/>
        <v>3452778.7199999988</v>
      </c>
      <c r="Q72" s="126">
        <v>213110441.30000001</v>
      </c>
      <c r="R72" s="125">
        <f t="shared" si="55"/>
        <v>186734</v>
      </c>
      <c r="S72" s="126">
        <v>213110441.30000001</v>
      </c>
      <c r="T72" s="125">
        <f t="shared" si="55"/>
        <v>0</v>
      </c>
      <c r="U72" s="87">
        <f t="shared" ref="U72:U93" si="57">S72-F72</f>
        <v>15070812.719999999</v>
      </c>
    </row>
    <row r="73" spans="1:21" s="10" customFormat="1" ht="30" x14ac:dyDescent="0.2">
      <c r="A73" s="83" t="s">
        <v>131</v>
      </c>
      <c r="B73" s="103" t="s">
        <v>33</v>
      </c>
      <c r="C73" s="103" t="s">
        <v>18</v>
      </c>
      <c r="D73" s="8"/>
      <c r="E73" s="9"/>
      <c r="F73" s="88">
        <v>214003500</v>
      </c>
      <c r="G73" s="88">
        <v>233003500</v>
      </c>
      <c r="H73" s="24">
        <f t="shared" si="56"/>
        <v>19000000</v>
      </c>
      <c r="I73" s="106">
        <v>243934600</v>
      </c>
      <c r="J73" s="125">
        <f t="shared" si="53"/>
        <v>10931100</v>
      </c>
      <c r="K73" s="126">
        <v>243934600</v>
      </c>
      <c r="L73" s="125">
        <f t="shared" si="54"/>
        <v>0</v>
      </c>
      <c r="M73" s="126">
        <v>251476300</v>
      </c>
      <c r="N73" s="125">
        <f t="shared" si="55"/>
        <v>7541700</v>
      </c>
      <c r="O73" s="126">
        <v>262476300</v>
      </c>
      <c r="P73" s="125">
        <f t="shared" si="55"/>
        <v>11000000</v>
      </c>
      <c r="Q73" s="126">
        <v>262476300</v>
      </c>
      <c r="R73" s="125">
        <f t="shared" si="55"/>
        <v>0</v>
      </c>
      <c r="S73" s="126">
        <v>262476300</v>
      </c>
      <c r="T73" s="125">
        <f t="shared" si="55"/>
        <v>0</v>
      </c>
      <c r="U73" s="87">
        <f t="shared" si="57"/>
        <v>48472800</v>
      </c>
    </row>
    <row r="74" spans="1:21" ht="15" x14ac:dyDescent="0.25">
      <c r="A74" s="83" t="s">
        <v>70</v>
      </c>
      <c r="B74" s="103" t="s">
        <v>33</v>
      </c>
      <c r="C74" s="103" t="s">
        <v>33</v>
      </c>
      <c r="D74" s="11"/>
      <c r="E74" s="7"/>
      <c r="F74" s="88">
        <v>5752107299.8500004</v>
      </c>
      <c r="G74" s="88">
        <v>6607113011.6700001</v>
      </c>
      <c r="H74" s="24">
        <f t="shared" si="56"/>
        <v>855005711.81999969</v>
      </c>
      <c r="I74" s="106">
        <v>7529198183.79</v>
      </c>
      <c r="J74" s="125">
        <f t="shared" si="53"/>
        <v>922085172.11999989</v>
      </c>
      <c r="K74" s="126">
        <v>7744427858</v>
      </c>
      <c r="L74" s="125">
        <f t="shared" si="54"/>
        <v>215229674.21000004</v>
      </c>
      <c r="M74" s="126">
        <v>8661020840.1000004</v>
      </c>
      <c r="N74" s="125">
        <f t="shared" si="55"/>
        <v>916592982.10000038</v>
      </c>
      <c r="O74" s="126">
        <v>9296599121.4200001</v>
      </c>
      <c r="P74" s="125">
        <f t="shared" si="55"/>
        <v>635578281.31999969</v>
      </c>
      <c r="Q74" s="126">
        <v>9345805928.5599995</v>
      </c>
      <c r="R74" s="125">
        <f t="shared" si="55"/>
        <v>49206807.13999939</v>
      </c>
      <c r="S74" s="126">
        <v>9353646075.7099991</v>
      </c>
      <c r="T74" s="125">
        <f t="shared" si="55"/>
        <v>7840147.1499996185</v>
      </c>
      <c r="U74" s="87">
        <f t="shared" si="57"/>
        <v>3601538775.8599987</v>
      </c>
    </row>
    <row r="75" spans="1:21" s="61" customFormat="1" ht="14.25" x14ac:dyDescent="0.2">
      <c r="A75" s="28" t="s">
        <v>71</v>
      </c>
      <c r="B75" s="29" t="s">
        <v>21</v>
      </c>
      <c r="C75" s="29" t="s">
        <v>9</v>
      </c>
      <c r="D75" s="6">
        <f t="shared" ref="D75:G75" si="58">SUM(D76:D80)</f>
        <v>0</v>
      </c>
      <c r="E75" s="6">
        <f t="shared" si="58"/>
        <v>0</v>
      </c>
      <c r="F75" s="37">
        <f t="shared" si="58"/>
        <v>24347994678.84</v>
      </c>
      <c r="G75" s="37">
        <f t="shared" si="58"/>
        <v>24554482837.220001</v>
      </c>
      <c r="H75" s="38">
        <f t="shared" ref="H75:T75" si="59">SUM(H76:H80)</f>
        <v>206488158.38000059</v>
      </c>
      <c r="I75" s="105">
        <f t="shared" si="59"/>
        <v>24961048648.77</v>
      </c>
      <c r="J75" s="123">
        <f t="shared" si="59"/>
        <v>406565811.54999959</v>
      </c>
      <c r="K75" s="124">
        <f t="shared" si="59"/>
        <v>25347036972.77</v>
      </c>
      <c r="L75" s="123">
        <f t="shared" si="59"/>
        <v>385988324</v>
      </c>
      <c r="M75" s="124">
        <f t="shared" si="59"/>
        <v>26070563151.220001</v>
      </c>
      <c r="N75" s="123">
        <f t="shared" si="59"/>
        <v>723526178.45000076</v>
      </c>
      <c r="O75" s="124">
        <f t="shared" si="59"/>
        <v>27039327581.57</v>
      </c>
      <c r="P75" s="123">
        <f t="shared" si="59"/>
        <v>968764430.34999883</v>
      </c>
      <c r="Q75" s="124">
        <f t="shared" si="59"/>
        <v>27144291065.57</v>
      </c>
      <c r="R75" s="123">
        <f t="shared" si="59"/>
        <v>104963484.00000095</v>
      </c>
      <c r="S75" s="124">
        <f t="shared" si="59"/>
        <v>27157990985.559998</v>
      </c>
      <c r="T75" s="123">
        <f t="shared" si="59"/>
        <v>13699919.989999771</v>
      </c>
      <c r="U75" s="90">
        <f t="shared" si="57"/>
        <v>2809996306.7199974</v>
      </c>
    </row>
    <row r="76" spans="1:21" ht="15" x14ac:dyDescent="0.25">
      <c r="A76" s="83" t="s">
        <v>72</v>
      </c>
      <c r="B76" s="103" t="s">
        <v>21</v>
      </c>
      <c r="C76" s="103" t="s">
        <v>8</v>
      </c>
      <c r="D76" s="11"/>
      <c r="E76" s="7"/>
      <c r="F76" s="88">
        <v>405004200</v>
      </c>
      <c r="G76" s="88">
        <v>405004200</v>
      </c>
      <c r="H76" s="24">
        <f>G76-F76</f>
        <v>0</v>
      </c>
      <c r="I76" s="106">
        <v>405004200</v>
      </c>
      <c r="J76" s="125">
        <f>I76-G76</f>
        <v>0</v>
      </c>
      <c r="K76" s="126">
        <v>405004200</v>
      </c>
      <c r="L76" s="125">
        <f>K76-I76</f>
        <v>0</v>
      </c>
      <c r="M76" s="126">
        <v>430004200</v>
      </c>
      <c r="N76" s="125">
        <f>M76-K76</f>
        <v>25000000</v>
      </c>
      <c r="O76" s="126">
        <v>456045800</v>
      </c>
      <c r="P76" s="125">
        <f>O76-M76</f>
        <v>26041600</v>
      </c>
      <c r="Q76" s="126">
        <v>458068800</v>
      </c>
      <c r="R76" s="125">
        <f>Q76-O76</f>
        <v>2023000</v>
      </c>
      <c r="S76" s="126">
        <v>458068800</v>
      </c>
      <c r="T76" s="125">
        <f>S76-Q76</f>
        <v>0</v>
      </c>
      <c r="U76" s="87">
        <f t="shared" si="57"/>
        <v>53064600</v>
      </c>
    </row>
    <row r="77" spans="1:21" ht="15" x14ac:dyDescent="0.25">
      <c r="A77" s="83" t="s">
        <v>73</v>
      </c>
      <c r="B77" s="103" t="s">
        <v>21</v>
      </c>
      <c r="C77" s="103" t="s">
        <v>10</v>
      </c>
      <c r="D77" s="11"/>
      <c r="E77" s="7"/>
      <c r="F77" s="88">
        <v>3834806462.2199998</v>
      </c>
      <c r="G77" s="88">
        <v>3967741228.5500002</v>
      </c>
      <c r="H77" s="24">
        <f t="shared" ref="H77:H80" si="60">G77-F77</f>
        <v>132934766.3300004</v>
      </c>
      <c r="I77" s="106">
        <v>4228759847.1999998</v>
      </c>
      <c r="J77" s="125">
        <f>I77-G77</f>
        <v>261018618.64999962</v>
      </c>
      <c r="K77" s="126">
        <v>4405463997.1999998</v>
      </c>
      <c r="L77" s="125">
        <f>K77-I77</f>
        <v>176704150</v>
      </c>
      <c r="M77" s="126">
        <v>4571875361.1999998</v>
      </c>
      <c r="N77" s="125">
        <f>M77-K77</f>
        <v>166411364</v>
      </c>
      <c r="O77" s="126">
        <v>4758493794.9499998</v>
      </c>
      <c r="P77" s="125">
        <f>O77-M77</f>
        <v>186618433.75</v>
      </c>
      <c r="Q77" s="126">
        <v>4770102615.8999996</v>
      </c>
      <c r="R77" s="125">
        <f>Q77-O77</f>
        <v>11608820.949999809</v>
      </c>
      <c r="S77" s="126">
        <v>4998721033.6000004</v>
      </c>
      <c r="T77" s="125">
        <f>S77-Q77</f>
        <v>228618417.70000076</v>
      </c>
      <c r="U77" s="87">
        <f t="shared" si="57"/>
        <v>1163914571.3800006</v>
      </c>
    </row>
    <row r="78" spans="1:21" ht="15" x14ac:dyDescent="0.25">
      <c r="A78" s="83" t="s">
        <v>74</v>
      </c>
      <c r="B78" s="103" t="s">
        <v>21</v>
      </c>
      <c r="C78" s="103" t="s">
        <v>12</v>
      </c>
      <c r="D78" s="12"/>
      <c r="E78" s="7"/>
      <c r="F78" s="88">
        <v>13942385987.42</v>
      </c>
      <c r="G78" s="88">
        <v>13952361164.42</v>
      </c>
      <c r="H78" s="24">
        <f t="shared" si="60"/>
        <v>9975177</v>
      </c>
      <c r="I78" s="106">
        <v>14079141096.92</v>
      </c>
      <c r="J78" s="125">
        <f>I78-G78</f>
        <v>126779932.5</v>
      </c>
      <c r="K78" s="126">
        <v>14108383419.92</v>
      </c>
      <c r="L78" s="125">
        <f>K78-I78</f>
        <v>29242323</v>
      </c>
      <c r="M78" s="126">
        <v>14642123124.370001</v>
      </c>
      <c r="N78" s="125">
        <f>M78-K78</f>
        <v>533739704.45000076</v>
      </c>
      <c r="O78" s="126">
        <v>15288754190.15</v>
      </c>
      <c r="P78" s="125">
        <f>O78-M78</f>
        <v>646631065.77999878</v>
      </c>
      <c r="Q78" s="126">
        <v>15302458989.200001</v>
      </c>
      <c r="R78" s="125">
        <f>Q78-O78</f>
        <v>13704799.050001144</v>
      </c>
      <c r="S78" s="126">
        <v>15251831639.57</v>
      </c>
      <c r="T78" s="125">
        <f>S78-Q78</f>
        <v>-50627349.630001068</v>
      </c>
      <c r="U78" s="87">
        <f t="shared" si="57"/>
        <v>1309445652.1499996</v>
      </c>
    </row>
    <row r="79" spans="1:21" ht="15" x14ac:dyDescent="0.25">
      <c r="A79" s="83" t="s">
        <v>75</v>
      </c>
      <c r="B79" s="103" t="s">
        <v>21</v>
      </c>
      <c r="C79" s="103" t="s">
        <v>14</v>
      </c>
      <c r="D79" s="11"/>
      <c r="E79" s="7"/>
      <c r="F79" s="88">
        <v>5318158089.1999998</v>
      </c>
      <c r="G79" s="88">
        <v>5369696486.25</v>
      </c>
      <c r="H79" s="24">
        <f t="shared" si="60"/>
        <v>51538397.050000191</v>
      </c>
      <c r="I79" s="106">
        <v>5369726486.25</v>
      </c>
      <c r="J79" s="125">
        <f>I79-G79</f>
        <v>30000</v>
      </c>
      <c r="K79" s="126">
        <v>5549726486.25</v>
      </c>
      <c r="L79" s="125">
        <f>K79-I79</f>
        <v>180000000</v>
      </c>
      <c r="M79" s="126">
        <v>5539793086.25</v>
      </c>
      <c r="N79" s="125">
        <f>M79-K79</f>
        <v>-9933400</v>
      </c>
      <c r="O79" s="126">
        <v>5384676507.25</v>
      </c>
      <c r="P79" s="125">
        <f>O79-M79</f>
        <v>-155116579</v>
      </c>
      <c r="Q79" s="126">
        <v>5285955581.25</v>
      </c>
      <c r="R79" s="125">
        <f>Q79-O79</f>
        <v>-98720926</v>
      </c>
      <c r="S79" s="126">
        <v>5140844433.1700001</v>
      </c>
      <c r="T79" s="125">
        <f>S79-Q79</f>
        <v>-145111148.07999992</v>
      </c>
      <c r="U79" s="87">
        <f t="shared" si="57"/>
        <v>-177313656.02999973</v>
      </c>
    </row>
    <row r="80" spans="1:21" ht="15" x14ac:dyDescent="0.25">
      <c r="A80" s="83" t="s">
        <v>76</v>
      </c>
      <c r="B80" s="103" t="s">
        <v>21</v>
      </c>
      <c r="C80" s="103" t="s">
        <v>18</v>
      </c>
      <c r="D80" s="11"/>
      <c r="E80" s="7"/>
      <c r="F80" s="88">
        <v>847639940</v>
      </c>
      <c r="G80" s="88">
        <v>859679758</v>
      </c>
      <c r="H80" s="24">
        <f t="shared" si="60"/>
        <v>12039818</v>
      </c>
      <c r="I80" s="106">
        <v>878417018.39999998</v>
      </c>
      <c r="J80" s="125">
        <f>I80-G80</f>
        <v>18737260.399999976</v>
      </c>
      <c r="K80" s="126">
        <v>878458869.39999998</v>
      </c>
      <c r="L80" s="125">
        <f>K80-I80</f>
        <v>41851</v>
      </c>
      <c r="M80" s="126">
        <v>886767379.39999998</v>
      </c>
      <c r="N80" s="125">
        <f>M80-K80</f>
        <v>8308510</v>
      </c>
      <c r="O80" s="126">
        <v>1151357289.22</v>
      </c>
      <c r="P80" s="125">
        <f>O80-M80</f>
        <v>264589909.82000005</v>
      </c>
      <c r="Q80" s="126">
        <v>1327705079.22</v>
      </c>
      <c r="R80" s="125">
        <f>Q80-O80</f>
        <v>176347790</v>
      </c>
      <c r="S80" s="126">
        <v>1308525079.22</v>
      </c>
      <c r="T80" s="125">
        <f>S80-Q80</f>
        <v>-19180000</v>
      </c>
      <c r="U80" s="87">
        <f t="shared" si="57"/>
        <v>460885139.22000003</v>
      </c>
    </row>
    <row r="81" spans="1:23" s="61" customFormat="1" ht="15.6" customHeight="1" x14ac:dyDescent="0.2">
      <c r="A81" s="28" t="s">
        <v>77</v>
      </c>
      <c r="B81" s="29" t="s">
        <v>23</v>
      </c>
      <c r="C81" s="29" t="s">
        <v>9</v>
      </c>
      <c r="D81" s="6">
        <f>SUM(D82:D84)</f>
        <v>0</v>
      </c>
      <c r="E81" s="6"/>
      <c r="F81" s="37">
        <f t="shared" ref="F81:N81" si="61">SUM(F82:F84)</f>
        <v>2199521283.04</v>
      </c>
      <c r="G81" s="37">
        <f t="shared" si="61"/>
        <v>2209322283.04</v>
      </c>
      <c r="H81" s="38">
        <f t="shared" si="61"/>
        <v>9801000</v>
      </c>
      <c r="I81" s="105">
        <f>SUM(I82:I84)</f>
        <v>2226087487.6900001</v>
      </c>
      <c r="J81" s="123">
        <f t="shared" si="61"/>
        <v>16765204.650000066</v>
      </c>
      <c r="K81" s="124">
        <f>SUM(K82:K84)</f>
        <v>2236494518.75</v>
      </c>
      <c r="L81" s="123">
        <f t="shared" si="61"/>
        <v>10407031.060000062</v>
      </c>
      <c r="M81" s="101">
        <f>SUM(M82:M84)</f>
        <v>2114140308.3999999</v>
      </c>
      <c r="N81" s="123">
        <f t="shared" si="61"/>
        <v>-122354210.35000014</v>
      </c>
      <c r="O81" s="101">
        <f>SUM(O82:O84)</f>
        <v>2201047247.2999997</v>
      </c>
      <c r="P81" s="123">
        <f t="shared" ref="P81:R81" si="62">SUM(P82:P84)</f>
        <v>86906938.900000006</v>
      </c>
      <c r="Q81" s="101">
        <f>SUM(Q82:Q84)</f>
        <v>2289034147.3400002</v>
      </c>
      <c r="R81" s="123">
        <f t="shared" si="62"/>
        <v>87986900.040000111</v>
      </c>
      <c r="S81" s="101">
        <f>SUM(S82:S84)</f>
        <v>2367034147.3400002</v>
      </c>
      <c r="T81" s="123">
        <f t="shared" ref="T81" si="63">SUM(T82:T84)</f>
        <v>78000000</v>
      </c>
      <c r="U81" s="90">
        <f t="shared" si="57"/>
        <v>167512864.30000019</v>
      </c>
      <c r="V81" s="63"/>
      <c r="W81" s="64"/>
    </row>
    <row r="82" spans="1:23" ht="15" x14ac:dyDescent="0.25">
      <c r="A82" s="83" t="s">
        <v>78</v>
      </c>
      <c r="B82" s="103" t="s">
        <v>23</v>
      </c>
      <c r="C82" s="103" t="s">
        <v>10</v>
      </c>
      <c r="D82" s="7"/>
      <c r="E82" s="7"/>
      <c r="F82" s="88">
        <v>652910463.03999996</v>
      </c>
      <c r="G82" s="88">
        <v>652910463.03999996</v>
      </c>
      <c r="H82" s="24">
        <f>G82-F82</f>
        <v>0</v>
      </c>
      <c r="I82" s="106">
        <v>656256723.03999996</v>
      </c>
      <c r="J82" s="125">
        <f>I82-G82</f>
        <v>3346260</v>
      </c>
      <c r="K82" s="126">
        <v>666251754.10000002</v>
      </c>
      <c r="L82" s="125">
        <f>K82-I82</f>
        <v>9995031.060000062</v>
      </c>
      <c r="M82" s="126">
        <v>756946244.10000002</v>
      </c>
      <c r="N82" s="125">
        <f>M82-K82</f>
        <v>90694490</v>
      </c>
      <c r="O82" s="126">
        <v>814197614.10000002</v>
      </c>
      <c r="P82" s="125">
        <f>O82-M82</f>
        <v>57251370</v>
      </c>
      <c r="Q82" s="126">
        <v>897742133.76999998</v>
      </c>
      <c r="R82" s="125">
        <f>Q82-O82</f>
        <v>83544519.669999957</v>
      </c>
      <c r="S82" s="126">
        <v>975742133.76999998</v>
      </c>
      <c r="T82" s="125">
        <f>S82-Q82</f>
        <v>78000000</v>
      </c>
      <c r="U82" s="87">
        <f t="shared" si="57"/>
        <v>322831670.73000002</v>
      </c>
    </row>
    <row r="83" spans="1:23" ht="15" x14ac:dyDescent="0.25">
      <c r="A83" s="83" t="s">
        <v>79</v>
      </c>
      <c r="B83" s="103" t="s">
        <v>23</v>
      </c>
      <c r="C83" s="103" t="s">
        <v>12</v>
      </c>
      <c r="D83" s="12"/>
      <c r="E83" s="7"/>
      <c r="F83" s="88">
        <v>1527138020</v>
      </c>
      <c r="G83" s="88">
        <v>1536780020</v>
      </c>
      <c r="H83" s="24">
        <f t="shared" ref="H83:H84" si="64">G83-F83</f>
        <v>9642000</v>
      </c>
      <c r="I83" s="106">
        <v>1549046252.6800001</v>
      </c>
      <c r="J83" s="125">
        <f>I83-G83</f>
        <v>12266232.680000067</v>
      </c>
      <c r="K83" s="126">
        <v>1549458252.6800001</v>
      </c>
      <c r="L83" s="125">
        <f>K83-I83</f>
        <v>412000</v>
      </c>
      <c r="M83" s="126">
        <v>1336409552.3299999</v>
      </c>
      <c r="N83" s="125">
        <f>M83-K83</f>
        <v>-213048700.35000014</v>
      </c>
      <c r="O83" s="126">
        <v>1364364891.3299999</v>
      </c>
      <c r="P83" s="125">
        <f>O83-M83</f>
        <v>27955339</v>
      </c>
      <c r="Q83" s="126">
        <v>1368280771.6600001</v>
      </c>
      <c r="R83" s="125">
        <f>Q83-O83</f>
        <v>3915880.3300001621</v>
      </c>
      <c r="S83" s="126">
        <v>1368280771.6600001</v>
      </c>
      <c r="T83" s="125">
        <f>S83-Q83</f>
        <v>0</v>
      </c>
      <c r="U83" s="87">
        <f t="shared" si="57"/>
        <v>-158857248.33999991</v>
      </c>
    </row>
    <row r="84" spans="1:23" ht="15" x14ac:dyDescent="0.25">
      <c r="A84" s="83" t="s">
        <v>80</v>
      </c>
      <c r="B84" s="103" t="s">
        <v>23</v>
      </c>
      <c r="C84" s="103" t="s">
        <v>16</v>
      </c>
      <c r="D84" s="11"/>
      <c r="E84" s="7"/>
      <c r="F84" s="88">
        <v>19472800</v>
      </c>
      <c r="G84" s="88">
        <v>19631800</v>
      </c>
      <c r="H84" s="24">
        <f t="shared" si="64"/>
        <v>159000</v>
      </c>
      <c r="I84" s="106">
        <v>20784511.969999999</v>
      </c>
      <c r="J84" s="125">
        <f>I84-G84</f>
        <v>1152711.9699999988</v>
      </c>
      <c r="K84" s="126">
        <v>20784511.969999999</v>
      </c>
      <c r="L84" s="125">
        <f>K84-I84</f>
        <v>0</v>
      </c>
      <c r="M84" s="126">
        <v>20784511.969999999</v>
      </c>
      <c r="N84" s="125">
        <f>M84-K84</f>
        <v>0</v>
      </c>
      <c r="O84" s="126">
        <v>22484741.870000001</v>
      </c>
      <c r="P84" s="125">
        <f>O84-M84</f>
        <v>1700229.9000000022</v>
      </c>
      <c r="Q84" s="126">
        <v>23011241.91</v>
      </c>
      <c r="R84" s="125">
        <f>Q84-O84</f>
        <v>526500.03999999911</v>
      </c>
      <c r="S84" s="126">
        <v>23011241.91</v>
      </c>
      <c r="T84" s="125">
        <f>S84-Q84</f>
        <v>0</v>
      </c>
      <c r="U84" s="87">
        <f t="shared" si="57"/>
        <v>3538441.91</v>
      </c>
    </row>
    <row r="85" spans="1:23" s="61" customFormat="1" ht="14.25" x14ac:dyDescent="0.2">
      <c r="A85" s="28" t="s">
        <v>81</v>
      </c>
      <c r="B85" s="29" t="s">
        <v>47</v>
      </c>
      <c r="C85" s="29" t="s">
        <v>9</v>
      </c>
      <c r="D85" s="6">
        <f t="shared" ref="D85:G85" si="65">SUM(D86:D88)</f>
        <v>0</v>
      </c>
      <c r="E85" s="6">
        <f t="shared" si="65"/>
        <v>0</v>
      </c>
      <c r="F85" s="37">
        <f t="shared" si="65"/>
        <v>233014948</v>
      </c>
      <c r="G85" s="37">
        <f t="shared" si="65"/>
        <v>235324028</v>
      </c>
      <c r="H85" s="38">
        <f t="shared" ref="H85:T85" si="66">SUM(H86:H88)</f>
        <v>2309080</v>
      </c>
      <c r="I85" s="105">
        <f t="shared" si="66"/>
        <v>246875926.44</v>
      </c>
      <c r="J85" s="123">
        <f t="shared" si="66"/>
        <v>11551898.439999998</v>
      </c>
      <c r="K85" s="124">
        <f t="shared" si="66"/>
        <v>248725030.67000002</v>
      </c>
      <c r="L85" s="123">
        <f t="shared" si="66"/>
        <v>1849104.2300000042</v>
      </c>
      <c r="M85" s="101">
        <f t="shared" si="66"/>
        <v>256792320.67000002</v>
      </c>
      <c r="N85" s="123">
        <f t="shared" si="66"/>
        <v>8067290</v>
      </c>
      <c r="O85" s="101">
        <f t="shared" si="66"/>
        <v>261391681.03</v>
      </c>
      <c r="P85" s="123">
        <f t="shared" si="66"/>
        <v>4599360.3599999994</v>
      </c>
      <c r="Q85" s="101">
        <f t="shared" si="66"/>
        <v>261391681.03</v>
      </c>
      <c r="R85" s="123">
        <f t="shared" si="66"/>
        <v>0</v>
      </c>
      <c r="S85" s="101">
        <f t="shared" si="66"/>
        <v>261391681.03</v>
      </c>
      <c r="T85" s="123">
        <f t="shared" si="66"/>
        <v>0</v>
      </c>
      <c r="U85" s="90">
        <f t="shared" si="57"/>
        <v>28376733.030000001</v>
      </c>
    </row>
    <row r="86" spans="1:23" ht="15" x14ac:dyDescent="0.25">
      <c r="A86" s="83" t="s">
        <v>82</v>
      </c>
      <c r="B86" s="103" t="s">
        <v>47</v>
      </c>
      <c r="C86" s="103" t="s">
        <v>8</v>
      </c>
      <c r="D86" s="7"/>
      <c r="E86" s="7"/>
      <c r="F86" s="88">
        <v>81475549</v>
      </c>
      <c r="G86" s="88">
        <v>83784629</v>
      </c>
      <c r="H86" s="24">
        <f>G86-F86</f>
        <v>2309080</v>
      </c>
      <c r="I86" s="106">
        <v>85985229</v>
      </c>
      <c r="J86" s="125">
        <f>I86-G86</f>
        <v>2200600</v>
      </c>
      <c r="K86" s="126">
        <v>85985229</v>
      </c>
      <c r="L86" s="125">
        <f>K86-I86</f>
        <v>0</v>
      </c>
      <c r="M86" s="126">
        <v>89216229</v>
      </c>
      <c r="N86" s="125">
        <f>M86-K86</f>
        <v>3231000</v>
      </c>
      <c r="O86" s="126">
        <v>92216229</v>
      </c>
      <c r="P86" s="125">
        <f>O86-M86</f>
        <v>3000000</v>
      </c>
      <c r="Q86" s="126">
        <v>92216229</v>
      </c>
      <c r="R86" s="125">
        <f>Q86-O86</f>
        <v>0</v>
      </c>
      <c r="S86" s="126">
        <v>92216229</v>
      </c>
      <c r="T86" s="125">
        <f>S86-Q86</f>
        <v>0</v>
      </c>
      <c r="U86" s="87">
        <f t="shared" si="57"/>
        <v>10740680</v>
      </c>
    </row>
    <row r="87" spans="1:23" ht="15" x14ac:dyDescent="0.25">
      <c r="A87" s="83" t="s">
        <v>83</v>
      </c>
      <c r="B87" s="103" t="s">
        <v>47</v>
      </c>
      <c r="C87" s="103" t="s">
        <v>10</v>
      </c>
      <c r="D87" s="7"/>
      <c r="E87" s="7"/>
      <c r="F87" s="88">
        <v>118315099</v>
      </c>
      <c r="G87" s="88">
        <v>118315099</v>
      </c>
      <c r="H87" s="24">
        <f>G87-F87</f>
        <v>0</v>
      </c>
      <c r="I87" s="106">
        <v>126555899</v>
      </c>
      <c r="J87" s="125">
        <f>I87-G87</f>
        <v>8240800</v>
      </c>
      <c r="K87" s="126">
        <v>128254976</v>
      </c>
      <c r="L87" s="125">
        <f>K87-I87</f>
        <v>1699077</v>
      </c>
      <c r="M87" s="126">
        <v>133091266</v>
      </c>
      <c r="N87" s="125">
        <f>M87-K87</f>
        <v>4836290</v>
      </c>
      <c r="O87" s="126">
        <v>133091266</v>
      </c>
      <c r="P87" s="125">
        <f>O87-M87</f>
        <v>0</v>
      </c>
      <c r="Q87" s="126">
        <v>133091266</v>
      </c>
      <c r="R87" s="125">
        <f>Q87-O87</f>
        <v>0</v>
      </c>
      <c r="S87" s="126">
        <v>133091266</v>
      </c>
      <c r="T87" s="125">
        <f>S87-Q87</f>
        <v>0</v>
      </c>
      <c r="U87" s="87">
        <f t="shared" si="57"/>
        <v>14776167</v>
      </c>
    </row>
    <row r="88" spans="1:23" s="16" customFormat="1" ht="15" x14ac:dyDescent="0.2">
      <c r="A88" s="83" t="s">
        <v>84</v>
      </c>
      <c r="B88" s="103" t="s">
        <v>47</v>
      </c>
      <c r="C88" s="103" t="s">
        <v>14</v>
      </c>
      <c r="D88" s="9"/>
      <c r="E88" s="9"/>
      <c r="F88" s="88">
        <v>33224300</v>
      </c>
      <c r="G88" s="88">
        <v>33224300</v>
      </c>
      <c r="H88" s="24">
        <f>G88-F88</f>
        <v>0</v>
      </c>
      <c r="I88" s="106">
        <v>34334798.439999998</v>
      </c>
      <c r="J88" s="125">
        <f>I88-G88</f>
        <v>1110498.4399999976</v>
      </c>
      <c r="K88" s="126">
        <v>34484825.670000002</v>
      </c>
      <c r="L88" s="125">
        <f>K88-I88</f>
        <v>150027.23000000417</v>
      </c>
      <c r="M88" s="126">
        <v>34484825.670000002</v>
      </c>
      <c r="N88" s="125">
        <f>M88-K88</f>
        <v>0</v>
      </c>
      <c r="O88" s="126">
        <v>36084186.030000001</v>
      </c>
      <c r="P88" s="125">
        <f>O88-M88</f>
        <v>1599360.3599999994</v>
      </c>
      <c r="Q88" s="126">
        <v>36084186.030000001</v>
      </c>
      <c r="R88" s="125">
        <f>Q88-O88</f>
        <v>0</v>
      </c>
      <c r="S88" s="126">
        <v>36084186.030000001</v>
      </c>
      <c r="T88" s="125">
        <f>S88-Q88</f>
        <v>0</v>
      </c>
      <c r="U88" s="87">
        <f t="shared" si="57"/>
        <v>2859886.0300000012</v>
      </c>
    </row>
    <row r="89" spans="1:23" s="62" customFormat="1" ht="28.5" x14ac:dyDescent="0.2">
      <c r="A89" s="28" t="s">
        <v>85</v>
      </c>
      <c r="B89" s="29" t="s">
        <v>25</v>
      </c>
      <c r="C89" s="29" t="s">
        <v>9</v>
      </c>
      <c r="D89" s="13">
        <f t="shared" ref="D89:E89" si="67">SUM(D90)</f>
        <v>0</v>
      </c>
      <c r="E89" s="13">
        <f t="shared" si="67"/>
        <v>0</v>
      </c>
      <c r="F89" s="37">
        <f>F90</f>
        <v>350000000</v>
      </c>
      <c r="G89" s="37">
        <f>G90</f>
        <v>350000000</v>
      </c>
      <c r="H89" s="38">
        <f>SUM(H90)</f>
        <v>0</v>
      </c>
      <c r="I89" s="105">
        <f>I90</f>
        <v>350000000</v>
      </c>
      <c r="J89" s="123">
        <f>SUM(J90)</f>
        <v>0</v>
      </c>
      <c r="K89" s="124">
        <f>K90</f>
        <v>350000000</v>
      </c>
      <c r="L89" s="123">
        <f>SUM(L90)</f>
        <v>0</v>
      </c>
      <c r="M89" s="101">
        <f>+M90</f>
        <v>350000000</v>
      </c>
      <c r="N89" s="123">
        <f>SUM(N90)</f>
        <v>0</v>
      </c>
      <c r="O89" s="101">
        <f>+O90</f>
        <v>350000000</v>
      </c>
      <c r="P89" s="123">
        <f>SUM(P90)</f>
        <v>0</v>
      </c>
      <c r="Q89" s="101">
        <f>+Q90</f>
        <v>350000000</v>
      </c>
      <c r="R89" s="123">
        <f>SUM(R90)</f>
        <v>0</v>
      </c>
      <c r="S89" s="101">
        <f>+S90</f>
        <v>320000000</v>
      </c>
      <c r="T89" s="123">
        <f>SUM(T90)</f>
        <v>-30000000</v>
      </c>
      <c r="U89" s="90">
        <f t="shared" si="57"/>
        <v>-30000000</v>
      </c>
    </row>
    <row r="90" spans="1:23" s="10" customFormat="1" ht="30" x14ac:dyDescent="0.2">
      <c r="A90" s="83" t="s">
        <v>139</v>
      </c>
      <c r="B90" s="103" t="s">
        <v>25</v>
      </c>
      <c r="C90" s="103" t="s">
        <v>8</v>
      </c>
      <c r="D90" s="9"/>
      <c r="E90" s="9"/>
      <c r="F90" s="88">
        <v>350000000</v>
      </c>
      <c r="G90" s="88">
        <v>350000000</v>
      </c>
      <c r="H90" s="24">
        <f>G90-F90</f>
        <v>0</v>
      </c>
      <c r="I90" s="106">
        <v>350000000</v>
      </c>
      <c r="J90" s="125">
        <f>I90-G90</f>
        <v>0</v>
      </c>
      <c r="K90" s="126">
        <v>350000000</v>
      </c>
      <c r="L90" s="125">
        <f>K90-I90</f>
        <v>0</v>
      </c>
      <c r="M90" s="126">
        <v>350000000</v>
      </c>
      <c r="N90" s="125">
        <f>M90-K90</f>
        <v>0</v>
      </c>
      <c r="O90" s="126">
        <v>350000000</v>
      </c>
      <c r="P90" s="125">
        <f>O90-M90</f>
        <v>0</v>
      </c>
      <c r="Q90" s="126">
        <v>350000000</v>
      </c>
      <c r="R90" s="125">
        <f>Q90-O90</f>
        <v>0</v>
      </c>
      <c r="S90" s="126">
        <v>320000000</v>
      </c>
      <c r="T90" s="125">
        <f>S90-Q90</f>
        <v>-30000000</v>
      </c>
      <c r="U90" s="87">
        <f t="shared" si="57"/>
        <v>-30000000</v>
      </c>
    </row>
    <row r="91" spans="1:23" s="62" customFormat="1" ht="42.75" x14ac:dyDescent="0.2">
      <c r="A91" s="28" t="s">
        <v>94</v>
      </c>
      <c r="B91" s="29" t="s">
        <v>37</v>
      </c>
      <c r="C91" s="29" t="s">
        <v>9</v>
      </c>
      <c r="D91" s="13">
        <f t="shared" ref="D91:G91" si="68">SUM(D92:D94)</f>
        <v>0</v>
      </c>
      <c r="E91" s="13">
        <f t="shared" si="68"/>
        <v>0</v>
      </c>
      <c r="F91" s="37">
        <f t="shared" si="68"/>
        <v>6686556371.75</v>
      </c>
      <c r="G91" s="37">
        <f t="shared" si="68"/>
        <v>8789179406.9500008</v>
      </c>
      <c r="H91" s="38">
        <f t="shared" ref="H91:T91" si="69">SUM(H92:H94)</f>
        <v>2102623035.2</v>
      </c>
      <c r="I91" s="105">
        <f t="shared" si="69"/>
        <v>9429179406.9500008</v>
      </c>
      <c r="J91" s="123">
        <f t="shared" si="69"/>
        <v>639999999.99999976</v>
      </c>
      <c r="K91" s="124">
        <f t="shared" si="69"/>
        <v>10474754024.23</v>
      </c>
      <c r="L91" s="123">
        <f t="shared" si="69"/>
        <v>1045574617.2800002</v>
      </c>
      <c r="M91" s="124">
        <f t="shared" si="69"/>
        <v>11374754024.23</v>
      </c>
      <c r="N91" s="123">
        <f t="shared" si="69"/>
        <v>900000000</v>
      </c>
      <c r="O91" s="124">
        <f t="shared" si="69"/>
        <v>11413754024.23</v>
      </c>
      <c r="P91" s="123">
        <f t="shared" si="69"/>
        <v>39000000</v>
      </c>
      <c r="Q91" s="124">
        <f t="shared" si="69"/>
        <v>11419616839.65</v>
      </c>
      <c r="R91" s="123">
        <f t="shared" si="69"/>
        <v>5862815.4200000763</v>
      </c>
      <c r="S91" s="124">
        <f>SUM(S92:S94)</f>
        <v>11116616839.65</v>
      </c>
      <c r="T91" s="123">
        <f t="shared" si="69"/>
        <v>-303000000</v>
      </c>
      <c r="U91" s="90">
        <f t="shared" si="57"/>
        <v>4430060467.8999996</v>
      </c>
    </row>
    <row r="92" spans="1:23" s="10" customFormat="1" ht="45" x14ac:dyDescent="0.2">
      <c r="A92" s="83" t="s">
        <v>87</v>
      </c>
      <c r="B92" s="103" t="s">
        <v>37</v>
      </c>
      <c r="C92" s="103" t="s">
        <v>8</v>
      </c>
      <c r="D92" s="9"/>
      <c r="E92" s="9"/>
      <c r="F92" s="88">
        <v>3427249191.54</v>
      </c>
      <c r="G92" s="88">
        <v>3404309696.8400002</v>
      </c>
      <c r="H92" s="24">
        <f>G92-F92</f>
        <v>-22939494.699999809</v>
      </c>
      <c r="I92" s="106">
        <v>3404309696.8400002</v>
      </c>
      <c r="J92" s="125">
        <f>I92-G92</f>
        <v>0</v>
      </c>
      <c r="K92" s="126">
        <v>3404309696.8400002</v>
      </c>
      <c r="L92" s="125">
        <f>K92-I92</f>
        <v>0</v>
      </c>
      <c r="M92" s="126">
        <v>3404309696.8400002</v>
      </c>
      <c r="N92" s="125">
        <f>M92-K92</f>
        <v>0</v>
      </c>
      <c r="O92" s="126">
        <v>3404309696.8400002</v>
      </c>
      <c r="P92" s="125">
        <f>O92-M92</f>
        <v>0</v>
      </c>
      <c r="Q92" s="126">
        <v>3404309696.8400002</v>
      </c>
      <c r="R92" s="125">
        <f>Q92-O92</f>
        <v>0</v>
      </c>
      <c r="S92" s="126">
        <v>3404309696.8400002</v>
      </c>
      <c r="T92" s="125">
        <f>S92-Q92</f>
        <v>0</v>
      </c>
      <c r="U92" s="87">
        <f t="shared" si="57"/>
        <v>-22939494.699999809</v>
      </c>
    </row>
    <row r="93" spans="1:23" ht="15" x14ac:dyDescent="0.25">
      <c r="A93" s="83" t="s">
        <v>88</v>
      </c>
      <c r="B93" s="103" t="s">
        <v>37</v>
      </c>
      <c r="C93" s="103" t="s">
        <v>10</v>
      </c>
      <c r="D93" s="7"/>
      <c r="E93" s="7"/>
      <c r="F93" s="88">
        <v>1265774969.46</v>
      </c>
      <c r="G93" s="88">
        <v>3288714464.1599998</v>
      </c>
      <c r="H93" s="24">
        <f t="shared" ref="H93:H94" si="70">G93-F93</f>
        <v>2022939494.6999998</v>
      </c>
      <c r="I93" s="106">
        <v>3788714464.1599998</v>
      </c>
      <c r="J93" s="125">
        <f>I93-G93</f>
        <v>500000000</v>
      </c>
      <c r="K93" s="126">
        <v>4788714464.1599998</v>
      </c>
      <c r="L93" s="125">
        <f>K93-I93</f>
        <v>1000000000</v>
      </c>
      <c r="M93" s="126">
        <v>5688714464.1599998</v>
      </c>
      <c r="N93" s="125">
        <f>M93-K93</f>
        <v>900000000</v>
      </c>
      <c r="O93" s="126">
        <v>5688714464.1599998</v>
      </c>
      <c r="P93" s="125">
        <f>O93-M93</f>
        <v>0</v>
      </c>
      <c r="Q93" s="126">
        <v>5688714464.1599998</v>
      </c>
      <c r="R93" s="125">
        <f>Q93-O93</f>
        <v>0</v>
      </c>
      <c r="S93" s="126">
        <v>5385714464.1599998</v>
      </c>
      <c r="T93" s="125">
        <f>S93-Q93</f>
        <v>-303000000</v>
      </c>
      <c r="U93" s="87">
        <f t="shared" si="57"/>
        <v>4119939494.6999998</v>
      </c>
    </row>
    <row r="94" spans="1:23" ht="15" x14ac:dyDescent="0.25">
      <c r="A94" s="83" t="s">
        <v>89</v>
      </c>
      <c r="B94" s="103" t="s">
        <v>37</v>
      </c>
      <c r="C94" s="103" t="s">
        <v>12</v>
      </c>
      <c r="D94" s="7"/>
      <c r="E94" s="7"/>
      <c r="F94" s="88">
        <v>1993532210.75</v>
      </c>
      <c r="G94" s="88">
        <v>2096155245.95</v>
      </c>
      <c r="H94" s="24">
        <f t="shared" si="70"/>
        <v>102623035.20000005</v>
      </c>
      <c r="I94" s="106">
        <v>2236155245.9499998</v>
      </c>
      <c r="J94" s="125">
        <f>I94-G94</f>
        <v>139999999.99999976</v>
      </c>
      <c r="K94" s="126">
        <v>2281729863.23</v>
      </c>
      <c r="L94" s="125">
        <f>K94-I94</f>
        <v>45574617.28000021</v>
      </c>
      <c r="M94" s="126">
        <v>2281729863.23</v>
      </c>
      <c r="N94" s="125">
        <f>M94-K94</f>
        <v>0</v>
      </c>
      <c r="O94" s="126">
        <v>2320729863.23</v>
      </c>
      <c r="P94" s="125">
        <f>O94-M94</f>
        <v>39000000</v>
      </c>
      <c r="Q94" s="126">
        <v>2326592678.6500001</v>
      </c>
      <c r="R94" s="125">
        <f>Q94-O94</f>
        <v>5862815.4200000763</v>
      </c>
      <c r="S94" s="126">
        <v>2326592678.6500001</v>
      </c>
      <c r="T94" s="125">
        <f>S94-Q94</f>
        <v>0</v>
      </c>
      <c r="U94" s="87">
        <f>S94-F94</f>
        <v>333060467.9000001</v>
      </c>
    </row>
    <row r="95" spans="1:23" s="115" customFormat="1" x14ac:dyDescent="0.2">
      <c r="F95" s="68">
        <f>23717945980-F9</f>
        <v>0</v>
      </c>
      <c r="G95" s="116">
        <f>24310725975-G9</f>
        <v>0</v>
      </c>
      <c r="H95" s="68">
        <f>G95-F95</f>
        <v>0</v>
      </c>
      <c r="I95" s="117">
        <f>24517552382-I9</f>
        <v>0</v>
      </c>
      <c r="J95" s="68">
        <f>I95-G95</f>
        <v>0</v>
      </c>
      <c r="K95" s="117">
        <f>24627443405-K9</f>
        <v>0</v>
      </c>
      <c r="L95" s="68">
        <f>K95-I95</f>
        <v>0</v>
      </c>
      <c r="M95" s="108">
        <f>24868385755-M9</f>
        <v>0</v>
      </c>
      <c r="N95" s="68">
        <f>M95-K95</f>
        <v>0</v>
      </c>
      <c r="O95" s="108">
        <f>25515995453-O9</f>
        <v>0</v>
      </c>
      <c r="P95" s="68">
        <f>O95-M95</f>
        <v>0</v>
      </c>
      <c r="Q95" s="108">
        <f>25870227615-Q9</f>
        <v>0</v>
      </c>
      <c r="R95" s="68">
        <f>Q95-O95</f>
        <v>0</v>
      </c>
      <c r="S95" s="118">
        <f>26109216915-S9</f>
        <v>0</v>
      </c>
      <c r="T95" s="68">
        <f>S95-Q95</f>
        <v>0</v>
      </c>
    </row>
    <row r="96" spans="1:23" x14ac:dyDescent="0.2">
      <c r="F96" s="68">
        <f>119428166734-F17</f>
        <v>0</v>
      </c>
      <c r="G96" s="68">
        <f>129638391907.21-G17</f>
        <v>0</v>
      </c>
      <c r="H96" s="68">
        <f>G96-F96</f>
        <v>0</v>
      </c>
      <c r="I96" s="108">
        <f>136418055125.93-I17</f>
        <v>0</v>
      </c>
      <c r="J96" s="68">
        <f>I96-G96</f>
        <v>0</v>
      </c>
      <c r="K96" s="108">
        <f>138063133821.44-K17</f>
        <v>0</v>
      </c>
      <c r="L96" s="68">
        <f>K96-I96</f>
        <v>0</v>
      </c>
      <c r="M96" s="108">
        <f>142304076171.44-M17</f>
        <v>0</v>
      </c>
      <c r="N96" s="68">
        <f>M96-K96</f>
        <v>0</v>
      </c>
      <c r="O96" s="108">
        <f>143455536169.44-O17</f>
        <v>0</v>
      </c>
      <c r="P96" s="68">
        <f>O96-M96</f>
        <v>0</v>
      </c>
      <c r="Q96" s="108">
        <f>143809768331.44-Q17</f>
        <v>0</v>
      </c>
      <c r="R96" s="68">
        <f>Q96-O96</f>
        <v>0</v>
      </c>
      <c r="S96" s="108">
        <f>144048757631.44-S17</f>
        <v>0</v>
      </c>
      <c r="T96" s="68">
        <f>S96-Q96</f>
        <v>0</v>
      </c>
      <c r="U96" s="71">
        <f>U17-U19-U29-U32-U38-U49-U54-U57-U65-U68-U75-U81-U85-U89-U91</f>
        <v>1.71661376953125E-5</v>
      </c>
    </row>
    <row r="97" spans="6:20" x14ac:dyDescent="0.2">
      <c r="F97" s="45"/>
      <c r="G97" s="47"/>
      <c r="H97" s="46"/>
      <c r="I97" s="107"/>
      <c r="J97" s="46"/>
      <c r="K97" s="107"/>
      <c r="L97" s="46"/>
      <c r="M97" s="107"/>
      <c r="N97" s="46"/>
      <c r="O97" s="107"/>
      <c r="P97" s="46"/>
      <c r="Q97" s="107"/>
      <c r="R97" s="46"/>
      <c r="S97" s="107"/>
      <c r="T97" s="46"/>
    </row>
    <row r="98" spans="6:20" x14ac:dyDescent="0.2">
      <c r="F98" s="45"/>
      <c r="G98" s="45"/>
      <c r="H98" s="46"/>
      <c r="I98" s="107"/>
      <c r="J98" s="46"/>
      <c r="K98" s="107"/>
      <c r="L98" s="46"/>
      <c r="M98" s="107"/>
      <c r="N98" s="46"/>
      <c r="O98" s="107"/>
      <c r="P98" s="46"/>
      <c r="Q98" s="107"/>
      <c r="R98" s="46"/>
      <c r="S98" s="107"/>
      <c r="T98" s="46"/>
    </row>
    <row r="99" spans="6:20" x14ac:dyDescent="0.2">
      <c r="F99" s="45"/>
      <c r="G99" s="45"/>
      <c r="H99" s="46"/>
      <c r="I99" s="107"/>
      <c r="J99" s="46"/>
      <c r="K99" s="107"/>
      <c r="L99" s="46"/>
      <c r="M99" s="107"/>
      <c r="N99" s="46"/>
      <c r="O99" s="107"/>
      <c r="P99" s="46"/>
      <c r="Q99" s="107"/>
      <c r="R99" s="46"/>
      <c r="S99" s="107"/>
      <c r="T99" s="46"/>
    </row>
    <row r="100" spans="6:20" x14ac:dyDescent="0.2">
      <c r="F100" s="45"/>
      <c r="G100" s="45"/>
      <c r="H100" s="46"/>
      <c r="I100" s="107"/>
      <c r="J100" s="46"/>
      <c r="K100" s="107"/>
      <c r="L100" s="46"/>
      <c r="M100" s="107"/>
      <c r="N100" s="46"/>
      <c r="O100" s="107"/>
      <c r="P100" s="46"/>
      <c r="Q100" s="107"/>
      <c r="R100" s="46"/>
      <c r="S100" s="107"/>
      <c r="T100" s="46"/>
    </row>
    <row r="101" spans="6:20" x14ac:dyDescent="0.2">
      <c r="F101" s="45"/>
      <c r="G101" s="45"/>
      <c r="H101" s="46"/>
      <c r="I101" s="107"/>
      <c r="J101" s="46"/>
      <c r="K101" s="107"/>
      <c r="L101" s="46"/>
      <c r="M101" s="107"/>
      <c r="N101" s="46"/>
      <c r="O101" s="107"/>
      <c r="P101" s="46"/>
      <c r="Q101" s="107"/>
      <c r="R101" s="46"/>
      <c r="S101" s="107"/>
      <c r="T101" s="46"/>
    </row>
    <row r="102" spans="6:20" x14ac:dyDescent="0.2">
      <c r="F102" s="45"/>
      <c r="G102" s="45"/>
      <c r="H102" s="46"/>
      <c r="I102" s="107"/>
      <c r="J102" s="46"/>
      <c r="K102" s="107"/>
      <c r="L102" s="46"/>
      <c r="M102" s="107"/>
      <c r="N102" s="46"/>
      <c r="O102" s="107"/>
      <c r="P102" s="46"/>
      <c r="Q102" s="107"/>
      <c r="R102" s="46"/>
      <c r="S102" s="107"/>
      <c r="T102" s="46"/>
    </row>
    <row r="103" spans="6:20" x14ac:dyDescent="0.2">
      <c r="F103" s="45"/>
      <c r="G103" s="45"/>
      <c r="H103" s="46"/>
      <c r="I103" s="107"/>
      <c r="J103" s="46"/>
      <c r="K103" s="107"/>
      <c r="L103" s="46"/>
      <c r="M103" s="107"/>
      <c r="N103" s="46"/>
      <c r="O103" s="107"/>
      <c r="P103" s="46"/>
      <c r="Q103" s="107"/>
      <c r="R103" s="46"/>
      <c r="S103" s="107"/>
      <c r="T103" s="46"/>
    </row>
    <row r="104" spans="6:20" x14ac:dyDescent="0.2">
      <c r="F104" s="45"/>
      <c r="G104" s="45"/>
      <c r="H104" s="46"/>
      <c r="I104" s="107"/>
      <c r="J104" s="46"/>
      <c r="K104" s="107"/>
      <c r="L104" s="46"/>
      <c r="M104" s="107"/>
      <c r="N104" s="46"/>
      <c r="O104" s="107"/>
      <c r="P104" s="46"/>
      <c r="Q104" s="107"/>
      <c r="R104" s="46"/>
      <c r="S104" s="107"/>
      <c r="T104" s="46"/>
    </row>
    <row r="105" spans="6:20" x14ac:dyDescent="0.2">
      <c r="F105" s="45"/>
      <c r="G105" s="45"/>
      <c r="H105" s="46"/>
      <c r="I105" s="107"/>
      <c r="J105" s="46"/>
      <c r="K105" s="107"/>
      <c r="L105" s="46"/>
      <c r="M105" s="107"/>
      <c r="N105" s="46"/>
      <c r="O105" s="107"/>
      <c r="P105" s="46"/>
      <c r="Q105" s="107"/>
      <c r="R105" s="46"/>
      <c r="S105" s="107"/>
      <c r="T105" s="46"/>
    </row>
    <row r="106" spans="6:20" x14ac:dyDescent="0.2">
      <c r="F106" s="45"/>
      <c r="G106" s="45"/>
      <c r="H106" s="46"/>
      <c r="I106" s="107"/>
      <c r="J106" s="46"/>
      <c r="K106" s="107"/>
      <c r="L106" s="46"/>
      <c r="M106" s="107"/>
      <c r="N106" s="46"/>
      <c r="O106" s="107"/>
      <c r="P106" s="46"/>
      <c r="Q106" s="107"/>
      <c r="R106" s="46"/>
      <c r="S106" s="107"/>
      <c r="T106" s="46"/>
    </row>
    <row r="107" spans="6:20" x14ac:dyDescent="0.2">
      <c r="F107" s="45"/>
      <c r="G107" s="45"/>
      <c r="H107" s="46"/>
      <c r="I107" s="107"/>
      <c r="J107" s="46"/>
      <c r="K107" s="107"/>
      <c r="L107" s="46"/>
      <c r="M107" s="107"/>
      <c r="N107" s="46"/>
      <c r="O107" s="107"/>
      <c r="P107" s="46"/>
      <c r="Q107" s="107"/>
      <c r="R107" s="46"/>
      <c r="S107" s="107"/>
      <c r="T107" s="46"/>
    </row>
    <row r="108" spans="6:20" x14ac:dyDescent="0.2">
      <c r="F108" s="45"/>
      <c r="G108" s="45"/>
      <c r="H108" s="46"/>
      <c r="I108" s="107"/>
      <c r="J108" s="46"/>
      <c r="K108" s="107"/>
      <c r="L108" s="46"/>
      <c r="M108" s="107"/>
      <c r="N108" s="46"/>
      <c r="O108" s="107"/>
      <c r="P108" s="46"/>
      <c r="Q108" s="107"/>
      <c r="R108" s="46"/>
      <c r="S108" s="107"/>
      <c r="T108" s="46"/>
    </row>
    <row r="109" spans="6:20" x14ac:dyDescent="0.2">
      <c r="F109" s="45"/>
      <c r="G109" s="45"/>
      <c r="H109" s="46"/>
      <c r="I109" s="107"/>
      <c r="J109" s="46"/>
      <c r="K109" s="107"/>
      <c r="L109" s="46"/>
      <c r="M109" s="107"/>
      <c r="N109" s="46"/>
      <c r="O109" s="107"/>
      <c r="P109" s="46"/>
      <c r="Q109" s="107"/>
      <c r="R109" s="46"/>
      <c r="S109" s="107"/>
      <c r="T109" s="46"/>
    </row>
    <row r="110" spans="6:20" x14ac:dyDescent="0.2">
      <c r="F110" s="45"/>
      <c r="G110" s="45"/>
      <c r="H110" s="46"/>
      <c r="I110" s="107"/>
      <c r="J110" s="46"/>
      <c r="K110" s="107"/>
      <c r="L110" s="46"/>
      <c r="M110" s="107"/>
      <c r="N110" s="46"/>
      <c r="O110" s="107"/>
      <c r="P110" s="46"/>
      <c r="Q110" s="107"/>
      <c r="R110" s="46"/>
      <c r="S110" s="107"/>
      <c r="T110" s="46"/>
    </row>
    <row r="111" spans="6:20" x14ac:dyDescent="0.2">
      <c r="F111" s="45"/>
      <c r="G111" s="45"/>
      <c r="H111" s="46"/>
      <c r="I111" s="107"/>
      <c r="J111" s="46"/>
      <c r="K111" s="107"/>
      <c r="L111" s="46"/>
      <c r="M111" s="107"/>
      <c r="N111" s="46"/>
      <c r="O111" s="107"/>
      <c r="P111" s="46"/>
      <c r="Q111" s="107"/>
      <c r="R111" s="46"/>
      <c r="S111" s="107"/>
      <c r="T111" s="46"/>
    </row>
    <row r="112" spans="6:20" x14ac:dyDescent="0.2">
      <c r="F112" s="45"/>
      <c r="G112" s="45"/>
      <c r="H112" s="46"/>
      <c r="I112" s="107"/>
      <c r="J112" s="46"/>
      <c r="K112" s="107"/>
      <c r="L112" s="46"/>
      <c r="M112" s="107"/>
      <c r="N112" s="46"/>
      <c r="O112" s="107"/>
      <c r="P112" s="46"/>
      <c r="Q112" s="107"/>
      <c r="R112" s="46"/>
      <c r="S112" s="107"/>
      <c r="T112" s="46"/>
    </row>
    <row r="113" spans="6:20" x14ac:dyDescent="0.2">
      <c r="F113" s="45"/>
      <c r="G113" s="45"/>
      <c r="H113" s="46"/>
      <c r="I113" s="107"/>
      <c r="J113" s="46"/>
      <c r="K113" s="107"/>
      <c r="L113" s="46"/>
      <c r="M113" s="107"/>
      <c r="N113" s="46"/>
      <c r="O113" s="107"/>
      <c r="P113" s="46"/>
      <c r="Q113" s="107"/>
      <c r="R113" s="46"/>
      <c r="S113" s="107"/>
      <c r="T113" s="46"/>
    </row>
    <row r="114" spans="6:20" x14ac:dyDescent="0.2">
      <c r="F114" s="45"/>
      <c r="G114" s="45"/>
      <c r="H114" s="46"/>
      <c r="I114" s="107"/>
      <c r="J114" s="46"/>
      <c r="K114" s="107"/>
      <c r="L114" s="46"/>
      <c r="M114" s="107"/>
      <c r="N114" s="46"/>
      <c r="O114" s="107"/>
      <c r="P114" s="46"/>
      <c r="Q114" s="107"/>
      <c r="R114" s="46"/>
      <c r="S114" s="107"/>
      <c r="T114" s="46"/>
    </row>
    <row r="115" spans="6:20" x14ac:dyDescent="0.2">
      <c r="F115" s="45"/>
      <c r="G115" s="45"/>
      <c r="H115" s="46"/>
      <c r="I115" s="107"/>
      <c r="J115" s="46"/>
      <c r="K115" s="107"/>
      <c r="L115" s="46"/>
      <c r="M115" s="107"/>
      <c r="N115" s="46"/>
      <c r="O115" s="107"/>
      <c r="P115" s="46"/>
      <c r="Q115" s="107"/>
      <c r="R115" s="46"/>
      <c r="S115" s="107"/>
      <c r="T115" s="46"/>
    </row>
    <row r="116" spans="6:20" x14ac:dyDescent="0.2">
      <c r="F116" s="45"/>
      <c r="G116" s="45"/>
      <c r="H116" s="46"/>
      <c r="I116" s="107"/>
      <c r="J116" s="46"/>
      <c r="K116" s="107"/>
      <c r="L116" s="46"/>
      <c r="M116" s="107"/>
      <c r="N116" s="46"/>
      <c r="O116" s="107"/>
      <c r="P116" s="46"/>
      <c r="Q116" s="107"/>
      <c r="R116" s="46"/>
      <c r="S116" s="107"/>
      <c r="T116" s="46"/>
    </row>
    <row r="117" spans="6:20" x14ac:dyDescent="0.2">
      <c r="F117" s="45"/>
      <c r="G117" s="45"/>
      <c r="H117" s="46"/>
      <c r="I117" s="107"/>
      <c r="J117" s="46"/>
      <c r="K117" s="107"/>
      <c r="L117" s="46"/>
      <c r="M117" s="107"/>
      <c r="N117" s="46"/>
      <c r="O117" s="107"/>
      <c r="P117" s="46"/>
      <c r="Q117" s="107"/>
      <c r="R117" s="46"/>
      <c r="S117" s="107"/>
      <c r="T117" s="46"/>
    </row>
    <row r="118" spans="6:20" x14ac:dyDescent="0.2">
      <c r="F118" s="45"/>
      <c r="G118" s="45"/>
      <c r="H118" s="46"/>
      <c r="I118" s="107"/>
      <c r="J118" s="46"/>
      <c r="K118" s="107"/>
      <c r="L118" s="46"/>
      <c r="M118" s="107"/>
      <c r="N118" s="46"/>
      <c r="O118" s="107"/>
      <c r="P118" s="46"/>
      <c r="Q118" s="107"/>
      <c r="R118" s="46"/>
      <c r="S118" s="107"/>
      <c r="T118" s="46"/>
    </row>
    <row r="119" spans="6:20" x14ac:dyDescent="0.2">
      <c r="F119" s="45"/>
      <c r="G119" s="45"/>
      <c r="H119" s="46"/>
      <c r="I119" s="107"/>
      <c r="J119" s="46"/>
      <c r="K119" s="107"/>
      <c r="L119" s="46"/>
      <c r="M119" s="107"/>
      <c r="N119" s="46"/>
      <c r="O119" s="107"/>
      <c r="P119" s="46"/>
      <c r="Q119" s="107"/>
      <c r="R119" s="46"/>
      <c r="S119" s="107"/>
      <c r="T119" s="46"/>
    </row>
    <row r="120" spans="6:20" x14ac:dyDescent="0.2">
      <c r="F120" s="45"/>
      <c r="G120" s="45"/>
      <c r="H120" s="46"/>
      <c r="I120" s="107"/>
      <c r="J120" s="46"/>
      <c r="K120" s="107"/>
      <c r="L120" s="46"/>
      <c r="M120" s="107"/>
      <c r="N120" s="46"/>
      <c r="O120" s="107"/>
      <c r="P120" s="46"/>
      <c r="Q120" s="107"/>
      <c r="R120" s="46"/>
      <c r="S120" s="107"/>
      <c r="T120" s="46"/>
    </row>
    <row r="121" spans="6:20" x14ac:dyDescent="0.2">
      <c r="F121" s="45"/>
      <c r="G121" s="45"/>
      <c r="H121" s="46"/>
      <c r="I121" s="107"/>
      <c r="J121" s="46"/>
      <c r="K121" s="107"/>
      <c r="L121" s="46"/>
      <c r="M121" s="107"/>
      <c r="N121" s="46"/>
      <c r="O121" s="107"/>
      <c r="P121" s="46"/>
      <c r="Q121" s="107"/>
      <c r="R121" s="46"/>
      <c r="S121" s="107"/>
      <c r="T121" s="46"/>
    </row>
    <row r="122" spans="6:20" x14ac:dyDescent="0.2">
      <c r="F122" s="45"/>
      <c r="G122" s="45"/>
      <c r="H122" s="46"/>
      <c r="I122" s="107"/>
      <c r="J122" s="46"/>
      <c r="K122" s="107"/>
      <c r="L122" s="46"/>
      <c r="M122" s="107"/>
      <c r="N122" s="46"/>
      <c r="O122" s="107"/>
      <c r="P122" s="46"/>
      <c r="Q122" s="107"/>
      <c r="R122" s="46"/>
      <c r="S122" s="107"/>
      <c r="T122" s="46"/>
    </row>
    <row r="123" spans="6:20" x14ac:dyDescent="0.2">
      <c r="F123" s="45"/>
      <c r="G123" s="45"/>
      <c r="H123" s="46"/>
      <c r="I123" s="107"/>
      <c r="J123" s="46"/>
      <c r="K123" s="107"/>
      <c r="L123" s="46"/>
      <c r="M123" s="107"/>
      <c r="N123" s="46"/>
      <c r="O123" s="107"/>
      <c r="P123" s="46"/>
      <c r="Q123" s="107"/>
      <c r="R123" s="46"/>
      <c r="S123" s="107"/>
      <c r="T123" s="46"/>
    </row>
    <row r="124" spans="6:20" x14ac:dyDescent="0.2">
      <c r="F124" s="45"/>
      <c r="G124" s="45"/>
      <c r="H124" s="46"/>
      <c r="I124" s="107"/>
      <c r="J124" s="46"/>
      <c r="K124" s="107"/>
      <c r="L124" s="46"/>
      <c r="M124" s="107"/>
      <c r="N124" s="46"/>
      <c r="O124" s="107"/>
      <c r="P124" s="46"/>
      <c r="Q124" s="107"/>
      <c r="R124" s="46"/>
      <c r="S124" s="107"/>
      <c r="T124" s="46"/>
    </row>
    <row r="125" spans="6:20" x14ac:dyDescent="0.2">
      <c r="F125" s="45"/>
      <c r="G125" s="45"/>
      <c r="H125" s="46"/>
      <c r="I125" s="107"/>
      <c r="J125" s="46"/>
      <c r="K125" s="107"/>
      <c r="L125" s="46"/>
      <c r="M125" s="107"/>
      <c r="N125" s="46"/>
      <c r="O125" s="107"/>
      <c r="P125" s="46"/>
      <c r="Q125" s="107"/>
      <c r="R125" s="46"/>
      <c r="S125" s="107"/>
      <c r="T125" s="46"/>
    </row>
    <row r="126" spans="6:20" x14ac:dyDescent="0.2">
      <c r="F126" s="45"/>
      <c r="G126" s="45"/>
      <c r="H126" s="46"/>
      <c r="I126" s="107"/>
      <c r="J126" s="46"/>
      <c r="K126" s="107"/>
      <c r="L126" s="46"/>
      <c r="M126" s="107"/>
      <c r="N126" s="46"/>
      <c r="O126" s="107"/>
      <c r="P126" s="46"/>
      <c r="Q126" s="107"/>
      <c r="R126" s="46"/>
      <c r="S126" s="107"/>
      <c r="T126" s="46"/>
    </row>
    <row r="127" spans="6:20" x14ac:dyDescent="0.2">
      <c r="F127" s="45"/>
      <c r="G127" s="45"/>
      <c r="H127" s="46"/>
      <c r="I127" s="107"/>
      <c r="J127" s="46"/>
      <c r="K127" s="107"/>
      <c r="L127" s="46"/>
      <c r="M127" s="107"/>
      <c r="N127" s="46"/>
      <c r="O127" s="107"/>
      <c r="P127" s="46"/>
      <c r="Q127" s="107"/>
      <c r="R127" s="46"/>
      <c r="S127" s="107"/>
      <c r="T127" s="46"/>
    </row>
    <row r="128" spans="6:20" x14ac:dyDescent="0.2">
      <c r="F128" s="45"/>
      <c r="G128" s="45"/>
      <c r="H128" s="46"/>
      <c r="I128" s="107"/>
      <c r="J128" s="46"/>
      <c r="K128" s="107"/>
      <c r="L128" s="46"/>
      <c r="M128" s="107"/>
      <c r="N128" s="46"/>
      <c r="O128" s="107"/>
      <c r="P128" s="46"/>
      <c r="Q128" s="107"/>
      <c r="R128" s="46"/>
      <c r="S128" s="107"/>
      <c r="T128" s="46"/>
    </row>
    <row r="129" spans="6:20" x14ac:dyDescent="0.2">
      <c r="F129" s="45"/>
      <c r="G129" s="45"/>
      <c r="H129" s="46"/>
      <c r="I129" s="107"/>
      <c r="J129" s="46"/>
      <c r="K129" s="107"/>
      <c r="L129" s="46"/>
      <c r="M129" s="107"/>
      <c r="N129" s="46"/>
      <c r="O129" s="107"/>
      <c r="P129" s="46"/>
      <c r="Q129" s="107"/>
      <c r="R129" s="46"/>
      <c r="S129" s="107"/>
      <c r="T129" s="46"/>
    </row>
    <row r="130" spans="6:20" x14ac:dyDescent="0.2">
      <c r="F130" s="45"/>
      <c r="G130" s="45"/>
      <c r="H130" s="46"/>
      <c r="I130" s="107"/>
      <c r="J130" s="46"/>
      <c r="K130" s="107"/>
      <c r="L130" s="46"/>
      <c r="M130" s="107"/>
      <c r="N130" s="46"/>
      <c r="O130" s="107"/>
      <c r="P130" s="46"/>
      <c r="Q130" s="107"/>
      <c r="R130" s="46"/>
      <c r="S130" s="107"/>
      <c r="T130" s="46"/>
    </row>
    <row r="131" spans="6:20" x14ac:dyDescent="0.2">
      <c r="F131" s="45"/>
      <c r="G131" s="45"/>
      <c r="H131" s="46"/>
      <c r="I131" s="107"/>
      <c r="J131" s="46"/>
      <c r="K131" s="107"/>
      <c r="L131" s="46"/>
      <c r="M131" s="107"/>
      <c r="N131" s="46"/>
      <c r="O131" s="107"/>
      <c r="P131" s="46"/>
      <c r="Q131" s="107"/>
      <c r="R131" s="46"/>
      <c r="S131" s="107"/>
      <c r="T131" s="46"/>
    </row>
    <row r="132" spans="6:20" x14ac:dyDescent="0.2">
      <c r="F132" s="45"/>
      <c r="G132" s="45"/>
      <c r="H132" s="46"/>
      <c r="I132" s="107"/>
      <c r="J132" s="46"/>
      <c r="K132" s="107"/>
      <c r="L132" s="46"/>
      <c r="M132" s="107"/>
      <c r="N132" s="46"/>
      <c r="O132" s="107"/>
      <c r="P132" s="46"/>
      <c r="Q132" s="107"/>
      <c r="R132" s="46"/>
      <c r="S132" s="107"/>
      <c r="T132" s="46"/>
    </row>
    <row r="133" spans="6:20" x14ac:dyDescent="0.2">
      <c r="F133" s="45"/>
      <c r="G133" s="45"/>
      <c r="H133" s="46"/>
      <c r="I133" s="107"/>
      <c r="J133" s="46"/>
      <c r="K133" s="107"/>
      <c r="L133" s="46"/>
      <c r="M133" s="107"/>
      <c r="N133" s="46"/>
      <c r="O133" s="107"/>
      <c r="P133" s="46"/>
      <c r="Q133" s="107"/>
      <c r="R133" s="46"/>
      <c r="S133" s="107"/>
      <c r="T133" s="46"/>
    </row>
    <row r="134" spans="6:20" x14ac:dyDescent="0.2">
      <c r="F134" s="45"/>
      <c r="G134" s="45"/>
      <c r="H134" s="46"/>
      <c r="I134" s="107"/>
      <c r="J134" s="46"/>
      <c r="K134" s="107"/>
      <c r="L134" s="46"/>
      <c r="M134" s="107"/>
      <c r="N134" s="46"/>
      <c r="O134" s="107"/>
      <c r="P134" s="46"/>
      <c r="Q134" s="107"/>
      <c r="R134" s="46"/>
      <c r="S134" s="107"/>
      <c r="T134" s="46"/>
    </row>
    <row r="135" spans="6:20" x14ac:dyDescent="0.2">
      <c r="F135" s="45"/>
      <c r="G135" s="45"/>
      <c r="H135" s="46"/>
      <c r="I135" s="107"/>
      <c r="J135" s="46"/>
      <c r="K135" s="107"/>
      <c r="L135" s="46"/>
      <c r="M135" s="107"/>
      <c r="N135" s="46"/>
      <c r="O135" s="107"/>
      <c r="P135" s="46"/>
      <c r="Q135" s="107"/>
      <c r="R135" s="46"/>
      <c r="S135" s="107"/>
      <c r="T135" s="46"/>
    </row>
    <row r="136" spans="6:20" x14ac:dyDescent="0.2">
      <c r="F136" s="45"/>
      <c r="G136" s="45"/>
      <c r="H136" s="46"/>
      <c r="I136" s="107"/>
      <c r="J136" s="46"/>
      <c r="K136" s="107"/>
      <c r="L136" s="46"/>
      <c r="M136" s="107"/>
      <c r="N136" s="46"/>
      <c r="O136" s="107"/>
      <c r="P136" s="46"/>
      <c r="Q136" s="107"/>
      <c r="R136" s="46"/>
      <c r="S136" s="107"/>
      <c r="T136" s="46"/>
    </row>
    <row r="137" spans="6:20" x14ac:dyDescent="0.2">
      <c r="F137" s="45"/>
      <c r="G137" s="45"/>
      <c r="H137" s="46"/>
      <c r="I137" s="107"/>
      <c r="J137" s="46"/>
      <c r="K137" s="107"/>
      <c r="L137" s="46"/>
      <c r="M137" s="107"/>
      <c r="N137" s="46"/>
      <c r="O137" s="107"/>
      <c r="P137" s="46"/>
      <c r="Q137" s="107"/>
      <c r="R137" s="46"/>
      <c r="S137" s="107"/>
      <c r="T137" s="46"/>
    </row>
    <row r="138" spans="6:20" x14ac:dyDescent="0.2">
      <c r="F138" s="45"/>
      <c r="G138" s="45"/>
      <c r="H138" s="46"/>
      <c r="I138" s="107"/>
      <c r="J138" s="46"/>
      <c r="K138" s="107"/>
      <c r="L138" s="46"/>
      <c r="M138" s="107"/>
      <c r="N138" s="46"/>
      <c r="O138" s="107"/>
      <c r="P138" s="46"/>
      <c r="Q138" s="107"/>
      <c r="R138" s="46"/>
      <c r="S138" s="107"/>
      <c r="T138" s="46"/>
    </row>
    <row r="139" spans="6:20" x14ac:dyDescent="0.2">
      <c r="F139" s="45"/>
      <c r="G139" s="45"/>
      <c r="H139" s="46"/>
      <c r="I139" s="107"/>
      <c r="J139" s="46"/>
      <c r="K139" s="107"/>
      <c r="L139" s="46"/>
      <c r="M139" s="107"/>
      <c r="N139" s="46"/>
      <c r="O139" s="107"/>
      <c r="P139" s="46"/>
      <c r="Q139" s="107"/>
      <c r="R139" s="46"/>
      <c r="S139" s="107"/>
      <c r="T139" s="46"/>
    </row>
    <row r="140" spans="6:20" x14ac:dyDescent="0.2">
      <c r="F140" s="45"/>
      <c r="G140" s="45"/>
      <c r="H140" s="46"/>
      <c r="I140" s="107"/>
      <c r="J140" s="46"/>
      <c r="K140" s="107"/>
      <c r="L140" s="46"/>
      <c r="M140" s="107"/>
      <c r="N140" s="46"/>
      <c r="O140" s="107"/>
      <c r="P140" s="46"/>
      <c r="Q140" s="107"/>
      <c r="R140" s="46"/>
      <c r="S140" s="107"/>
      <c r="T140" s="46"/>
    </row>
    <row r="141" spans="6:20" x14ac:dyDescent="0.2">
      <c r="F141" s="45"/>
      <c r="G141" s="45"/>
      <c r="H141" s="46"/>
      <c r="I141" s="107"/>
      <c r="J141" s="46"/>
      <c r="K141" s="107"/>
      <c r="L141" s="46"/>
      <c r="M141" s="107"/>
      <c r="N141" s="46"/>
      <c r="O141" s="107"/>
      <c r="P141" s="46"/>
      <c r="Q141" s="107"/>
      <c r="R141" s="46"/>
      <c r="S141" s="107"/>
      <c r="T141" s="46"/>
    </row>
    <row r="142" spans="6:20" x14ac:dyDescent="0.2">
      <c r="F142" s="45"/>
      <c r="G142" s="45"/>
      <c r="H142" s="46"/>
      <c r="I142" s="107"/>
      <c r="J142" s="46"/>
      <c r="K142" s="107"/>
      <c r="L142" s="46"/>
      <c r="M142" s="107"/>
      <c r="N142" s="46"/>
      <c r="O142" s="107"/>
      <c r="P142" s="46"/>
      <c r="Q142" s="107"/>
      <c r="R142" s="46"/>
      <c r="S142" s="107"/>
      <c r="T142" s="46"/>
    </row>
    <row r="143" spans="6:20" x14ac:dyDescent="0.2">
      <c r="F143" s="45"/>
      <c r="G143" s="45"/>
      <c r="H143" s="46"/>
      <c r="I143" s="107"/>
      <c r="J143" s="46"/>
      <c r="K143" s="107"/>
      <c r="L143" s="46"/>
      <c r="M143" s="107"/>
      <c r="N143" s="46"/>
      <c r="O143" s="107"/>
      <c r="P143" s="46"/>
      <c r="Q143" s="107"/>
      <c r="R143" s="46"/>
      <c r="S143" s="107"/>
      <c r="T143" s="46"/>
    </row>
    <row r="144" spans="6:20" x14ac:dyDescent="0.2">
      <c r="F144" s="45"/>
      <c r="G144" s="45"/>
      <c r="H144" s="46"/>
      <c r="I144" s="107"/>
      <c r="J144" s="46"/>
      <c r="K144" s="107"/>
      <c r="L144" s="46"/>
      <c r="M144" s="107"/>
      <c r="N144" s="46"/>
      <c r="O144" s="107"/>
      <c r="P144" s="46"/>
      <c r="Q144" s="107"/>
      <c r="R144" s="46"/>
      <c r="S144" s="107"/>
      <c r="T144" s="46"/>
    </row>
    <row r="145" spans="6:20" x14ac:dyDescent="0.2">
      <c r="F145" s="45"/>
      <c r="G145" s="45"/>
      <c r="H145" s="46"/>
      <c r="I145" s="107"/>
      <c r="J145" s="46"/>
      <c r="K145" s="107"/>
      <c r="L145" s="46"/>
      <c r="M145" s="107"/>
      <c r="N145" s="46"/>
      <c r="O145" s="107"/>
      <c r="P145" s="46"/>
      <c r="Q145" s="107"/>
      <c r="R145" s="46"/>
      <c r="S145" s="107"/>
      <c r="T145" s="46"/>
    </row>
    <row r="146" spans="6:20" x14ac:dyDescent="0.2">
      <c r="F146" s="45"/>
      <c r="G146" s="45"/>
      <c r="H146" s="46"/>
      <c r="I146" s="107"/>
      <c r="J146" s="46"/>
      <c r="K146" s="107"/>
      <c r="L146" s="46"/>
      <c r="M146" s="107"/>
      <c r="N146" s="46"/>
      <c r="O146" s="107"/>
      <c r="P146" s="46"/>
      <c r="Q146" s="107"/>
      <c r="R146" s="46"/>
      <c r="S146" s="107"/>
      <c r="T146" s="46"/>
    </row>
    <row r="147" spans="6:20" x14ac:dyDescent="0.2">
      <c r="F147" s="45"/>
      <c r="G147" s="45"/>
      <c r="H147" s="46"/>
      <c r="I147" s="107"/>
      <c r="J147" s="46"/>
      <c r="K147" s="107"/>
      <c r="L147" s="46"/>
      <c r="M147" s="107"/>
      <c r="N147" s="46"/>
      <c r="O147" s="107"/>
      <c r="P147" s="46"/>
      <c r="Q147" s="107"/>
      <c r="R147" s="46"/>
      <c r="S147" s="107"/>
      <c r="T147" s="46"/>
    </row>
    <row r="148" spans="6:20" x14ac:dyDescent="0.2">
      <c r="F148" s="45"/>
      <c r="G148" s="45"/>
      <c r="H148" s="46"/>
      <c r="I148" s="107"/>
      <c r="J148" s="46"/>
      <c r="K148" s="107"/>
      <c r="L148" s="46"/>
      <c r="M148" s="107"/>
      <c r="N148" s="46"/>
      <c r="O148" s="107"/>
      <c r="P148" s="46"/>
      <c r="Q148" s="107"/>
      <c r="R148" s="46"/>
      <c r="S148" s="107"/>
      <c r="T148" s="46"/>
    </row>
    <row r="149" spans="6:20" x14ac:dyDescent="0.2">
      <c r="F149" s="45"/>
      <c r="G149" s="45"/>
      <c r="H149" s="46"/>
      <c r="I149" s="107"/>
      <c r="J149" s="46"/>
      <c r="K149" s="107"/>
      <c r="L149" s="46"/>
      <c r="M149" s="107"/>
      <c r="N149" s="46"/>
      <c r="O149" s="107"/>
      <c r="P149" s="46"/>
      <c r="Q149" s="107"/>
      <c r="R149" s="46"/>
      <c r="S149" s="107"/>
      <c r="T149" s="46"/>
    </row>
    <row r="150" spans="6:20" x14ac:dyDescent="0.2">
      <c r="F150" s="45"/>
      <c r="G150" s="45"/>
      <c r="H150" s="46"/>
      <c r="I150" s="107"/>
      <c r="J150" s="46"/>
      <c r="K150" s="107"/>
      <c r="L150" s="46"/>
      <c r="M150" s="107"/>
      <c r="N150" s="46"/>
      <c r="O150" s="107"/>
      <c r="P150" s="46"/>
      <c r="Q150" s="107"/>
      <c r="R150" s="46"/>
      <c r="S150" s="107"/>
      <c r="T150" s="46"/>
    </row>
    <row r="151" spans="6:20" x14ac:dyDescent="0.2">
      <c r="F151" s="45"/>
      <c r="G151" s="45"/>
      <c r="H151" s="46"/>
      <c r="I151" s="107"/>
      <c r="J151" s="46"/>
      <c r="K151" s="107"/>
      <c r="L151" s="46"/>
      <c r="M151" s="107"/>
      <c r="N151" s="46"/>
      <c r="O151" s="107"/>
      <c r="P151" s="46"/>
      <c r="Q151" s="107"/>
      <c r="R151" s="46"/>
      <c r="S151" s="107"/>
      <c r="T151" s="46"/>
    </row>
    <row r="152" spans="6:20" x14ac:dyDescent="0.2">
      <c r="F152" s="45"/>
      <c r="G152" s="45"/>
      <c r="H152" s="46"/>
      <c r="I152" s="107"/>
      <c r="J152" s="46"/>
      <c r="K152" s="107"/>
      <c r="L152" s="46"/>
      <c r="M152" s="107"/>
      <c r="N152" s="46"/>
      <c r="O152" s="107"/>
      <c r="P152" s="46"/>
      <c r="Q152" s="107"/>
      <c r="R152" s="46"/>
      <c r="S152" s="107"/>
      <c r="T152" s="46"/>
    </row>
    <row r="153" spans="6:20" x14ac:dyDescent="0.2">
      <c r="F153" s="45"/>
      <c r="G153" s="45"/>
      <c r="H153" s="46"/>
      <c r="I153" s="107"/>
      <c r="J153" s="46"/>
      <c r="K153" s="107"/>
      <c r="L153" s="46"/>
      <c r="M153" s="107"/>
      <c r="N153" s="46"/>
      <c r="O153" s="107"/>
      <c r="P153" s="46"/>
      <c r="Q153" s="107"/>
      <c r="R153" s="46"/>
      <c r="S153" s="107"/>
      <c r="T153" s="46"/>
    </row>
    <row r="154" spans="6:20" x14ac:dyDescent="0.2">
      <c r="F154" s="45"/>
      <c r="G154" s="45"/>
      <c r="H154" s="46"/>
      <c r="I154" s="107"/>
      <c r="J154" s="46"/>
      <c r="K154" s="107"/>
      <c r="L154" s="46"/>
      <c r="M154" s="107"/>
      <c r="N154" s="46"/>
      <c r="O154" s="107"/>
      <c r="P154" s="46"/>
      <c r="Q154" s="107"/>
      <c r="R154" s="46"/>
      <c r="S154" s="107"/>
      <c r="T154" s="46"/>
    </row>
    <row r="155" spans="6:20" x14ac:dyDescent="0.2">
      <c r="F155" s="45"/>
      <c r="G155" s="45"/>
      <c r="H155" s="46"/>
      <c r="I155" s="107"/>
      <c r="J155" s="46"/>
      <c r="K155" s="107"/>
      <c r="L155" s="46"/>
      <c r="M155" s="107"/>
      <c r="N155" s="46"/>
      <c r="O155" s="107"/>
      <c r="P155" s="46"/>
      <c r="Q155" s="107"/>
      <c r="R155" s="46"/>
      <c r="S155" s="107"/>
      <c r="T155" s="46"/>
    </row>
    <row r="156" spans="6:20" x14ac:dyDescent="0.2">
      <c r="F156" s="45"/>
      <c r="G156" s="45"/>
      <c r="H156" s="46"/>
      <c r="I156" s="107"/>
      <c r="J156" s="46"/>
      <c r="K156" s="107"/>
      <c r="L156" s="46"/>
      <c r="M156" s="107"/>
      <c r="N156" s="46"/>
      <c r="O156" s="107"/>
      <c r="P156" s="46"/>
      <c r="Q156" s="107"/>
      <c r="R156" s="46"/>
      <c r="S156" s="107"/>
      <c r="T156" s="46"/>
    </row>
    <row r="157" spans="6:20" x14ac:dyDescent="0.2">
      <c r="F157" s="45"/>
      <c r="G157" s="45"/>
      <c r="H157" s="46"/>
      <c r="I157" s="107"/>
      <c r="J157" s="46"/>
      <c r="K157" s="107"/>
      <c r="L157" s="46"/>
      <c r="M157" s="107"/>
      <c r="N157" s="46"/>
      <c r="O157" s="107"/>
      <c r="P157" s="46"/>
      <c r="Q157" s="107"/>
      <c r="R157" s="46"/>
      <c r="S157" s="107"/>
      <c r="T157" s="46"/>
    </row>
    <row r="158" spans="6:20" x14ac:dyDescent="0.2">
      <c r="F158" s="45"/>
      <c r="G158" s="45"/>
      <c r="H158" s="46"/>
      <c r="I158" s="107"/>
      <c r="J158" s="46"/>
      <c r="K158" s="107"/>
      <c r="L158" s="46"/>
      <c r="M158" s="107"/>
      <c r="N158" s="46"/>
      <c r="O158" s="107"/>
      <c r="P158" s="46"/>
      <c r="Q158" s="107"/>
      <c r="R158" s="46"/>
      <c r="S158" s="107"/>
      <c r="T158" s="46"/>
    </row>
    <row r="159" spans="6:20" x14ac:dyDescent="0.2">
      <c r="F159" s="45"/>
      <c r="G159" s="45"/>
      <c r="H159" s="46"/>
      <c r="I159" s="107"/>
      <c r="J159" s="46"/>
      <c r="K159" s="107"/>
      <c r="L159" s="46"/>
      <c r="M159" s="107"/>
      <c r="N159" s="46"/>
      <c r="O159" s="107"/>
      <c r="P159" s="46"/>
      <c r="Q159" s="107"/>
      <c r="R159" s="46"/>
      <c r="S159" s="107"/>
      <c r="T159" s="46"/>
    </row>
    <row r="160" spans="6:20" x14ac:dyDescent="0.2">
      <c r="F160" s="45"/>
      <c r="G160" s="45"/>
      <c r="H160" s="46"/>
      <c r="I160" s="107"/>
      <c r="J160" s="46"/>
      <c r="K160" s="107"/>
      <c r="L160" s="46"/>
      <c r="M160" s="107"/>
      <c r="N160" s="46"/>
      <c r="O160" s="107"/>
      <c r="P160" s="46"/>
      <c r="Q160" s="107"/>
      <c r="R160" s="46"/>
      <c r="S160" s="107"/>
      <c r="T160" s="46"/>
    </row>
    <row r="161" spans="6:20" x14ac:dyDescent="0.2">
      <c r="F161" s="45"/>
      <c r="G161" s="45"/>
      <c r="H161" s="46"/>
      <c r="I161" s="107"/>
      <c r="J161" s="46"/>
      <c r="K161" s="107"/>
      <c r="L161" s="46"/>
      <c r="M161" s="107"/>
      <c r="N161" s="46"/>
      <c r="O161" s="107"/>
      <c r="P161" s="46"/>
      <c r="Q161" s="107"/>
      <c r="R161" s="46"/>
      <c r="S161" s="107"/>
      <c r="T161" s="46"/>
    </row>
    <row r="162" spans="6:20" x14ac:dyDescent="0.2">
      <c r="F162" s="45"/>
      <c r="G162" s="45"/>
      <c r="H162" s="46"/>
      <c r="I162" s="107"/>
      <c r="J162" s="46"/>
      <c r="K162" s="107"/>
      <c r="L162" s="46"/>
      <c r="M162" s="107"/>
      <c r="N162" s="46"/>
      <c r="O162" s="107"/>
      <c r="P162" s="46"/>
      <c r="Q162" s="107"/>
      <c r="R162" s="46"/>
      <c r="S162" s="107"/>
      <c r="T162" s="46"/>
    </row>
    <row r="163" spans="6:20" x14ac:dyDescent="0.2">
      <c r="F163" s="45"/>
      <c r="G163" s="45"/>
      <c r="H163" s="46"/>
      <c r="I163" s="107"/>
      <c r="J163" s="46"/>
      <c r="K163" s="107"/>
      <c r="L163" s="46"/>
      <c r="M163" s="107"/>
      <c r="N163" s="46"/>
      <c r="O163" s="107"/>
      <c r="P163" s="46"/>
      <c r="Q163" s="107"/>
      <c r="R163" s="46"/>
      <c r="S163" s="107"/>
      <c r="T163" s="46"/>
    </row>
    <row r="164" spans="6:20" x14ac:dyDescent="0.2">
      <c r="F164" s="45"/>
      <c r="G164" s="45"/>
      <c r="H164" s="46"/>
      <c r="I164" s="107"/>
      <c r="J164" s="46"/>
      <c r="K164" s="107"/>
      <c r="L164" s="46"/>
      <c r="M164" s="107"/>
      <c r="N164" s="46"/>
      <c r="O164" s="107"/>
      <c r="P164" s="46"/>
      <c r="Q164" s="107"/>
      <c r="R164" s="46"/>
      <c r="S164" s="107"/>
      <c r="T164" s="46"/>
    </row>
    <row r="165" spans="6:20" x14ac:dyDescent="0.2">
      <c r="F165" s="45"/>
      <c r="G165" s="45"/>
      <c r="H165" s="46"/>
      <c r="I165" s="107"/>
      <c r="J165" s="46"/>
      <c r="K165" s="107"/>
      <c r="L165" s="46"/>
      <c r="M165" s="107"/>
      <c r="N165" s="46"/>
      <c r="O165" s="107"/>
      <c r="P165" s="46"/>
      <c r="Q165" s="107"/>
      <c r="R165" s="46"/>
      <c r="S165" s="107"/>
      <c r="T165" s="46"/>
    </row>
    <row r="166" spans="6:20" x14ac:dyDescent="0.2">
      <c r="F166" s="45"/>
      <c r="G166" s="45"/>
      <c r="H166" s="46"/>
      <c r="I166" s="107"/>
      <c r="J166" s="46"/>
      <c r="K166" s="107"/>
      <c r="L166" s="46"/>
      <c r="M166" s="107"/>
      <c r="N166" s="46"/>
      <c r="O166" s="107"/>
      <c r="P166" s="46"/>
      <c r="Q166" s="107"/>
      <c r="R166" s="46"/>
      <c r="S166" s="107"/>
      <c r="T166" s="46"/>
    </row>
    <row r="167" spans="6:20" x14ac:dyDescent="0.2">
      <c r="F167" s="45"/>
      <c r="G167" s="45"/>
      <c r="H167" s="46"/>
      <c r="I167" s="107"/>
      <c r="J167" s="46"/>
      <c r="K167" s="107"/>
      <c r="L167" s="46"/>
      <c r="M167" s="107"/>
      <c r="N167" s="46"/>
      <c r="O167" s="107"/>
      <c r="P167" s="46"/>
      <c r="Q167" s="107"/>
      <c r="R167" s="46"/>
      <c r="S167" s="107"/>
      <c r="T167" s="46"/>
    </row>
    <row r="168" spans="6:20" x14ac:dyDescent="0.2">
      <c r="F168" s="45"/>
      <c r="G168" s="45"/>
      <c r="H168" s="46"/>
      <c r="I168" s="107"/>
      <c r="J168" s="46"/>
      <c r="K168" s="107"/>
      <c r="L168" s="46"/>
      <c r="M168" s="107"/>
      <c r="N168" s="46"/>
      <c r="O168" s="107"/>
      <c r="P168" s="46"/>
      <c r="Q168" s="107"/>
      <c r="R168" s="46"/>
      <c r="S168" s="107"/>
      <c r="T168" s="46"/>
    </row>
    <row r="169" spans="6:20" x14ac:dyDescent="0.2">
      <c r="F169" s="45"/>
      <c r="G169" s="45"/>
      <c r="H169" s="46"/>
      <c r="I169" s="107"/>
      <c r="J169" s="46"/>
      <c r="K169" s="107"/>
      <c r="L169" s="46"/>
      <c r="M169" s="107"/>
      <c r="N169" s="46"/>
      <c r="O169" s="107"/>
      <c r="P169" s="46"/>
      <c r="Q169" s="107"/>
      <c r="R169" s="46"/>
      <c r="S169" s="107"/>
      <c r="T169" s="46"/>
    </row>
    <row r="170" spans="6:20" x14ac:dyDescent="0.2">
      <c r="F170" s="45"/>
      <c r="G170" s="45"/>
      <c r="H170" s="46"/>
      <c r="I170" s="107"/>
      <c r="J170" s="46"/>
      <c r="K170" s="107"/>
      <c r="L170" s="46"/>
      <c r="M170" s="107"/>
      <c r="N170" s="46"/>
      <c r="O170" s="107"/>
      <c r="P170" s="46"/>
      <c r="Q170" s="107"/>
      <c r="R170" s="46"/>
      <c r="S170" s="107"/>
      <c r="T170" s="46"/>
    </row>
    <row r="171" spans="6:20" x14ac:dyDescent="0.2">
      <c r="F171" s="45"/>
      <c r="G171" s="45"/>
      <c r="H171" s="46"/>
      <c r="I171" s="107"/>
      <c r="J171" s="46"/>
      <c r="K171" s="107"/>
      <c r="L171" s="46"/>
      <c r="M171" s="107"/>
      <c r="N171" s="46"/>
      <c r="O171" s="107"/>
      <c r="P171" s="46"/>
      <c r="Q171" s="107"/>
      <c r="R171" s="46"/>
      <c r="S171" s="107"/>
      <c r="T171" s="46"/>
    </row>
    <row r="172" spans="6:20" x14ac:dyDescent="0.2">
      <c r="F172" s="45"/>
      <c r="G172" s="45"/>
      <c r="H172" s="46"/>
      <c r="I172" s="107"/>
      <c r="J172" s="46"/>
      <c r="K172" s="107"/>
      <c r="L172" s="46"/>
      <c r="M172" s="107"/>
      <c r="N172" s="46"/>
      <c r="O172" s="107"/>
      <c r="P172" s="46"/>
      <c r="Q172" s="107"/>
      <c r="R172" s="46"/>
      <c r="S172" s="107"/>
      <c r="T172" s="46"/>
    </row>
    <row r="173" spans="6:20" x14ac:dyDescent="0.2">
      <c r="F173" s="45"/>
      <c r="G173" s="45"/>
      <c r="H173" s="46"/>
      <c r="I173" s="107"/>
      <c r="J173" s="46"/>
      <c r="K173" s="107"/>
      <c r="L173" s="46"/>
      <c r="M173" s="107"/>
      <c r="N173" s="46"/>
      <c r="O173" s="107"/>
      <c r="P173" s="46"/>
      <c r="Q173" s="107"/>
      <c r="R173" s="46"/>
      <c r="S173" s="107"/>
      <c r="T173" s="46"/>
    </row>
    <row r="174" spans="6:20" x14ac:dyDescent="0.2">
      <c r="F174" s="10"/>
      <c r="G174" s="10"/>
      <c r="H174" s="26"/>
      <c r="I174" s="109"/>
      <c r="J174" s="26"/>
      <c r="K174" s="109"/>
      <c r="L174" s="26"/>
      <c r="M174" s="109"/>
      <c r="N174" s="26"/>
      <c r="O174" s="109"/>
      <c r="P174" s="26"/>
      <c r="Q174" s="109"/>
      <c r="R174" s="26"/>
      <c r="S174" s="109"/>
      <c r="T174" s="26"/>
    </row>
    <row r="175" spans="6:20" x14ac:dyDescent="0.2">
      <c r="F175" s="10"/>
      <c r="G175" s="10"/>
      <c r="H175" s="26"/>
      <c r="I175" s="109"/>
      <c r="J175" s="26"/>
      <c r="K175" s="109"/>
      <c r="L175" s="26"/>
      <c r="M175" s="109"/>
      <c r="N175" s="26"/>
      <c r="O175" s="109"/>
      <c r="P175" s="26"/>
      <c r="Q175" s="109"/>
      <c r="R175" s="26"/>
      <c r="S175" s="109"/>
      <c r="T175" s="26"/>
    </row>
    <row r="176" spans="6:20" x14ac:dyDescent="0.2">
      <c r="F176" s="10"/>
      <c r="G176" s="10"/>
      <c r="H176" s="26"/>
      <c r="I176" s="109"/>
      <c r="J176" s="26"/>
      <c r="K176" s="109"/>
      <c r="L176" s="26"/>
      <c r="M176" s="109"/>
      <c r="N176" s="26"/>
      <c r="O176" s="109"/>
      <c r="P176" s="26"/>
      <c r="Q176" s="109"/>
      <c r="R176" s="26"/>
      <c r="S176" s="109"/>
      <c r="T176" s="26"/>
    </row>
    <row r="177" spans="6:20" x14ac:dyDescent="0.2">
      <c r="F177" s="10"/>
      <c r="G177" s="10"/>
      <c r="H177" s="26"/>
      <c r="I177" s="109"/>
      <c r="J177" s="26"/>
      <c r="K177" s="109"/>
      <c r="L177" s="26"/>
      <c r="M177" s="109"/>
      <c r="N177" s="26"/>
      <c r="O177" s="109"/>
      <c r="P177" s="26"/>
      <c r="Q177" s="109"/>
      <c r="R177" s="26"/>
      <c r="S177" s="109"/>
      <c r="T177" s="26"/>
    </row>
    <row r="178" spans="6:20" x14ac:dyDescent="0.2">
      <c r="F178" s="10"/>
      <c r="G178" s="10"/>
      <c r="H178" s="26"/>
      <c r="I178" s="109"/>
      <c r="J178" s="26"/>
      <c r="K178" s="109"/>
      <c r="L178" s="26"/>
      <c r="M178" s="109"/>
      <c r="N178" s="26"/>
      <c r="O178" s="109"/>
      <c r="P178" s="26"/>
      <c r="Q178" s="109"/>
      <c r="R178" s="26"/>
      <c r="S178" s="109"/>
      <c r="T178" s="26"/>
    </row>
    <row r="179" spans="6:20" x14ac:dyDescent="0.2">
      <c r="F179" s="10"/>
      <c r="G179" s="10"/>
      <c r="H179" s="26"/>
      <c r="I179" s="109"/>
      <c r="J179" s="26"/>
      <c r="K179" s="109"/>
      <c r="L179" s="26"/>
      <c r="M179" s="109"/>
      <c r="N179" s="26"/>
      <c r="O179" s="109"/>
      <c r="P179" s="26"/>
      <c r="Q179" s="109"/>
      <c r="R179" s="26"/>
      <c r="S179" s="109"/>
      <c r="T179" s="26"/>
    </row>
    <row r="180" spans="6:20" x14ac:dyDescent="0.2">
      <c r="F180" s="10"/>
      <c r="G180" s="10"/>
      <c r="H180" s="26"/>
      <c r="I180" s="109"/>
      <c r="J180" s="26"/>
      <c r="K180" s="109"/>
      <c r="L180" s="26"/>
      <c r="M180" s="109"/>
      <c r="N180" s="26"/>
      <c r="O180" s="109"/>
      <c r="P180" s="26"/>
      <c r="Q180" s="109"/>
      <c r="R180" s="26"/>
      <c r="S180" s="109"/>
      <c r="T180" s="26"/>
    </row>
    <row r="181" spans="6:20" x14ac:dyDescent="0.2">
      <c r="F181" s="10"/>
      <c r="G181" s="10"/>
      <c r="H181" s="26"/>
      <c r="I181" s="109"/>
      <c r="J181" s="26"/>
      <c r="K181" s="109"/>
      <c r="L181" s="26"/>
      <c r="M181" s="109"/>
      <c r="N181" s="26"/>
      <c r="O181" s="109"/>
      <c r="P181" s="26"/>
      <c r="Q181" s="109"/>
      <c r="R181" s="26"/>
      <c r="S181" s="109"/>
      <c r="T181" s="26"/>
    </row>
    <row r="182" spans="6:20" x14ac:dyDescent="0.2">
      <c r="F182" s="10"/>
      <c r="G182" s="10"/>
      <c r="H182" s="26"/>
      <c r="I182" s="109"/>
      <c r="J182" s="26"/>
      <c r="K182" s="109"/>
      <c r="L182" s="26"/>
      <c r="M182" s="109"/>
      <c r="N182" s="26"/>
      <c r="O182" s="109"/>
      <c r="P182" s="26"/>
      <c r="Q182" s="109"/>
      <c r="R182" s="26"/>
      <c r="S182" s="109"/>
      <c r="T182" s="26"/>
    </row>
    <row r="183" spans="6:20" x14ac:dyDescent="0.2">
      <c r="F183" s="10"/>
      <c r="G183" s="10"/>
      <c r="H183" s="26"/>
      <c r="I183" s="109"/>
      <c r="J183" s="26"/>
      <c r="K183" s="109"/>
      <c r="L183" s="26"/>
      <c r="M183" s="109"/>
      <c r="N183" s="26"/>
      <c r="O183" s="109"/>
      <c r="P183" s="26"/>
      <c r="Q183" s="109"/>
      <c r="R183" s="26"/>
      <c r="S183" s="109"/>
      <c r="T183" s="26"/>
    </row>
    <row r="184" spans="6:20" x14ac:dyDescent="0.2">
      <c r="F184" s="10"/>
      <c r="G184" s="10"/>
      <c r="H184" s="26"/>
      <c r="I184" s="109"/>
      <c r="J184" s="26"/>
      <c r="K184" s="109"/>
      <c r="L184" s="26"/>
      <c r="M184" s="109"/>
      <c r="N184" s="26"/>
      <c r="O184" s="109"/>
      <c r="P184" s="26"/>
      <c r="Q184" s="109"/>
      <c r="R184" s="26"/>
      <c r="S184" s="109"/>
      <c r="T184" s="26"/>
    </row>
    <row r="185" spans="6:20" x14ac:dyDescent="0.2">
      <c r="F185" s="10"/>
      <c r="G185" s="10"/>
      <c r="H185" s="26"/>
      <c r="I185" s="109"/>
      <c r="J185" s="26"/>
      <c r="K185" s="109"/>
      <c r="L185" s="26"/>
      <c r="M185" s="109"/>
      <c r="N185" s="26"/>
      <c r="O185" s="109"/>
      <c r="P185" s="26"/>
      <c r="Q185" s="109"/>
      <c r="R185" s="26"/>
      <c r="S185" s="109"/>
      <c r="T185" s="26"/>
    </row>
    <row r="186" spans="6:20" x14ac:dyDescent="0.2">
      <c r="F186" s="10"/>
      <c r="G186" s="10"/>
      <c r="H186" s="26"/>
      <c r="I186" s="109"/>
      <c r="J186" s="26"/>
      <c r="K186" s="109"/>
      <c r="L186" s="26"/>
      <c r="M186" s="109"/>
      <c r="N186" s="26"/>
      <c r="O186" s="109"/>
      <c r="P186" s="26"/>
      <c r="Q186" s="109"/>
      <c r="R186" s="26"/>
      <c r="S186" s="109"/>
      <c r="T186" s="26"/>
    </row>
    <row r="187" spans="6:20" x14ac:dyDescent="0.2">
      <c r="F187" s="10"/>
      <c r="G187" s="10"/>
      <c r="H187" s="26"/>
      <c r="I187" s="109"/>
      <c r="J187" s="26"/>
      <c r="K187" s="109"/>
      <c r="L187" s="26"/>
      <c r="M187" s="109"/>
      <c r="N187" s="26"/>
      <c r="O187" s="109"/>
      <c r="P187" s="26"/>
      <c r="Q187" s="109"/>
      <c r="R187" s="26"/>
      <c r="S187" s="109"/>
      <c r="T187" s="26"/>
    </row>
    <row r="188" spans="6:20" x14ac:dyDescent="0.2">
      <c r="F188" s="10"/>
      <c r="G188" s="10"/>
      <c r="H188" s="26"/>
      <c r="I188" s="109"/>
      <c r="J188" s="26"/>
      <c r="K188" s="109"/>
      <c r="L188" s="26"/>
      <c r="M188" s="109"/>
      <c r="N188" s="26"/>
      <c r="O188" s="109"/>
      <c r="P188" s="26"/>
      <c r="Q188" s="109"/>
      <c r="R188" s="26"/>
      <c r="S188" s="109"/>
      <c r="T188" s="26"/>
    </row>
    <row r="189" spans="6:20" x14ac:dyDescent="0.2">
      <c r="H189" s="15"/>
      <c r="I189" s="110"/>
      <c r="J189" s="15"/>
      <c r="K189" s="110"/>
      <c r="L189" s="15"/>
      <c r="M189" s="110"/>
      <c r="N189" s="15"/>
      <c r="O189" s="110"/>
      <c r="P189" s="15"/>
      <c r="Q189" s="110"/>
      <c r="R189" s="15"/>
      <c r="S189" s="110"/>
      <c r="T189" s="15"/>
    </row>
    <row r="190" spans="6:20" x14ac:dyDescent="0.2">
      <c r="H190" s="15"/>
      <c r="I190" s="110"/>
      <c r="J190" s="15"/>
      <c r="K190" s="110"/>
      <c r="L190" s="15"/>
      <c r="M190" s="110"/>
      <c r="N190" s="15"/>
      <c r="O190" s="110"/>
      <c r="P190" s="15"/>
      <c r="Q190" s="110"/>
      <c r="R190" s="15"/>
      <c r="S190" s="110"/>
      <c r="T190" s="15"/>
    </row>
    <row r="191" spans="6:20" x14ac:dyDescent="0.2">
      <c r="H191" s="15"/>
      <c r="I191" s="110"/>
      <c r="J191" s="15"/>
      <c r="K191" s="110"/>
      <c r="L191" s="15"/>
      <c r="M191" s="110"/>
      <c r="N191" s="15"/>
      <c r="O191" s="110"/>
      <c r="P191" s="15"/>
      <c r="Q191" s="110"/>
      <c r="R191" s="15"/>
      <c r="S191" s="110"/>
      <c r="T191" s="15"/>
    </row>
    <row r="192" spans="6:20" x14ac:dyDescent="0.2">
      <c r="H192" s="15"/>
      <c r="I192" s="110"/>
      <c r="J192" s="15"/>
      <c r="K192" s="110"/>
      <c r="L192" s="15"/>
      <c r="M192" s="110"/>
      <c r="N192" s="15"/>
      <c r="O192" s="110"/>
      <c r="P192" s="15"/>
      <c r="Q192" s="110"/>
      <c r="R192" s="15"/>
      <c r="S192" s="110"/>
      <c r="T192" s="15"/>
    </row>
    <row r="193" spans="8:20" x14ac:dyDescent="0.2">
      <c r="H193" s="15"/>
      <c r="I193" s="110"/>
      <c r="J193" s="15"/>
      <c r="K193" s="110"/>
      <c r="L193" s="15"/>
      <c r="M193" s="110"/>
      <c r="N193" s="15"/>
      <c r="O193" s="110"/>
      <c r="P193" s="15"/>
      <c r="Q193" s="110"/>
      <c r="R193" s="15"/>
      <c r="S193" s="110"/>
      <c r="T193" s="15"/>
    </row>
    <row r="194" spans="8:20" x14ac:dyDescent="0.2">
      <c r="H194" s="15"/>
      <c r="I194" s="110"/>
      <c r="J194" s="15"/>
      <c r="K194" s="110"/>
      <c r="L194" s="15"/>
      <c r="M194" s="110"/>
      <c r="N194" s="15"/>
      <c r="O194" s="110"/>
      <c r="P194" s="15"/>
      <c r="Q194" s="110"/>
      <c r="R194" s="15"/>
      <c r="S194" s="110"/>
      <c r="T194" s="15"/>
    </row>
    <row r="195" spans="8:20" x14ac:dyDescent="0.2">
      <c r="H195" s="15"/>
      <c r="I195" s="110"/>
      <c r="J195" s="15"/>
      <c r="K195" s="110"/>
      <c r="L195" s="15"/>
      <c r="M195" s="110"/>
      <c r="N195" s="15"/>
      <c r="O195" s="110"/>
      <c r="P195" s="15"/>
      <c r="Q195" s="110"/>
      <c r="R195" s="15"/>
      <c r="S195" s="110"/>
      <c r="T195" s="15"/>
    </row>
    <row r="196" spans="8:20" x14ac:dyDescent="0.2">
      <c r="H196" s="15"/>
      <c r="I196" s="110"/>
      <c r="J196" s="15"/>
      <c r="K196" s="110"/>
      <c r="L196" s="15"/>
      <c r="M196" s="110"/>
      <c r="N196" s="15"/>
      <c r="O196" s="110"/>
      <c r="P196" s="15"/>
      <c r="Q196" s="110"/>
      <c r="R196" s="15"/>
      <c r="S196" s="110"/>
      <c r="T196" s="15"/>
    </row>
    <row r="197" spans="8:20" x14ac:dyDescent="0.2">
      <c r="H197" s="15"/>
      <c r="I197" s="110"/>
      <c r="J197" s="15"/>
      <c r="K197" s="110"/>
      <c r="L197" s="15"/>
      <c r="M197" s="110"/>
      <c r="N197" s="15"/>
      <c r="O197" s="110"/>
      <c r="P197" s="15"/>
      <c r="Q197" s="110"/>
      <c r="R197" s="15"/>
      <c r="S197" s="110"/>
      <c r="T197" s="15"/>
    </row>
    <row r="198" spans="8:20" x14ac:dyDescent="0.2">
      <c r="H198" s="15"/>
      <c r="I198" s="110"/>
      <c r="J198" s="15"/>
      <c r="K198" s="110"/>
      <c r="L198" s="15"/>
      <c r="M198" s="110"/>
      <c r="N198" s="15"/>
      <c r="O198" s="110"/>
      <c r="P198" s="15"/>
      <c r="Q198" s="110"/>
      <c r="R198" s="15"/>
      <c r="S198" s="110"/>
      <c r="T198" s="15"/>
    </row>
    <row r="199" spans="8:20" x14ac:dyDescent="0.2">
      <c r="H199" s="15"/>
      <c r="I199" s="110"/>
      <c r="J199" s="15"/>
      <c r="K199" s="110"/>
      <c r="L199" s="15"/>
      <c r="M199" s="110"/>
      <c r="N199" s="15"/>
      <c r="O199" s="110"/>
      <c r="P199" s="15"/>
      <c r="Q199" s="110"/>
      <c r="R199" s="15"/>
      <c r="S199" s="110"/>
      <c r="T199" s="15"/>
    </row>
    <row r="200" spans="8:20" x14ac:dyDescent="0.2">
      <c r="H200" s="15"/>
      <c r="I200" s="110"/>
      <c r="J200" s="15"/>
      <c r="K200" s="110"/>
      <c r="L200" s="15"/>
      <c r="M200" s="110"/>
      <c r="N200" s="15"/>
      <c r="O200" s="110"/>
      <c r="P200" s="15"/>
      <c r="Q200" s="110"/>
      <c r="R200" s="15"/>
      <c r="S200" s="110"/>
      <c r="T200" s="15"/>
    </row>
    <row r="201" spans="8:20" x14ac:dyDescent="0.2">
      <c r="H201" s="15"/>
      <c r="I201" s="110"/>
      <c r="J201" s="15"/>
      <c r="K201" s="110"/>
      <c r="L201" s="15"/>
      <c r="M201" s="110"/>
      <c r="N201" s="15"/>
      <c r="O201" s="110"/>
      <c r="P201" s="15"/>
      <c r="Q201" s="110"/>
      <c r="R201" s="15"/>
      <c r="S201" s="110"/>
      <c r="T201" s="15"/>
    </row>
    <row r="202" spans="8:20" x14ac:dyDescent="0.2">
      <c r="H202" s="15"/>
      <c r="I202" s="110"/>
      <c r="J202" s="15"/>
      <c r="K202" s="110"/>
      <c r="L202" s="15"/>
      <c r="M202" s="110"/>
      <c r="N202" s="15"/>
      <c r="O202" s="110"/>
      <c r="P202" s="15"/>
      <c r="Q202" s="110"/>
      <c r="R202" s="15"/>
      <c r="S202" s="110"/>
      <c r="T202" s="15"/>
    </row>
    <row r="203" spans="8:20" x14ac:dyDescent="0.2">
      <c r="H203" s="15"/>
      <c r="I203" s="110"/>
      <c r="J203" s="15"/>
      <c r="K203" s="110"/>
      <c r="L203" s="15"/>
      <c r="M203" s="110"/>
      <c r="N203" s="15"/>
      <c r="O203" s="110"/>
      <c r="P203" s="15"/>
      <c r="Q203" s="110"/>
      <c r="R203" s="15"/>
      <c r="S203" s="110"/>
      <c r="T203" s="15"/>
    </row>
    <row r="204" spans="8:20" x14ac:dyDescent="0.2">
      <c r="H204" s="15"/>
      <c r="I204" s="110"/>
      <c r="J204" s="15"/>
      <c r="K204" s="110"/>
      <c r="L204" s="15"/>
      <c r="M204" s="110"/>
      <c r="N204" s="15"/>
      <c r="O204" s="110"/>
      <c r="P204" s="15"/>
      <c r="Q204" s="110"/>
      <c r="R204" s="15"/>
      <c r="S204" s="110"/>
      <c r="T204" s="15"/>
    </row>
    <row r="205" spans="8:20" x14ac:dyDescent="0.2">
      <c r="H205" s="15"/>
      <c r="I205" s="110"/>
      <c r="J205" s="15"/>
      <c r="K205" s="110"/>
      <c r="L205" s="15"/>
      <c r="M205" s="110"/>
      <c r="N205" s="15"/>
      <c r="O205" s="110"/>
      <c r="P205" s="15"/>
      <c r="Q205" s="110"/>
      <c r="R205" s="15"/>
      <c r="S205" s="110"/>
      <c r="T205" s="15"/>
    </row>
    <row r="206" spans="8:20" x14ac:dyDescent="0.2">
      <c r="H206" s="15"/>
      <c r="I206" s="110"/>
      <c r="J206" s="15"/>
      <c r="K206" s="110"/>
      <c r="L206" s="15"/>
      <c r="M206" s="110"/>
      <c r="N206" s="15"/>
      <c r="O206" s="110"/>
      <c r="P206" s="15"/>
      <c r="Q206" s="110"/>
      <c r="R206" s="15"/>
      <c r="S206" s="110"/>
      <c r="T206" s="15"/>
    </row>
    <row r="207" spans="8:20" x14ac:dyDescent="0.2">
      <c r="H207" s="15"/>
      <c r="I207" s="110"/>
      <c r="J207" s="15"/>
      <c r="K207" s="110"/>
      <c r="L207" s="15"/>
      <c r="M207" s="110"/>
      <c r="N207" s="15"/>
      <c r="O207" s="110"/>
      <c r="P207" s="15"/>
      <c r="Q207" s="110"/>
      <c r="R207" s="15"/>
      <c r="S207" s="110"/>
      <c r="T207" s="15"/>
    </row>
    <row r="208" spans="8:20" x14ac:dyDescent="0.2">
      <c r="H208" s="15"/>
      <c r="I208" s="110"/>
      <c r="J208" s="15"/>
      <c r="K208" s="110"/>
      <c r="L208" s="15"/>
      <c r="M208" s="110"/>
      <c r="N208" s="15"/>
      <c r="O208" s="110"/>
      <c r="P208" s="15"/>
      <c r="Q208" s="110"/>
      <c r="R208" s="15"/>
      <c r="S208" s="110"/>
      <c r="T208" s="15"/>
    </row>
    <row r="209" spans="8:20" x14ac:dyDescent="0.2">
      <c r="H209" s="15"/>
      <c r="I209" s="110"/>
      <c r="J209" s="15"/>
      <c r="K209" s="110"/>
      <c r="L209" s="15"/>
      <c r="M209" s="110"/>
      <c r="N209" s="15"/>
      <c r="O209" s="110"/>
      <c r="P209" s="15"/>
      <c r="Q209" s="110"/>
      <c r="R209" s="15"/>
      <c r="S209" s="110"/>
      <c r="T209" s="15"/>
    </row>
    <row r="210" spans="8:20" x14ac:dyDescent="0.2">
      <c r="H210" s="15"/>
      <c r="I210" s="110"/>
      <c r="J210" s="15"/>
      <c r="K210" s="110"/>
      <c r="L210" s="15"/>
      <c r="M210" s="110"/>
      <c r="N210" s="15"/>
      <c r="O210" s="110"/>
      <c r="P210" s="15"/>
      <c r="Q210" s="110"/>
      <c r="R210" s="15"/>
      <c r="S210" s="110"/>
      <c r="T210" s="15"/>
    </row>
    <row r="211" spans="8:20" x14ac:dyDescent="0.2">
      <c r="H211" s="15"/>
      <c r="I211" s="110"/>
      <c r="J211" s="15"/>
      <c r="K211" s="110"/>
      <c r="L211" s="15"/>
      <c r="M211" s="110"/>
      <c r="N211" s="15"/>
      <c r="O211" s="110"/>
      <c r="P211" s="15"/>
      <c r="Q211" s="110"/>
      <c r="R211" s="15"/>
      <c r="S211" s="110"/>
      <c r="T211" s="15"/>
    </row>
    <row r="212" spans="8:20" x14ac:dyDescent="0.2">
      <c r="H212" s="15"/>
      <c r="I212" s="110"/>
      <c r="J212" s="15"/>
      <c r="K212" s="110"/>
      <c r="L212" s="15"/>
      <c r="M212" s="110"/>
      <c r="N212" s="15"/>
      <c r="O212" s="110"/>
      <c r="P212" s="15"/>
      <c r="Q212" s="110"/>
      <c r="R212" s="15"/>
      <c r="S212" s="110"/>
      <c r="T212" s="15"/>
    </row>
    <row r="213" spans="8:20" x14ac:dyDescent="0.2">
      <c r="H213" s="15"/>
      <c r="I213" s="110"/>
      <c r="J213" s="15"/>
      <c r="K213" s="110"/>
      <c r="L213" s="15"/>
      <c r="M213" s="110"/>
      <c r="N213" s="15"/>
      <c r="O213" s="110"/>
      <c r="P213" s="15"/>
      <c r="Q213" s="110"/>
      <c r="R213" s="15"/>
      <c r="S213" s="110"/>
      <c r="T213" s="15"/>
    </row>
    <row r="214" spans="8:20" x14ac:dyDescent="0.2">
      <c r="H214" s="15"/>
      <c r="I214" s="110"/>
      <c r="J214" s="15"/>
      <c r="K214" s="110"/>
      <c r="L214" s="15"/>
      <c r="M214" s="110"/>
      <c r="N214" s="15"/>
      <c r="O214" s="110"/>
      <c r="P214" s="15"/>
      <c r="Q214" s="110"/>
      <c r="R214" s="15"/>
      <c r="S214" s="110"/>
      <c r="T214" s="15"/>
    </row>
    <row r="215" spans="8:20" x14ac:dyDescent="0.2">
      <c r="H215" s="15"/>
      <c r="I215" s="110"/>
      <c r="J215" s="15"/>
      <c r="K215" s="110"/>
      <c r="L215" s="15"/>
      <c r="M215" s="110"/>
      <c r="N215" s="15"/>
      <c r="O215" s="110"/>
      <c r="P215" s="15"/>
      <c r="Q215" s="110"/>
      <c r="R215" s="15"/>
      <c r="S215" s="110"/>
      <c r="T215" s="15"/>
    </row>
    <row r="216" spans="8:20" x14ac:dyDescent="0.2">
      <c r="H216" s="15"/>
      <c r="I216" s="110"/>
      <c r="J216" s="15"/>
      <c r="K216" s="110"/>
      <c r="L216" s="15"/>
      <c r="M216" s="110"/>
      <c r="N216" s="15"/>
      <c r="O216" s="110"/>
      <c r="P216" s="15"/>
      <c r="Q216" s="110"/>
      <c r="R216" s="15"/>
      <c r="S216" s="110"/>
      <c r="T216" s="15"/>
    </row>
    <row r="217" spans="8:20" x14ac:dyDescent="0.2">
      <c r="H217" s="15"/>
      <c r="I217" s="110"/>
      <c r="J217" s="15"/>
      <c r="K217" s="110"/>
      <c r="L217" s="15"/>
      <c r="M217" s="110"/>
      <c r="N217" s="15"/>
      <c r="O217" s="110"/>
      <c r="P217" s="15"/>
      <c r="Q217" s="110"/>
      <c r="R217" s="15"/>
      <c r="S217" s="110"/>
      <c r="T217" s="15"/>
    </row>
    <row r="218" spans="8:20" x14ac:dyDescent="0.2">
      <c r="H218" s="15"/>
      <c r="I218" s="110"/>
      <c r="J218" s="15"/>
      <c r="K218" s="110"/>
      <c r="L218" s="15"/>
      <c r="M218" s="110"/>
      <c r="N218" s="15"/>
      <c r="O218" s="110"/>
      <c r="P218" s="15"/>
      <c r="Q218" s="110"/>
      <c r="R218" s="15"/>
      <c r="S218" s="110"/>
      <c r="T218" s="15"/>
    </row>
    <row r="219" spans="8:20" x14ac:dyDescent="0.2">
      <c r="H219" s="15"/>
      <c r="I219" s="110"/>
      <c r="J219" s="15"/>
      <c r="K219" s="110"/>
      <c r="L219" s="15"/>
      <c r="M219" s="110"/>
      <c r="N219" s="15"/>
      <c r="O219" s="110"/>
      <c r="P219" s="15"/>
      <c r="Q219" s="110"/>
      <c r="R219" s="15"/>
      <c r="S219" s="110"/>
      <c r="T219" s="15"/>
    </row>
    <row r="220" spans="8:20" x14ac:dyDescent="0.2">
      <c r="H220" s="15"/>
      <c r="I220" s="110"/>
      <c r="J220" s="15"/>
      <c r="K220" s="110"/>
      <c r="L220" s="15"/>
      <c r="M220" s="110"/>
      <c r="N220" s="15"/>
      <c r="O220" s="110"/>
      <c r="P220" s="15"/>
      <c r="Q220" s="110"/>
      <c r="R220" s="15"/>
      <c r="S220" s="110"/>
      <c r="T220" s="15"/>
    </row>
    <row r="221" spans="8:20" x14ac:dyDescent="0.2">
      <c r="H221" s="15"/>
      <c r="I221" s="110"/>
      <c r="J221" s="15"/>
      <c r="K221" s="110"/>
      <c r="L221" s="15"/>
      <c r="M221" s="110"/>
      <c r="N221" s="15"/>
      <c r="O221" s="110"/>
      <c r="P221" s="15"/>
      <c r="Q221" s="110"/>
      <c r="R221" s="15"/>
      <c r="S221" s="110"/>
      <c r="T221" s="15"/>
    </row>
    <row r="222" spans="8:20" x14ac:dyDescent="0.2">
      <c r="H222" s="15"/>
      <c r="I222" s="110"/>
      <c r="J222" s="15"/>
      <c r="K222" s="110"/>
      <c r="L222" s="15"/>
      <c r="M222" s="110"/>
      <c r="N222" s="15"/>
      <c r="O222" s="110"/>
      <c r="P222" s="15"/>
      <c r="Q222" s="110"/>
      <c r="R222" s="15"/>
      <c r="S222" s="110"/>
      <c r="T222" s="15"/>
    </row>
    <row r="223" spans="8:20" x14ac:dyDescent="0.2">
      <c r="H223" s="15"/>
      <c r="I223" s="110"/>
      <c r="J223" s="15"/>
      <c r="K223" s="110"/>
      <c r="L223" s="15"/>
      <c r="M223" s="110"/>
      <c r="N223" s="15"/>
      <c r="O223" s="110"/>
      <c r="P223" s="15"/>
      <c r="Q223" s="110"/>
      <c r="R223" s="15"/>
      <c r="S223" s="110"/>
      <c r="T223" s="15"/>
    </row>
    <row r="224" spans="8:20" x14ac:dyDescent="0.2">
      <c r="H224" s="15"/>
      <c r="I224" s="110"/>
      <c r="J224" s="15"/>
      <c r="K224" s="110"/>
      <c r="L224" s="15"/>
      <c r="M224" s="110"/>
      <c r="N224" s="15"/>
      <c r="O224" s="110"/>
      <c r="P224" s="15"/>
      <c r="Q224" s="110"/>
      <c r="R224" s="15"/>
      <c r="S224" s="110"/>
      <c r="T224" s="15"/>
    </row>
    <row r="225" spans="8:20" x14ac:dyDescent="0.2">
      <c r="H225" s="15"/>
      <c r="I225" s="110"/>
      <c r="J225" s="15"/>
      <c r="K225" s="110"/>
      <c r="L225" s="15"/>
      <c r="M225" s="110"/>
      <c r="N225" s="15"/>
      <c r="O225" s="110"/>
      <c r="P225" s="15"/>
      <c r="Q225" s="110"/>
      <c r="R225" s="15"/>
      <c r="S225" s="110"/>
      <c r="T225" s="15"/>
    </row>
    <row r="226" spans="8:20" x14ac:dyDescent="0.2">
      <c r="H226" s="15"/>
      <c r="I226" s="110"/>
      <c r="J226" s="15"/>
      <c r="K226" s="110"/>
      <c r="L226" s="15"/>
      <c r="M226" s="110"/>
      <c r="N226" s="15"/>
      <c r="O226" s="110"/>
      <c r="P226" s="15"/>
      <c r="Q226" s="110"/>
      <c r="R226" s="15"/>
      <c r="S226" s="110"/>
      <c r="T226" s="15"/>
    </row>
    <row r="227" spans="8:20" x14ac:dyDescent="0.2">
      <c r="H227" s="15"/>
      <c r="I227" s="110"/>
      <c r="J227" s="15"/>
      <c r="K227" s="110"/>
      <c r="L227" s="15"/>
      <c r="M227" s="110"/>
      <c r="N227" s="15"/>
      <c r="O227" s="110"/>
      <c r="P227" s="15"/>
      <c r="Q227" s="110"/>
      <c r="R227" s="15"/>
      <c r="S227" s="110"/>
      <c r="T227" s="15"/>
    </row>
    <row r="228" spans="8:20" x14ac:dyDescent="0.2">
      <c r="H228" s="15"/>
      <c r="I228" s="110"/>
      <c r="J228" s="15"/>
      <c r="K228" s="110"/>
      <c r="L228" s="15"/>
      <c r="M228" s="110"/>
      <c r="N228" s="15"/>
      <c r="O228" s="110"/>
      <c r="P228" s="15"/>
      <c r="Q228" s="110"/>
      <c r="R228" s="15"/>
      <c r="S228" s="110"/>
      <c r="T228" s="15"/>
    </row>
    <row r="229" spans="8:20" x14ac:dyDescent="0.2">
      <c r="H229" s="15"/>
      <c r="I229" s="110"/>
      <c r="J229" s="15"/>
      <c r="K229" s="110"/>
      <c r="L229" s="15"/>
      <c r="M229" s="110"/>
      <c r="N229" s="15"/>
      <c r="O229" s="110"/>
      <c r="P229" s="15"/>
      <c r="Q229" s="110"/>
      <c r="R229" s="15"/>
      <c r="S229" s="110"/>
      <c r="T229" s="15"/>
    </row>
    <row r="230" spans="8:20" x14ac:dyDescent="0.2">
      <c r="H230" s="15"/>
      <c r="I230" s="110"/>
      <c r="J230" s="15"/>
      <c r="K230" s="110"/>
      <c r="L230" s="15"/>
      <c r="M230" s="110"/>
      <c r="N230" s="15"/>
      <c r="O230" s="110"/>
      <c r="P230" s="15"/>
      <c r="Q230" s="110"/>
      <c r="R230" s="15"/>
      <c r="S230" s="110"/>
      <c r="T230" s="15"/>
    </row>
    <row r="231" spans="8:20" x14ac:dyDescent="0.2">
      <c r="H231" s="15"/>
      <c r="I231" s="110"/>
      <c r="J231" s="15"/>
      <c r="K231" s="110"/>
      <c r="L231" s="15"/>
      <c r="M231" s="110"/>
      <c r="N231" s="15"/>
      <c r="O231" s="110"/>
      <c r="P231" s="15"/>
      <c r="Q231" s="110"/>
      <c r="R231" s="15"/>
      <c r="S231" s="110"/>
      <c r="T231" s="15"/>
    </row>
    <row r="232" spans="8:20" x14ac:dyDescent="0.2">
      <c r="H232" s="15"/>
      <c r="I232" s="110"/>
      <c r="J232" s="15"/>
      <c r="K232" s="110"/>
      <c r="L232" s="15"/>
      <c r="M232" s="110"/>
      <c r="N232" s="15"/>
      <c r="O232" s="110"/>
      <c r="P232" s="15"/>
      <c r="Q232" s="110"/>
      <c r="R232" s="15"/>
      <c r="S232" s="110"/>
      <c r="T232" s="15"/>
    </row>
    <row r="233" spans="8:20" x14ac:dyDescent="0.2">
      <c r="H233" s="15"/>
      <c r="I233" s="110"/>
      <c r="J233" s="15"/>
      <c r="K233" s="110"/>
      <c r="L233" s="15"/>
      <c r="M233" s="110"/>
      <c r="N233" s="15"/>
      <c r="O233" s="110"/>
      <c r="P233" s="15"/>
      <c r="Q233" s="110"/>
      <c r="R233" s="15"/>
      <c r="S233" s="110"/>
      <c r="T233" s="15"/>
    </row>
    <row r="234" spans="8:20" x14ac:dyDescent="0.2">
      <c r="H234" s="15"/>
      <c r="I234" s="110"/>
      <c r="J234" s="15"/>
      <c r="K234" s="110"/>
      <c r="L234" s="15"/>
      <c r="M234" s="110"/>
      <c r="N234" s="15"/>
      <c r="O234" s="110"/>
      <c r="P234" s="15"/>
      <c r="Q234" s="110"/>
      <c r="R234" s="15"/>
      <c r="S234" s="110"/>
      <c r="T234" s="15"/>
    </row>
    <row r="235" spans="8:20" x14ac:dyDescent="0.2">
      <c r="H235" s="15"/>
      <c r="I235" s="110"/>
      <c r="J235" s="15"/>
      <c r="K235" s="110"/>
      <c r="L235" s="15"/>
      <c r="M235" s="110"/>
      <c r="N235" s="15"/>
      <c r="O235" s="110"/>
      <c r="P235" s="15"/>
      <c r="Q235" s="110"/>
      <c r="R235" s="15"/>
      <c r="S235" s="110"/>
      <c r="T235" s="15"/>
    </row>
    <row r="236" spans="8:20" x14ac:dyDescent="0.2">
      <c r="H236" s="15"/>
      <c r="I236" s="110"/>
      <c r="J236" s="15"/>
      <c r="K236" s="110"/>
      <c r="L236" s="15"/>
      <c r="M236" s="110"/>
      <c r="N236" s="15"/>
      <c r="O236" s="110"/>
      <c r="P236" s="15"/>
      <c r="Q236" s="110"/>
      <c r="R236" s="15"/>
      <c r="S236" s="110"/>
      <c r="T236" s="15"/>
    </row>
    <row r="237" spans="8:20" x14ac:dyDescent="0.2">
      <c r="H237" s="15"/>
      <c r="I237" s="110"/>
      <c r="J237" s="15"/>
      <c r="K237" s="110"/>
      <c r="L237" s="15"/>
      <c r="M237" s="110"/>
      <c r="N237" s="15"/>
      <c r="O237" s="110"/>
      <c r="P237" s="15"/>
      <c r="Q237" s="110"/>
      <c r="R237" s="15"/>
      <c r="S237" s="110"/>
      <c r="T237" s="15"/>
    </row>
    <row r="238" spans="8:20" x14ac:dyDescent="0.2">
      <c r="H238" s="15"/>
      <c r="I238" s="110"/>
      <c r="J238" s="15"/>
      <c r="K238" s="110"/>
      <c r="L238" s="15"/>
      <c r="M238" s="110"/>
      <c r="N238" s="15"/>
      <c r="O238" s="110"/>
      <c r="P238" s="15"/>
      <c r="Q238" s="110"/>
      <c r="R238" s="15"/>
      <c r="S238" s="110"/>
      <c r="T238" s="15"/>
    </row>
    <row r="239" spans="8:20" x14ac:dyDescent="0.2">
      <c r="H239" s="15"/>
      <c r="I239" s="110"/>
      <c r="J239" s="15"/>
      <c r="K239" s="110"/>
      <c r="L239" s="15"/>
      <c r="M239" s="110"/>
      <c r="N239" s="15"/>
      <c r="O239" s="110"/>
      <c r="P239" s="15"/>
      <c r="Q239" s="110"/>
      <c r="R239" s="15"/>
      <c r="S239" s="110"/>
      <c r="T239" s="15"/>
    </row>
    <row r="240" spans="8:20" x14ac:dyDescent="0.2">
      <c r="H240" s="15"/>
      <c r="I240" s="110"/>
      <c r="J240" s="15"/>
      <c r="K240" s="110"/>
      <c r="L240" s="15"/>
      <c r="M240" s="110"/>
      <c r="N240" s="15"/>
      <c r="O240" s="110"/>
      <c r="P240" s="15"/>
      <c r="Q240" s="110"/>
      <c r="R240" s="15"/>
      <c r="S240" s="110"/>
      <c r="T240" s="15"/>
    </row>
    <row r="241" spans="8:20" x14ac:dyDescent="0.2">
      <c r="H241" s="15"/>
      <c r="I241" s="110"/>
      <c r="J241" s="15"/>
      <c r="K241" s="110"/>
      <c r="L241" s="15"/>
      <c r="M241" s="110"/>
      <c r="N241" s="15"/>
      <c r="O241" s="110"/>
      <c r="P241" s="15"/>
      <c r="Q241" s="110"/>
      <c r="R241" s="15"/>
      <c r="S241" s="110"/>
      <c r="T241" s="15"/>
    </row>
    <row r="242" spans="8:20" x14ac:dyDescent="0.2">
      <c r="H242" s="15"/>
      <c r="I242" s="110"/>
      <c r="J242" s="15"/>
      <c r="K242" s="110"/>
      <c r="L242" s="15"/>
      <c r="M242" s="110"/>
      <c r="N242" s="15"/>
      <c r="O242" s="110"/>
      <c r="P242" s="15"/>
      <c r="Q242" s="110"/>
      <c r="R242" s="15"/>
      <c r="S242" s="110"/>
      <c r="T242" s="15"/>
    </row>
    <row r="243" spans="8:20" x14ac:dyDescent="0.2">
      <c r="H243" s="15"/>
      <c r="I243" s="110"/>
      <c r="J243" s="15"/>
      <c r="K243" s="110"/>
      <c r="L243" s="15"/>
      <c r="M243" s="110"/>
      <c r="N243" s="15"/>
      <c r="O243" s="110"/>
      <c r="P243" s="15"/>
      <c r="Q243" s="110"/>
      <c r="R243" s="15"/>
      <c r="S243" s="110"/>
      <c r="T243" s="15"/>
    </row>
    <row r="244" spans="8:20" x14ac:dyDescent="0.2">
      <c r="H244" s="15"/>
      <c r="I244" s="110"/>
      <c r="J244" s="15"/>
      <c r="K244" s="110"/>
      <c r="L244" s="15"/>
      <c r="M244" s="110"/>
      <c r="N244" s="15"/>
      <c r="O244" s="110"/>
      <c r="P244" s="15"/>
      <c r="Q244" s="110"/>
      <c r="R244" s="15"/>
      <c r="S244" s="110"/>
      <c r="T244" s="15"/>
    </row>
    <row r="245" spans="8:20" x14ac:dyDescent="0.2">
      <c r="H245" s="15"/>
      <c r="I245" s="110"/>
      <c r="J245" s="15"/>
      <c r="K245" s="110"/>
      <c r="L245" s="15"/>
      <c r="M245" s="110"/>
      <c r="N245" s="15"/>
      <c r="O245" s="110"/>
      <c r="P245" s="15"/>
      <c r="Q245" s="110"/>
      <c r="R245" s="15"/>
      <c r="S245" s="110"/>
      <c r="T245" s="15"/>
    </row>
    <row r="246" spans="8:20" x14ac:dyDescent="0.2">
      <c r="H246" s="15"/>
      <c r="I246" s="110"/>
      <c r="J246" s="15"/>
      <c r="K246" s="110"/>
      <c r="L246" s="15"/>
      <c r="M246" s="110"/>
      <c r="N246" s="15"/>
      <c r="O246" s="110"/>
      <c r="P246" s="15"/>
      <c r="Q246" s="110"/>
      <c r="R246" s="15"/>
      <c r="S246" s="110"/>
      <c r="T246" s="15"/>
    </row>
    <row r="247" spans="8:20" x14ac:dyDescent="0.2">
      <c r="H247" s="15"/>
      <c r="I247" s="110"/>
      <c r="J247" s="15"/>
      <c r="K247" s="110"/>
      <c r="L247" s="15"/>
      <c r="M247" s="110"/>
      <c r="N247" s="15"/>
      <c r="O247" s="110"/>
      <c r="P247" s="15"/>
      <c r="Q247" s="110"/>
      <c r="R247" s="15"/>
      <c r="S247" s="110"/>
      <c r="T247" s="15"/>
    </row>
    <row r="248" spans="8:20" x14ac:dyDescent="0.2">
      <c r="H248" s="15"/>
      <c r="I248" s="110"/>
      <c r="J248" s="15"/>
      <c r="K248" s="110"/>
      <c r="L248" s="15"/>
      <c r="M248" s="110"/>
      <c r="N248" s="15"/>
      <c r="O248" s="110"/>
      <c r="P248" s="15"/>
      <c r="Q248" s="110"/>
      <c r="R248" s="15"/>
      <c r="S248" s="110"/>
      <c r="T248" s="15"/>
    </row>
    <row r="249" spans="8:20" x14ac:dyDescent="0.2">
      <c r="H249" s="15"/>
      <c r="I249" s="110"/>
      <c r="J249" s="15"/>
      <c r="K249" s="110"/>
      <c r="L249" s="15"/>
      <c r="M249" s="110"/>
      <c r="N249" s="15"/>
      <c r="O249" s="110"/>
      <c r="P249" s="15"/>
      <c r="Q249" s="110"/>
      <c r="R249" s="15"/>
      <c r="S249" s="110"/>
      <c r="T249" s="15"/>
    </row>
    <row r="250" spans="8:20" x14ac:dyDescent="0.2">
      <c r="H250" s="15"/>
      <c r="I250" s="110"/>
      <c r="J250" s="15"/>
      <c r="K250" s="110"/>
      <c r="L250" s="15"/>
      <c r="M250" s="110"/>
      <c r="N250" s="15"/>
      <c r="O250" s="110"/>
      <c r="P250" s="15"/>
      <c r="Q250" s="110"/>
      <c r="R250" s="15"/>
      <c r="S250" s="110"/>
      <c r="T250" s="15"/>
    </row>
    <row r="251" spans="8:20" x14ac:dyDescent="0.2">
      <c r="H251" s="15"/>
      <c r="I251" s="110"/>
      <c r="J251" s="15"/>
      <c r="K251" s="110"/>
      <c r="L251" s="15"/>
      <c r="M251" s="110"/>
      <c r="N251" s="15"/>
      <c r="O251" s="110"/>
      <c r="P251" s="15"/>
      <c r="Q251" s="110"/>
      <c r="R251" s="15"/>
      <c r="S251" s="110"/>
      <c r="T251" s="15"/>
    </row>
    <row r="252" spans="8:20" x14ac:dyDescent="0.2">
      <c r="H252" s="15"/>
      <c r="I252" s="110"/>
      <c r="J252" s="15"/>
      <c r="K252" s="110"/>
      <c r="L252" s="15"/>
      <c r="M252" s="110"/>
      <c r="N252" s="15"/>
      <c r="O252" s="110"/>
      <c r="P252" s="15"/>
      <c r="Q252" s="110"/>
      <c r="R252" s="15"/>
      <c r="S252" s="110"/>
      <c r="T252" s="15"/>
    </row>
    <row r="253" spans="8:20" x14ac:dyDescent="0.2">
      <c r="H253" s="15"/>
      <c r="I253" s="110"/>
      <c r="J253" s="15"/>
      <c r="K253" s="110"/>
      <c r="L253" s="15"/>
      <c r="M253" s="110"/>
      <c r="N253" s="15"/>
      <c r="O253" s="110"/>
      <c r="P253" s="15"/>
      <c r="Q253" s="110"/>
      <c r="R253" s="15"/>
      <c r="S253" s="110"/>
      <c r="T253" s="15"/>
    </row>
    <row r="254" spans="8:20" x14ac:dyDescent="0.2">
      <c r="H254" s="15"/>
      <c r="I254" s="110"/>
      <c r="J254" s="15"/>
      <c r="K254" s="110"/>
      <c r="L254" s="15"/>
      <c r="M254" s="110"/>
      <c r="N254" s="15"/>
      <c r="O254" s="110"/>
      <c r="P254" s="15"/>
      <c r="Q254" s="110"/>
      <c r="R254" s="15"/>
      <c r="S254" s="110"/>
      <c r="T254" s="15"/>
    </row>
    <row r="255" spans="8:20" x14ac:dyDescent="0.2">
      <c r="H255" s="15"/>
      <c r="I255" s="110"/>
      <c r="J255" s="15"/>
      <c r="K255" s="110"/>
      <c r="L255" s="15"/>
      <c r="M255" s="110"/>
      <c r="N255" s="15"/>
      <c r="O255" s="110"/>
      <c r="P255" s="15"/>
      <c r="Q255" s="110"/>
      <c r="R255" s="15"/>
      <c r="S255" s="110"/>
      <c r="T255" s="15"/>
    </row>
    <row r="256" spans="8:20" x14ac:dyDescent="0.2">
      <c r="H256" s="15"/>
      <c r="I256" s="110"/>
      <c r="J256" s="15"/>
      <c r="K256" s="110"/>
      <c r="L256" s="15"/>
      <c r="M256" s="110"/>
      <c r="N256" s="15"/>
      <c r="O256" s="110"/>
      <c r="P256" s="15"/>
      <c r="Q256" s="110"/>
      <c r="R256" s="15"/>
      <c r="S256" s="110"/>
      <c r="T256" s="15"/>
    </row>
    <row r="257" spans="8:20" x14ac:dyDescent="0.2">
      <c r="H257" s="15"/>
      <c r="I257" s="110"/>
      <c r="J257" s="15"/>
      <c r="K257" s="110"/>
      <c r="L257" s="15"/>
      <c r="M257" s="110"/>
      <c r="N257" s="15"/>
      <c r="O257" s="110"/>
      <c r="P257" s="15"/>
      <c r="Q257" s="110"/>
      <c r="R257" s="15"/>
      <c r="S257" s="110"/>
      <c r="T257" s="15"/>
    </row>
    <row r="258" spans="8:20" x14ac:dyDescent="0.2">
      <c r="H258" s="15"/>
      <c r="I258" s="110"/>
      <c r="J258" s="15"/>
      <c r="K258" s="110"/>
      <c r="L258" s="15"/>
      <c r="M258" s="110"/>
      <c r="N258" s="15"/>
      <c r="O258" s="110"/>
      <c r="P258" s="15"/>
      <c r="Q258" s="110"/>
      <c r="R258" s="15"/>
      <c r="S258" s="110"/>
      <c r="T258" s="15"/>
    </row>
    <row r="259" spans="8:20" x14ac:dyDescent="0.2">
      <c r="H259" s="15"/>
      <c r="I259" s="110"/>
      <c r="J259" s="15"/>
      <c r="K259" s="110"/>
      <c r="L259" s="15"/>
      <c r="M259" s="110"/>
      <c r="N259" s="15"/>
      <c r="O259" s="110"/>
      <c r="P259" s="15"/>
      <c r="Q259" s="110"/>
      <c r="R259" s="15"/>
      <c r="S259" s="110"/>
      <c r="T259" s="15"/>
    </row>
    <row r="260" spans="8:20" x14ac:dyDescent="0.2">
      <c r="H260" s="15"/>
      <c r="I260" s="110"/>
      <c r="J260" s="15"/>
      <c r="K260" s="110"/>
      <c r="L260" s="15"/>
      <c r="M260" s="110"/>
      <c r="N260" s="15"/>
      <c r="O260" s="110"/>
      <c r="P260" s="15"/>
      <c r="Q260" s="110"/>
      <c r="R260" s="15"/>
      <c r="S260" s="110"/>
      <c r="T260" s="15"/>
    </row>
    <row r="261" spans="8:20" x14ac:dyDescent="0.2">
      <c r="H261" s="15"/>
      <c r="I261" s="110"/>
      <c r="J261" s="15"/>
      <c r="K261" s="110"/>
      <c r="L261" s="15"/>
      <c r="M261" s="110"/>
      <c r="N261" s="15"/>
      <c r="O261" s="110"/>
      <c r="P261" s="15"/>
      <c r="Q261" s="110"/>
      <c r="R261" s="15"/>
      <c r="S261" s="110"/>
      <c r="T261" s="15"/>
    </row>
    <row r="262" spans="8:20" x14ac:dyDescent="0.2">
      <c r="H262" s="15"/>
      <c r="I262" s="110"/>
      <c r="J262" s="15"/>
      <c r="K262" s="110"/>
      <c r="L262" s="15"/>
      <c r="M262" s="110"/>
      <c r="N262" s="15"/>
      <c r="O262" s="110"/>
      <c r="P262" s="15"/>
      <c r="Q262" s="110"/>
      <c r="R262" s="15"/>
      <c r="S262" s="110"/>
      <c r="T262" s="15"/>
    </row>
    <row r="263" spans="8:20" x14ac:dyDescent="0.2">
      <c r="H263" s="15"/>
      <c r="I263" s="110"/>
      <c r="J263" s="15"/>
      <c r="K263" s="110"/>
      <c r="L263" s="15"/>
      <c r="M263" s="110"/>
      <c r="N263" s="15"/>
      <c r="O263" s="110"/>
      <c r="P263" s="15"/>
      <c r="Q263" s="110"/>
      <c r="R263" s="15"/>
      <c r="S263" s="110"/>
      <c r="T263" s="15"/>
    </row>
    <row r="264" spans="8:20" x14ac:dyDescent="0.2">
      <c r="H264" s="15"/>
      <c r="I264" s="110"/>
      <c r="J264" s="15"/>
      <c r="K264" s="110"/>
      <c r="L264" s="15"/>
      <c r="M264" s="110"/>
      <c r="N264" s="15"/>
      <c r="O264" s="110"/>
      <c r="P264" s="15"/>
      <c r="Q264" s="110"/>
      <c r="R264" s="15"/>
      <c r="S264" s="110"/>
      <c r="T264" s="15"/>
    </row>
    <row r="265" spans="8:20" x14ac:dyDescent="0.2">
      <c r="H265" s="15"/>
      <c r="I265" s="110"/>
      <c r="J265" s="15"/>
      <c r="K265" s="110"/>
      <c r="L265" s="15"/>
      <c r="M265" s="110"/>
      <c r="N265" s="15"/>
      <c r="O265" s="110"/>
      <c r="P265" s="15"/>
      <c r="Q265" s="110"/>
      <c r="R265" s="15"/>
      <c r="S265" s="110"/>
      <c r="T265" s="15"/>
    </row>
    <row r="266" spans="8:20" x14ac:dyDescent="0.2">
      <c r="H266" s="15"/>
      <c r="I266" s="110"/>
      <c r="J266" s="15"/>
      <c r="K266" s="110"/>
      <c r="L266" s="15"/>
      <c r="M266" s="110"/>
      <c r="N266" s="15"/>
      <c r="O266" s="110"/>
      <c r="P266" s="15"/>
      <c r="Q266" s="110"/>
      <c r="R266" s="15"/>
      <c r="S266" s="110"/>
      <c r="T266" s="15"/>
    </row>
    <row r="267" spans="8:20" x14ac:dyDescent="0.2">
      <c r="H267" s="15"/>
      <c r="I267" s="110"/>
      <c r="J267" s="15"/>
      <c r="K267" s="110"/>
      <c r="L267" s="15"/>
      <c r="M267" s="110"/>
      <c r="N267" s="15"/>
      <c r="O267" s="110"/>
      <c r="P267" s="15"/>
      <c r="Q267" s="110"/>
      <c r="R267" s="15"/>
      <c r="S267" s="110"/>
      <c r="T267" s="15"/>
    </row>
    <row r="268" spans="8:20" x14ac:dyDescent="0.2">
      <c r="H268" s="15"/>
      <c r="I268" s="110"/>
      <c r="J268" s="15"/>
      <c r="K268" s="110"/>
      <c r="L268" s="15"/>
      <c r="M268" s="110"/>
      <c r="N268" s="15"/>
      <c r="O268" s="110"/>
      <c r="P268" s="15"/>
      <c r="Q268" s="110"/>
      <c r="R268" s="15"/>
      <c r="S268" s="110"/>
      <c r="T268" s="15"/>
    </row>
    <row r="269" spans="8:20" x14ac:dyDescent="0.2">
      <c r="H269" s="15"/>
      <c r="I269" s="110"/>
      <c r="J269" s="15"/>
      <c r="K269" s="110"/>
      <c r="L269" s="15"/>
      <c r="M269" s="110"/>
      <c r="N269" s="15"/>
      <c r="O269" s="110"/>
      <c r="P269" s="15"/>
      <c r="Q269" s="110"/>
      <c r="R269" s="15"/>
      <c r="S269" s="110"/>
      <c r="T269" s="15"/>
    </row>
    <row r="270" spans="8:20" x14ac:dyDescent="0.2">
      <c r="H270" s="15"/>
      <c r="I270" s="110"/>
      <c r="J270" s="15"/>
      <c r="K270" s="110"/>
      <c r="L270" s="15"/>
      <c r="M270" s="110"/>
      <c r="N270" s="15"/>
      <c r="O270" s="110"/>
      <c r="P270" s="15"/>
      <c r="Q270" s="110"/>
      <c r="R270" s="15"/>
      <c r="S270" s="110"/>
      <c r="T270" s="15"/>
    </row>
    <row r="271" spans="8:20" x14ac:dyDescent="0.2">
      <c r="H271" s="15"/>
      <c r="I271" s="110"/>
      <c r="J271" s="15"/>
      <c r="K271" s="110"/>
      <c r="L271" s="15"/>
      <c r="M271" s="110"/>
      <c r="N271" s="15"/>
      <c r="O271" s="110"/>
      <c r="P271" s="15"/>
      <c r="Q271" s="110"/>
      <c r="R271" s="15"/>
      <c r="S271" s="110"/>
      <c r="T271" s="15"/>
    </row>
    <row r="272" spans="8:20" x14ac:dyDescent="0.2">
      <c r="H272" s="15"/>
      <c r="I272" s="110"/>
      <c r="J272" s="15"/>
      <c r="K272" s="110"/>
      <c r="L272" s="15"/>
      <c r="M272" s="110"/>
      <c r="N272" s="15"/>
      <c r="O272" s="110"/>
      <c r="P272" s="15"/>
      <c r="Q272" s="110"/>
      <c r="R272" s="15"/>
      <c r="S272" s="110"/>
      <c r="T272" s="15"/>
    </row>
    <row r="273" spans="8:20" x14ac:dyDescent="0.2">
      <c r="H273" s="15"/>
      <c r="I273" s="110"/>
      <c r="J273" s="15"/>
      <c r="K273" s="110"/>
      <c r="L273" s="15"/>
      <c r="M273" s="110"/>
      <c r="N273" s="15"/>
      <c r="O273" s="110"/>
      <c r="P273" s="15"/>
      <c r="Q273" s="110"/>
      <c r="R273" s="15"/>
      <c r="S273" s="110"/>
      <c r="T273" s="15"/>
    </row>
    <row r="274" spans="8:20" x14ac:dyDescent="0.2">
      <c r="H274" s="15"/>
      <c r="I274" s="110"/>
      <c r="J274" s="15"/>
      <c r="K274" s="110"/>
      <c r="L274" s="15"/>
      <c r="M274" s="110"/>
      <c r="N274" s="15"/>
      <c r="O274" s="110"/>
      <c r="P274" s="15"/>
      <c r="Q274" s="110"/>
      <c r="R274" s="15"/>
      <c r="S274" s="110"/>
      <c r="T274" s="15"/>
    </row>
    <row r="275" spans="8:20" x14ac:dyDescent="0.2">
      <c r="H275" s="15"/>
      <c r="I275" s="110"/>
      <c r="J275" s="15"/>
      <c r="K275" s="110"/>
      <c r="L275" s="15"/>
      <c r="M275" s="110"/>
      <c r="N275" s="15"/>
      <c r="O275" s="110"/>
      <c r="P275" s="15"/>
      <c r="Q275" s="110"/>
      <c r="R275" s="15"/>
      <c r="S275" s="110"/>
      <c r="T275" s="15"/>
    </row>
    <row r="276" spans="8:20" x14ac:dyDescent="0.2">
      <c r="H276" s="15"/>
      <c r="I276" s="110"/>
      <c r="J276" s="15"/>
      <c r="K276" s="110"/>
      <c r="L276" s="15"/>
      <c r="M276" s="110"/>
      <c r="N276" s="15"/>
      <c r="O276" s="110"/>
      <c r="P276" s="15"/>
      <c r="Q276" s="110"/>
      <c r="R276" s="15"/>
      <c r="S276" s="110"/>
      <c r="T276" s="15"/>
    </row>
    <row r="277" spans="8:20" x14ac:dyDescent="0.2">
      <c r="H277" s="15"/>
      <c r="I277" s="110"/>
      <c r="J277" s="15"/>
      <c r="K277" s="110"/>
      <c r="L277" s="15"/>
      <c r="M277" s="110"/>
      <c r="N277" s="15"/>
      <c r="O277" s="110"/>
      <c r="P277" s="15"/>
      <c r="Q277" s="110"/>
      <c r="R277" s="15"/>
      <c r="S277" s="110"/>
      <c r="T277" s="15"/>
    </row>
    <row r="278" spans="8:20" x14ac:dyDescent="0.2">
      <c r="H278" s="15"/>
      <c r="I278" s="110"/>
      <c r="J278" s="15"/>
      <c r="K278" s="110"/>
      <c r="L278" s="15"/>
      <c r="M278" s="110"/>
      <c r="N278" s="15"/>
      <c r="O278" s="110"/>
      <c r="P278" s="15"/>
      <c r="Q278" s="110"/>
      <c r="R278" s="15"/>
      <c r="S278" s="110"/>
      <c r="T278" s="15"/>
    </row>
    <row r="279" spans="8:20" x14ac:dyDescent="0.2">
      <c r="H279" s="15"/>
      <c r="I279" s="110"/>
      <c r="J279" s="15"/>
      <c r="K279" s="110"/>
      <c r="L279" s="15"/>
      <c r="M279" s="110"/>
      <c r="N279" s="15"/>
      <c r="O279" s="110"/>
      <c r="P279" s="15"/>
      <c r="Q279" s="110"/>
      <c r="R279" s="15"/>
      <c r="S279" s="110"/>
      <c r="T279" s="15"/>
    </row>
    <row r="280" spans="8:20" x14ac:dyDescent="0.2">
      <c r="H280" s="15"/>
      <c r="I280" s="110"/>
      <c r="J280" s="15"/>
      <c r="K280" s="110"/>
      <c r="L280" s="15"/>
      <c r="M280" s="110"/>
      <c r="N280" s="15"/>
      <c r="O280" s="110"/>
      <c r="P280" s="15"/>
      <c r="Q280" s="110"/>
      <c r="R280" s="15"/>
      <c r="S280" s="110"/>
      <c r="T280" s="15"/>
    </row>
    <row r="281" spans="8:20" x14ac:dyDescent="0.2">
      <c r="H281" s="15"/>
      <c r="I281" s="110"/>
      <c r="J281" s="15"/>
      <c r="K281" s="110"/>
      <c r="L281" s="15"/>
      <c r="M281" s="110"/>
      <c r="N281" s="15"/>
      <c r="O281" s="110"/>
      <c r="P281" s="15"/>
      <c r="Q281" s="110"/>
      <c r="R281" s="15"/>
      <c r="S281" s="110"/>
      <c r="T281" s="15"/>
    </row>
    <row r="282" spans="8:20" x14ac:dyDescent="0.2">
      <c r="H282" s="15"/>
      <c r="I282" s="110"/>
      <c r="J282" s="15"/>
      <c r="K282" s="110"/>
      <c r="L282" s="15"/>
      <c r="M282" s="110"/>
      <c r="N282" s="15"/>
      <c r="O282" s="110"/>
      <c r="P282" s="15"/>
      <c r="Q282" s="110"/>
      <c r="R282" s="15"/>
      <c r="S282" s="110"/>
      <c r="T282" s="15"/>
    </row>
    <row r="283" spans="8:20" x14ac:dyDescent="0.2">
      <c r="H283" s="15"/>
      <c r="I283" s="110"/>
      <c r="J283" s="15"/>
      <c r="K283" s="110"/>
      <c r="L283" s="15"/>
      <c r="M283" s="110"/>
      <c r="N283" s="15"/>
      <c r="O283" s="110"/>
      <c r="P283" s="15"/>
      <c r="Q283" s="110"/>
      <c r="R283" s="15"/>
      <c r="S283" s="110"/>
      <c r="T283" s="15"/>
    </row>
    <row r="284" spans="8:20" x14ac:dyDescent="0.2">
      <c r="H284" s="15"/>
      <c r="I284" s="110"/>
      <c r="J284" s="15"/>
      <c r="K284" s="110"/>
      <c r="L284" s="15"/>
      <c r="M284" s="110"/>
      <c r="N284" s="15"/>
      <c r="O284" s="110"/>
      <c r="P284" s="15"/>
      <c r="Q284" s="110"/>
      <c r="R284" s="15"/>
      <c r="S284" s="110"/>
      <c r="T284" s="15"/>
    </row>
    <row r="285" spans="8:20" x14ac:dyDescent="0.2">
      <c r="H285" s="15"/>
      <c r="I285" s="110"/>
      <c r="J285" s="15"/>
      <c r="K285" s="110"/>
      <c r="L285" s="15"/>
      <c r="M285" s="110"/>
      <c r="N285" s="15"/>
      <c r="O285" s="110"/>
      <c r="P285" s="15"/>
      <c r="Q285" s="110"/>
      <c r="R285" s="15"/>
      <c r="S285" s="110"/>
      <c r="T285" s="15"/>
    </row>
    <row r="286" spans="8:20" x14ac:dyDescent="0.2">
      <c r="H286" s="15"/>
      <c r="I286" s="110"/>
      <c r="J286" s="15"/>
      <c r="K286" s="110"/>
      <c r="L286" s="15"/>
      <c r="M286" s="110"/>
      <c r="N286" s="15"/>
      <c r="O286" s="110"/>
      <c r="P286" s="15"/>
      <c r="Q286" s="110"/>
      <c r="R286" s="15"/>
      <c r="S286" s="110"/>
      <c r="T286" s="15"/>
    </row>
    <row r="287" spans="8:20" x14ac:dyDescent="0.2">
      <c r="H287" s="15"/>
      <c r="I287" s="110"/>
      <c r="J287" s="15"/>
      <c r="K287" s="110"/>
      <c r="L287" s="15"/>
      <c r="M287" s="110"/>
      <c r="N287" s="15"/>
      <c r="O287" s="110"/>
      <c r="P287" s="15"/>
      <c r="Q287" s="110"/>
      <c r="R287" s="15"/>
      <c r="S287" s="110"/>
      <c r="T287" s="15"/>
    </row>
    <row r="288" spans="8:20" x14ac:dyDescent="0.2">
      <c r="H288" s="15"/>
      <c r="I288" s="110"/>
      <c r="J288" s="15"/>
      <c r="K288" s="110"/>
      <c r="L288" s="15"/>
      <c r="M288" s="110"/>
      <c r="N288" s="15"/>
      <c r="O288" s="110"/>
      <c r="P288" s="15"/>
      <c r="Q288" s="110"/>
      <c r="R288" s="15"/>
      <c r="S288" s="110"/>
      <c r="T288" s="15"/>
    </row>
    <row r="289" spans="8:20" x14ac:dyDescent="0.2">
      <c r="H289" s="15"/>
      <c r="I289" s="110"/>
      <c r="J289" s="15"/>
      <c r="K289" s="110"/>
      <c r="L289" s="15"/>
      <c r="M289" s="110"/>
      <c r="N289" s="15"/>
      <c r="O289" s="110"/>
      <c r="P289" s="15"/>
      <c r="Q289" s="110"/>
      <c r="R289" s="15"/>
      <c r="S289" s="110"/>
      <c r="T289" s="15"/>
    </row>
    <row r="290" spans="8:20" x14ac:dyDescent="0.2">
      <c r="H290" s="15"/>
      <c r="I290" s="110"/>
      <c r="J290" s="15"/>
      <c r="K290" s="110"/>
      <c r="L290" s="15"/>
      <c r="M290" s="110"/>
      <c r="N290" s="15"/>
      <c r="O290" s="110"/>
      <c r="P290" s="15"/>
      <c r="Q290" s="110"/>
      <c r="R290" s="15"/>
      <c r="S290" s="110"/>
      <c r="T290" s="15"/>
    </row>
    <row r="291" spans="8:20" x14ac:dyDescent="0.2">
      <c r="H291" s="15"/>
      <c r="I291" s="110"/>
      <c r="J291" s="15"/>
      <c r="K291" s="110"/>
      <c r="L291" s="15"/>
      <c r="M291" s="110"/>
      <c r="N291" s="15"/>
      <c r="O291" s="110"/>
      <c r="P291" s="15"/>
      <c r="Q291" s="110"/>
      <c r="R291" s="15"/>
      <c r="S291" s="110"/>
      <c r="T291" s="15"/>
    </row>
    <row r="292" spans="8:20" x14ac:dyDescent="0.2">
      <c r="H292" s="15"/>
      <c r="I292" s="110"/>
      <c r="J292" s="15"/>
      <c r="K292" s="110"/>
      <c r="L292" s="15"/>
      <c r="M292" s="110"/>
      <c r="N292" s="15"/>
      <c r="O292" s="110"/>
      <c r="P292" s="15"/>
      <c r="Q292" s="110"/>
      <c r="R292" s="15"/>
      <c r="S292" s="110"/>
      <c r="T292" s="15"/>
    </row>
    <row r="293" spans="8:20" x14ac:dyDescent="0.2">
      <c r="H293" s="15"/>
      <c r="I293" s="110"/>
      <c r="J293" s="15"/>
      <c r="K293" s="110"/>
      <c r="L293" s="15"/>
      <c r="M293" s="110"/>
      <c r="N293" s="15"/>
      <c r="O293" s="110"/>
      <c r="P293" s="15"/>
      <c r="Q293" s="110"/>
      <c r="R293" s="15"/>
      <c r="S293" s="110"/>
      <c r="T293" s="15"/>
    </row>
    <row r="294" spans="8:20" x14ac:dyDescent="0.2">
      <c r="H294" s="15"/>
      <c r="I294" s="110"/>
      <c r="J294" s="15"/>
      <c r="K294" s="110"/>
      <c r="L294" s="15"/>
      <c r="M294" s="110"/>
      <c r="N294" s="15"/>
      <c r="O294" s="110"/>
      <c r="P294" s="15"/>
      <c r="Q294" s="110"/>
      <c r="R294" s="15"/>
      <c r="S294" s="110"/>
      <c r="T294" s="15"/>
    </row>
    <row r="295" spans="8:20" x14ac:dyDescent="0.2">
      <c r="H295" s="15"/>
      <c r="I295" s="110"/>
      <c r="J295" s="15"/>
      <c r="K295" s="110"/>
      <c r="L295" s="15"/>
      <c r="M295" s="110"/>
      <c r="N295" s="15"/>
      <c r="O295" s="110"/>
      <c r="P295" s="15"/>
      <c r="Q295" s="110"/>
      <c r="R295" s="15"/>
      <c r="S295" s="110"/>
      <c r="T295" s="15"/>
    </row>
    <row r="296" spans="8:20" x14ac:dyDescent="0.2">
      <c r="H296" s="15"/>
      <c r="I296" s="110"/>
      <c r="J296" s="15"/>
      <c r="K296" s="110"/>
      <c r="L296" s="15"/>
      <c r="M296" s="110"/>
      <c r="N296" s="15"/>
      <c r="O296" s="110"/>
      <c r="P296" s="15"/>
      <c r="Q296" s="110"/>
      <c r="R296" s="15"/>
      <c r="S296" s="110"/>
      <c r="T296" s="15"/>
    </row>
    <row r="297" spans="8:20" x14ac:dyDescent="0.2">
      <c r="H297" s="15"/>
      <c r="I297" s="110"/>
      <c r="J297" s="15"/>
      <c r="K297" s="110"/>
      <c r="L297" s="15"/>
      <c r="M297" s="110"/>
      <c r="N297" s="15"/>
      <c r="O297" s="110"/>
      <c r="P297" s="15"/>
      <c r="Q297" s="110"/>
      <c r="R297" s="15"/>
      <c r="S297" s="110"/>
      <c r="T297" s="15"/>
    </row>
    <row r="298" spans="8:20" x14ac:dyDescent="0.2">
      <c r="H298" s="15"/>
      <c r="I298" s="110"/>
      <c r="J298" s="15"/>
      <c r="K298" s="110"/>
      <c r="L298" s="15"/>
      <c r="M298" s="110"/>
      <c r="N298" s="15"/>
      <c r="O298" s="110"/>
      <c r="P298" s="15"/>
      <c r="Q298" s="110"/>
      <c r="R298" s="15"/>
      <c r="S298" s="110"/>
      <c r="T298" s="15"/>
    </row>
    <row r="299" spans="8:20" x14ac:dyDescent="0.2">
      <c r="H299" s="15"/>
      <c r="I299" s="110"/>
      <c r="J299" s="15"/>
      <c r="K299" s="110"/>
      <c r="L299" s="15"/>
      <c r="M299" s="110"/>
      <c r="N299" s="15"/>
      <c r="O299" s="110"/>
      <c r="P299" s="15"/>
      <c r="Q299" s="110"/>
      <c r="R299" s="15"/>
      <c r="S299" s="110"/>
      <c r="T299" s="15"/>
    </row>
    <row r="300" spans="8:20" x14ac:dyDescent="0.2">
      <c r="H300" s="15"/>
      <c r="I300" s="110"/>
      <c r="J300" s="15"/>
      <c r="K300" s="110"/>
      <c r="L300" s="15"/>
      <c r="M300" s="110"/>
      <c r="N300" s="15"/>
      <c r="O300" s="110"/>
      <c r="P300" s="15"/>
      <c r="Q300" s="110"/>
      <c r="R300" s="15"/>
      <c r="S300" s="110"/>
      <c r="T300" s="15"/>
    </row>
    <row r="301" spans="8:20" x14ac:dyDescent="0.2">
      <c r="H301" s="15"/>
      <c r="I301" s="110"/>
      <c r="J301" s="15"/>
      <c r="K301" s="110"/>
      <c r="L301" s="15"/>
      <c r="M301" s="110"/>
      <c r="N301" s="15"/>
      <c r="O301" s="110"/>
      <c r="P301" s="15"/>
      <c r="Q301" s="110"/>
      <c r="R301" s="15"/>
      <c r="S301" s="110"/>
      <c r="T301" s="15"/>
    </row>
    <row r="302" spans="8:20" x14ac:dyDescent="0.2">
      <c r="H302" s="15"/>
      <c r="I302" s="110"/>
      <c r="J302" s="15"/>
      <c r="K302" s="110"/>
      <c r="L302" s="15"/>
      <c r="M302" s="110"/>
      <c r="N302" s="15"/>
      <c r="O302" s="110"/>
      <c r="P302" s="15"/>
      <c r="Q302" s="110"/>
      <c r="R302" s="15"/>
      <c r="S302" s="110"/>
      <c r="T302" s="15"/>
    </row>
    <row r="303" spans="8:20" x14ac:dyDescent="0.2">
      <c r="H303" s="15"/>
      <c r="I303" s="110"/>
      <c r="J303" s="15"/>
      <c r="K303" s="110"/>
      <c r="L303" s="15"/>
      <c r="M303" s="110"/>
      <c r="N303" s="15"/>
      <c r="O303" s="110"/>
      <c r="P303" s="15"/>
      <c r="Q303" s="110"/>
      <c r="R303" s="15"/>
      <c r="S303" s="110"/>
      <c r="T303" s="15"/>
    </row>
    <row r="304" spans="8:20" x14ac:dyDescent="0.2">
      <c r="H304" s="15"/>
      <c r="I304" s="110"/>
      <c r="J304" s="15"/>
      <c r="K304" s="110"/>
      <c r="L304" s="15"/>
      <c r="M304" s="110"/>
      <c r="N304" s="15"/>
      <c r="O304" s="110"/>
      <c r="P304" s="15"/>
      <c r="Q304" s="110"/>
      <c r="R304" s="15"/>
      <c r="S304" s="110"/>
      <c r="T304" s="15"/>
    </row>
    <row r="305" spans="8:20" x14ac:dyDescent="0.2">
      <c r="H305" s="15"/>
      <c r="I305" s="110"/>
      <c r="J305" s="15"/>
      <c r="K305" s="110"/>
      <c r="L305" s="15"/>
      <c r="M305" s="110"/>
      <c r="N305" s="15"/>
      <c r="O305" s="110"/>
      <c r="P305" s="15"/>
      <c r="Q305" s="110"/>
      <c r="R305" s="15"/>
      <c r="S305" s="110"/>
      <c r="T305" s="15"/>
    </row>
    <row r="306" spans="8:20" x14ac:dyDescent="0.2">
      <c r="H306" s="15"/>
      <c r="I306" s="110"/>
      <c r="J306" s="15"/>
      <c r="K306" s="110"/>
      <c r="L306" s="15"/>
      <c r="M306" s="110"/>
      <c r="N306" s="15"/>
      <c r="O306" s="110"/>
      <c r="P306" s="15"/>
      <c r="Q306" s="110"/>
      <c r="R306" s="15"/>
      <c r="S306" s="110"/>
      <c r="T306" s="15"/>
    </row>
    <row r="307" spans="8:20" x14ac:dyDescent="0.2">
      <c r="H307" s="15"/>
      <c r="I307" s="110"/>
      <c r="J307" s="15"/>
      <c r="K307" s="110"/>
      <c r="L307" s="15"/>
      <c r="M307" s="110"/>
      <c r="N307" s="15"/>
      <c r="O307" s="110"/>
      <c r="P307" s="15"/>
      <c r="Q307" s="110"/>
      <c r="R307" s="15"/>
      <c r="S307" s="110"/>
      <c r="T307" s="15"/>
    </row>
    <row r="308" spans="8:20" x14ac:dyDescent="0.2">
      <c r="H308" s="15"/>
      <c r="I308" s="110"/>
      <c r="J308" s="15"/>
      <c r="K308" s="110"/>
      <c r="L308" s="15"/>
      <c r="M308" s="110"/>
      <c r="N308" s="15"/>
      <c r="O308" s="110"/>
      <c r="P308" s="15"/>
      <c r="Q308" s="110"/>
      <c r="R308" s="15"/>
      <c r="S308" s="110"/>
      <c r="T308" s="15"/>
    </row>
    <row r="309" spans="8:20" x14ac:dyDescent="0.2">
      <c r="H309" s="15"/>
      <c r="I309" s="110"/>
      <c r="J309" s="15"/>
      <c r="K309" s="110"/>
      <c r="L309" s="15"/>
      <c r="M309" s="110"/>
      <c r="N309" s="15"/>
      <c r="O309" s="110"/>
      <c r="P309" s="15"/>
      <c r="Q309" s="110"/>
      <c r="R309" s="15"/>
      <c r="S309" s="110"/>
      <c r="T309" s="15"/>
    </row>
    <row r="310" spans="8:20" x14ac:dyDescent="0.2">
      <c r="H310" s="15"/>
      <c r="I310" s="110"/>
      <c r="J310" s="15"/>
      <c r="K310" s="110"/>
      <c r="L310" s="15"/>
      <c r="M310" s="110"/>
      <c r="N310" s="15"/>
      <c r="O310" s="110"/>
      <c r="P310" s="15"/>
      <c r="Q310" s="110"/>
      <c r="R310" s="15"/>
      <c r="S310" s="110"/>
      <c r="T310" s="15"/>
    </row>
    <row r="311" spans="8:20" x14ac:dyDescent="0.2">
      <c r="H311" s="15"/>
      <c r="I311" s="110"/>
      <c r="J311" s="15"/>
      <c r="K311" s="110"/>
      <c r="L311" s="15"/>
      <c r="M311" s="110"/>
      <c r="N311" s="15"/>
      <c r="O311" s="110"/>
      <c r="P311" s="15"/>
      <c r="Q311" s="110"/>
      <c r="R311" s="15"/>
      <c r="S311" s="110"/>
      <c r="T311" s="15"/>
    </row>
    <row r="312" spans="8:20" x14ac:dyDescent="0.2">
      <c r="H312" s="15"/>
      <c r="I312" s="110"/>
      <c r="J312" s="15"/>
      <c r="K312" s="110"/>
      <c r="L312" s="15"/>
      <c r="M312" s="110"/>
      <c r="N312" s="15"/>
      <c r="O312" s="110"/>
      <c r="P312" s="15"/>
      <c r="Q312" s="110"/>
      <c r="R312" s="15"/>
      <c r="S312" s="110"/>
      <c r="T312" s="15"/>
    </row>
    <row r="313" spans="8:20" x14ac:dyDescent="0.2">
      <c r="H313" s="15"/>
      <c r="I313" s="110"/>
      <c r="J313" s="15"/>
      <c r="K313" s="110"/>
      <c r="L313" s="15"/>
      <c r="M313" s="110"/>
      <c r="N313" s="15"/>
      <c r="O313" s="110"/>
      <c r="P313" s="15"/>
      <c r="Q313" s="110"/>
      <c r="R313" s="15"/>
      <c r="S313" s="110"/>
      <c r="T313" s="15"/>
    </row>
    <row r="314" spans="8:20" x14ac:dyDescent="0.2">
      <c r="H314" s="15"/>
      <c r="I314" s="110"/>
      <c r="J314" s="15"/>
      <c r="K314" s="110"/>
      <c r="L314" s="15"/>
      <c r="M314" s="110"/>
      <c r="N314" s="15"/>
      <c r="O314" s="110"/>
      <c r="P314" s="15"/>
      <c r="Q314" s="110"/>
      <c r="R314" s="15"/>
      <c r="S314" s="110"/>
      <c r="T314" s="15"/>
    </row>
    <row r="315" spans="8:20" x14ac:dyDescent="0.2">
      <c r="H315" s="15"/>
      <c r="I315" s="110"/>
      <c r="J315" s="15"/>
      <c r="K315" s="110"/>
      <c r="L315" s="15"/>
      <c r="M315" s="110"/>
      <c r="N315" s="15"/>
      <c r="O315" s="110"/>
      <c r="P315" s="15"/>
      <c r="Q315" s="110"/>
      <c r="R315" s="15"/>
      <c r="S315" s="110"/>
      <c r="T315" s="15"/>
    </row>
    <row r="316" spans="8:20" x14ac:dyDescent="0.2">
      <c r="H316" s="15"/>
      <c r="I316" s="110"/>
      <c r="J316" s="15"/>
      <c r="K316" s="110"/>
      <c r="L316" s="15"/>
      <c r="M316" s="110"/>
      <c r="N316" s="15"/>
      <c r="O316" s="110"/>
      <c r="P316" s="15"/>
      <c r="Q316" s="110"/>
      <c r="R316" s="15"/>
      <c r="S316" s="110"/>
      <c r="T316" s="15"/>
    </row>
    <row r="317" spans="8:20" x14ac:dyDescent="0.2">
      <c r="H317" s="15"/>
      <c r="I317" s="110"/>
      <c r="J317" s="15"/>
      <c r="K317" s="110"/>
      <c r="L317" s="15"/>
      <c r="M317" s="110"/>
      <c r="N317" s="15"/>
      <c r="O317" s="110"/>
      <c r="P317" s="15"/>
      <c r="Q317" s="110"/>
      <c r="R317" s="15"/>
      <c r="S317" s="110"/>
      <c r="T317" s="15"/>
    </row>
    <row r="318" spans="8:20" x14ac:dyDescent="0.2">
      <c r="H318" s="15"/>
      <c r="I318" s="110"/>
      <c r="J318" s="15"/>
      <c r="K318" s="110"/>
      <c r="L318" s="15"/>
      <c r="M318" s="110"/>
      <c r="N318" s="15"/>
      <c r="O318" s="110"/>
      <c r="P318" s="15"/>
      <c r="Q318" s="110"/>
      <c r="R318" s="15"/>
      <c r="S318" s="110"/>
      <c r="T318" s="15"/>
    </row>
    <row r="319" spans="8:20" x14ac:dyDescent="0.2">
      <c r="H319" s="15"/>
      <c r="I319" s="110"/>
      <c r="J319" s="15"/>
      <c r="K319" s="110"/>
      <c r="L319" s="15"/>
      <c r="M319" s="110"/>
      <c r="N319" s="15"/>
      <c r="O319" s="110"/>
      <c r="P319" s="15"/>
      <c r="Q319" s="110"/>
      <c r="R319" s="15"/>
      <c r="S319" s="110"/>
      <c r="T319" s="15"/>
    </row>
    <row r="320" spans="8:20" x14ac:dyDescent="0.2">
      <c r="H320" s="15"/>
      <c r="I320" s="110"/>
      <c r="J320" s="15"/>
      <c r="K320" s="110"/>
      <c r="L320" s="15"/>
      <c r="M320" s="110"/>
      <c r="N320" s="15"/>
      <c r="O320" s="110"/>
      <c r="P320" s="15"/>
      <c r="Q320" s="110"/>
      <c r="R320" s="15"/>
      <c r="S320" s="110"/>
      <c r="T320" s="15"/>
    </row>
    <row r="321" spans="8:20" x14ac:dyDescent="0.2">
      <c r="H321" s="15"/>
      <c r="I321" s="110"/>
      <c r="J321" s="15"/>
      <c r="K321" s="110"/>
      <c r="L321" s="15"/>
      <c r="M321" s="110"/>
      <c r="N321" s="15"/>
      <c r="O321" s="110"/>
      <c r="P321" s="15"/>
      <c r="Q321" s="110"/>
      <c r="R321" s="15"/>
      <c r="S321" s="110"/>
      <c r="T321" s="15"/>
    </row>
    <row r="322" spans="8:20" x14ac:dyDescent="0.2">
      <c r="H322" s="15"/>
      <c r="I322" s="110"/>
      <c r="J322" s="15"/>
      <c r="K322" s="110"/>
      <c r="L322" s="15"/>
      <c r="M322" s="110"/>
      <c r="N322" s="15"/>
      <c r="O322" s="110"/>
      <c r="P322" s="15"/>
      <c r="Q322" s="110"/>
      <c r="R322" s="15"/>
      <c r="S322" s="110"/>
      <c r="T322" s="15"/>
    </row>
    <row r="323" spans="8:20" x14ac:dyDescent="0.2">
      <c r="H323" s="15"/>
      <c r="I323" s="110"/>
      <c r="J323" s="15"/>
      <c r="K323" s="110"/>
      <c r="L323" s="15"/>
      <c r="M323" s="110"/>
      <c r="N323" s="15"/>
      <c r="O323" s="110"/>
      <c r="P323" s="15"/>
      <c r="Q323" s="110"/>
      <c r="R323" s="15"/>
      <c r="S323" s="110"/>
      <c r="T323" s="15"/>
    </row>
    <row r="324" spans="8:20" x14ac:dyDescent="0.2">
      <c r="H324" s="15"/>
      <c r="I324" s="110"/>
      <c r="J324" s="15"/>
      <c r="K324" s="110"/>
      <c r="L324" s="15"/>
      <c r="M324" s="110"/>
      <c r="N324" s="15"/>
      <c r="O324" s="110"/>
      <c r="P324" s="15"/>
      <c r="Q324" s="110"/>
      <c r="R324" s="15"/>
      <c r="S324" s="110"/>
      <c r="T324" s="15"/>
    </row>
    <row r="325" spans="8:20" x14ac:dyDescent="0.2">
      <c r="H325" s="15"/>
      <c r="I325" s="110"/>
      <c r="J325" s="15"/>
      <c r="K325" s="110"/>
      <c r="L325" s="15"/>
      <c r="M325" s="110"/>
      <c r="N325" s="15"/>
      <c r="O325" s="110"/>
      <c r="P325" s="15"/>
      <c r="Q325" s="110"/>
      <c r="R325" s="15"/>
      <c r="S325" s="110"/>
      <c r="T325" s="15"/>
    </row>
    <row r="326" spans="8:20" x14ac:dyDescent="0.2">
      <c r="H326" s="15"/>
      <c r="I326" s="110"/>
      <c r="J326" s="15"/>
      <c r="K326" s="110"/>
      <c r="L326" s="15"/>
      <c r="M326" s="110"/>
      <c r="N326" s="15"/>
      <c r="O326" s="110"/>
      <c r="P326" s="15"/>
      <c r="Q326" s="110"/>
      <c r="R326" s="15"/>
      <c r="S326" s="110"/>
      <c r="T326" s="15"/>
    </row>
    <row r="327" spans="8:20" x14ac:dyDescent="0.2">
      <c r="H327" s="15"/>
      <c r="I327" s="110"/>
      <c r="J327" s="15"/>
      <c r="K327" s="110"/>
      <c r="L327" s="15"/>
      <c r="M327" s="110"/>
      <c r="N327" s="15"/>
      <c r="O327" s="110"/>
      <c r="P327" s="15"/>
      <c r="Q327" s="110"/>
      <c r="R327" s="15"/>
      <c r="S327" s="110"/>
      <c r="T327" s="15"/>
    </row>
    <row r="328" spans="8:20" x14ac:dyDescent="0.2">
      <c r="H328" s="15"/>
      <c r="I328" s="110"/>
      <c r="J328" s="15"/>
      <c r="K328" s="110"/>
      <c r="L328" s="15"/>
      <c r="M328" s="110"/>
      <c r="N328" s="15"/>
      <c r="O328" s="110"/>
      <c r="P328" s="15"/>
      <c r="Q328" s="110"/>
      <c r="R328" s="15"/>
      <c r="S328" s="110"/>
      <c r="T328" s="15"/>
    </row>
    <row r="329" spans="8:20" x14ac:dyDescent="0.2">
      <c r="H329" s="15"/>
      <c r="I329" s="110"/>
      <c r="J329" s="15"/>
      <c r="K329" s="110"/>
      <c r="L329" s="15"/>
      <c r="M329" s="110"/>
      <c r="N329" s="15"/>
      <c r="O329" s="110"/>
      <c r="P329" s="15"/>
      <c r="Q329" s="110"/>
      <c r="R329" s="15"/>
      <c r="S329" s="110"/>
      <c r="T329" s="15"/>
    </row>
    <row r="330" spans="8:20" x14ac:dyDescent="0.2">
      <c r="H330" s="15"/>
      <c r="I330" s="110"/>
      <c r="J330" s="15"/>
      <c r="K330" s="110"/>
      <c r="L330" s="15"/>
      <c r="M330" s="110"/>
      <c r="N330" s="15"/>
      <c r="O330" s="110"/>
      <c r="P330" s="15"/>
      <c r="Q330" s="110"/>
      <c r="R330" s="15"/>
      <c r="S330" s="110"/>
      <c r="T330" s="15"/>
    </row>
    <row r="331" spans="8:20" x14ac:dyDescent="0.2">
      <c r="H331" s="15"/>
      <c r="I331" s="110"/>
      <c r="J331" s="15"/>
      <c r="K331" s="110"/>
      <c r="L331" s="15"/>
      <c r="M331" s="110"/>
      <c r="N331" s="15"/>
      <c r="O331" s="110"/>
      <c r="P331" s="15"/>
      <c r="Q331" s="110"/>
      <c r="R331" s="15"/>
      <c r="S331" s="110"/>
      <c r="T331" s="15"/>
    </row>
    <row r="332" spans="8:20" x14ac:dyDescent="0.2">
      <c r="H332" s="15"/>
      <c r="I332" s="110"/>
      <c r="J332" s="15"/>
      <c r="K332" s="110"/>
      <c r="L332" s="15"/>
      <c r="M332" s="110"/>
      <c r="N332" s="15"/>
      <c r="O332" s="110"/>
      <c r="P332" s="15"/>
      <c r="Q332" s="110"/>
      <c r="R332" s="15"/>
      <c r="S332" s="110"/>
      <c r="T332" s="15"/>
    </row>
    <row r="333" spans="8:20" x14ac:dyDescent="0.2">
      <c r="H333" s="15"/>
      <c r="I333" s="110"/>
      <c r="J333" s="15"/>
      <c r="K333" s="110"/>
      <c r="L333" s="15"/>
      <c r="M333" s="110"/>
      <c r="N333" s="15"/>
      <c r="O333" s="110"/>
      <c r="P333" s="15"/>
      <c r="Q333" s="110"/>
      <c r="R333" s="15"/>
      <c r="S333" s="110"/>
      <c r="T333" s="15"/>
    </row>
    <row r="334" spans="8:20" x14ac:dyDescent="0.2">
      <c r="H334" s="15"/>
      <c r="I334" s="110"/>
      <c r="J334" s="15"/>
      <c r="K334" s="110"/>
      <c r="L334" s="15"/>
      <c r="M334" s="110"/>
      <c r="N334" s="15"/>
      <c r="O334" s="110"/>
      <c r="P334" s="15"/>
      <c r="Q334" s="110"/>
      <c r="R334" s="15"/>
      <c r="S334" s="110"/>
      <c r="T334" s="15"/>
    </row>
    <row r="335" spans="8:20" x14ac:dyDescent="0.2">
      <c r="H335" s="15"/>
      <c r="I335" s="110"/>
      <c r="J335" s="15"/>
      <c r="K335" s="110"/>
      <c r="L335" s="15"/>
      <c r="M335" s="110"/>
      <c r="N335" s="15"/>
      <c r="O335" s="110"/>
      <c r="P335" s="15"/>
      <c r="Q335" s="110"/>
      <c r="R335" s="15"/>
      <c r="S335" s="110"/>
      <c r="T335" s="15"/>
    </row>
    <row r="336" spans="8:20" x14ac:dyDescent="0.2">
      <c r="H336" s="15"/>
      <c r="I336" s="110"/>
      <c r="J336" s="15"/>
      <c r="K336" s="110"/>
      <c r="L336" s="15"/>
      <c r="M336" s="110"/>
      <c r="N336" s="15"/>
      <c r="O336" s="110"/>
      <c r="P336" s="15"/>
      <c r="Q336" s="110"/>
      <c r="R336" s="15"/>
      <c r="S336" s="110"/>
      <c r="T336" s="15"/>
    </row>
    <row r="337" spans="8:20" x14ac:dyDescent="0.2">
      <c r="H337" s="15"/>
      <c r="I337" s="110"/>
      <c r="J337" s="15"/>
      <c r="K337" s="110"/>
      <c r="L337" s="15"/>
      <c r="M337" s="110"/>
      <c r="N337" s="15"/>
      <c r="O337" s="110"/>
      <c r="P337" s="15"/>
      <c r="Q337" s="110"/>
      <c r="R337" s="15"/>
      <c r="S337" s="110"/>
      <c r="T337" s="15"/>
    </row>
    <row r="338" spans="8:20" x14ac:dyDescent="0.2">
      <c r="H338" s="15"/>
      <c r="I338" s="110"/>
      <c r="J338" s="15"/>
      <c r="K338" s="110"/>
      <c r="L338" s="15"/>
      <c r="M338" s="110"/>
      <c r="N338" s="15"/>
      <c r="O338" s="110"/>
      <c r="P338" s="15"/>
      <c r="Q338" s="110"/>
      <c r="R338" s="15"/>
      <c r="S338" s="110"/>
      <c r="T338" s="15"/>
    </row>
    <row r="339" spans="8:20" x14ac:dyDescent="0.2">
      <c r="H339" s="15"/>
      <c r="I339" s="110"/>
      <c r="J339" s="15"/>
      <c r="K339" s="110"/>
      <c r="L339" s="15"/>
      <c r="M339" s="110"/>
      <c r="N339" s="15"/>
      <c r="O339" s="110"/>
      <c r="P339" s="15"/>
      <c r="Q339" s="110"/>
      <c r="R339" s="15"/>
      <c r="S339" s="110"/>
      <c r="T339" s="15"/>
    </row>
    <row r="340" spans="8:20" x14ac:dyDescent="0.2">
      <c r="H340" s="15"/>
      <c r="I340" s="110"/>
      <c r="J340" s="15"/>
      <c r="K340" s="110"/>
      <c r="L340" s="15"/>
      <c r="M340" s="110"/>
      <c r="N340" s="15"/>
      <c r="O340" s="110"/>
      <c r="P340" s="15"/>
      <c r="Q340" s="110"/>
      <c r="R340" s="15"/>
      <c r="S340" s="110"/>
      <c r="T340" s="15"/>
    </row>
    <row r="341" spans="8:20" x14ac:dyDescent="0.2">
      <c r="H341" s="15"/>
      <c r="I341" s="110"/>
      <c r="J341" s="15"/>
      <c r="K341" s="110"/>
      <c r="L341" s="15"/>
      <c r="M341" s="110"/>
      <c r="N341" s="15"/>
      <c r="O341" s="110"/>
      <c r="P341" s="15"/>
      <c r="Q341" s="110"/>
      <c r="R341" s="15"/>
      <c r="S341" s="110"/>
      <c r="T341" s="15"/>
    </row>
    <row r="342" spans="8:20" x14ac:dyDescent="0.2">
      <c r="H342" s="15"/>
      <c r="I342" s="110"/>
      <c r="J342" s="15"/>
      <c r="K342" s="110"/>
      <c r="L342" s="15"/>
      <c r="M342" s="110"/>
      <c r="N342" s="15"/>
      <c r="O342" s="110"/>
      <c r="P342" s="15"/>
      <c r="Q342" s="110"/>
      <c r="R342" s="15"/>
      <c r="S342" s="110"/>
      <c r="T342" s="15"/>
    </row>
    <row r="343" spans="8:20" x14ac:dyDescent="0.2">
      <c r="H343" s="15"/>
      <c r="I343" s="110"/>
      <c r="J343" s="15"/>
      <c r="K343" s="110"/>
      <c r="L343" s="15"/>
      <c r="M343" s="110"/>
      <c r="N343" s="15"/>
      <c r="O343" s="110"/>
      <c r="P343" s="15"/>
      <c r="Q343" s="110"/>
      <c r="R343" s="15"/>
      <c r="S343" s="110"/>
      <c r="T343" s="15"/>
    </row>
    <row r="344" spans="8:20" x14ac:dyDescent="0.2">
      <c r="H344" s="15"/>
      <c r="I344" s="110"/>
      <c r="J344" s="15"/>
      <c r="K344" s="110"/>
      <c r="L344" s="15"/>
      <c r="M344" s="110"/>
      <c r="N344" s="15"/>
      <c r="O344" s="110"/>
      <c r="P344" s="15"/>
      <c r="Q344" s="110"/>
      <c r="R344" s="15"/>
      <c r="S344" s="110"/>
      <c r="T344" s="15"/>
    </row>
    <row r="345" spans="8:20" x14ac:dyDescent="0.2">
      <c r="H345" s="15"/>
      <c r="I345" s="110"/>
      <c r="J345" s="15"/>
      <c r="K345" s="110"/>
      <c r="L345" s="15"/>
      <c r="M345" s="110"/>
      <c r="N345" s="15"/>
      <c r="O345" s="110"/>
      <c r="P345" s="15"/>
      <c r="Q345" s="110"/>
      <c r="R345" s="15"/>
      <c r="S345" s="110"/>
      <c r="T345" s="15"/>
    </row>
    <row r="346" spans="8:20" x14ac:dyDescent="0.2">
      <c r="H346" s="15"/>
      <c r="I346" s="110"/>
      <c r="J346" s="15"/>
      <c r="K346" s="110"/>
      <c r="L346" s="15"/>
      <c r="M346" s="110"/>
      <c r="N346" s="15"/>
      <c r="O346" s="110"/>
      <c r="P346" s="15"/>
      <c r="Q346" s="110"/>
      <c r="R346" s="15"/>
      <c r="S346" s="110"/>
      <c r="T346" s="15"/>
    </row>
    <row r="347" spans="8:20" x14ac:dyDescent="0.2">
      <c r="H347" s="15"/>
      <c r="I347" s="110"/>
      <c r="J347" s="15"/>
      <c r="K347" s="110"/>
      <c r="L347" s="15"/>
      <c r="M347" s="110"/>
      <c r="N347" s="15"/>
      <c r="O347" s="110"/>
      <c r="P347" s="15"/>
      <c r="Q347" s="110"/>
      <c r="R347" s="15"/>
      <c r="S347" s="110"/>
      <c r="T347" s="15"/>
    </row>
    <row r="348" spans="8:20" x14ac:dyDescent="0.2">
      <c r="H348" s="15"/>
      <c r="I348" s="110"/>
      <c r="J348" s="15"/>
      <c r="K348" s="110"/>
      <c r="L348" s="15"/>
      <c r="M348" s="110"/>
      <c r="N348" s="15"/>
      <c r="O348" s="110"/>
      <c r="P348" s="15"/>
      <c r="Q348" s="110"/>
      <c r="R348" s="15"/>
      <c r="S348" s="110"/>
      <c r="T348" s="15"/>
    </row>
    <row r="349" spans="8:20" x14ac:dyDescent="0.2">
      <c r="H349" s="15"/>
      <c r="I349" s="110"/>
      <c r="J349" s="15"/>
      <c r="K349" s="110"/>
      <c r="L349" s="15"/>
      <c r="M349" s="110"/>
      <c r="N349" s="15"/>
      <c r="O349" s="110"/>
      <c r="P349" s="15"/>
      <c r="Q349" s="110"/>
      <c r="R349" s="15"/>
      <c r="S349" s="110"/>
      <c r="T349" s="15"/>
    </row>
    <row r="350" spans="8:20" x14ac:dyDescent="0.2">
      <c r="H350" s="15"/>
      <c r="I350" s="110"/>
      <c r="J350" s="15"/>
      <c r="K350" s="110"/>
      <c r="L350" s="15"/>
      <c r="M350" s="110"/>
      <c r="N350" s="15"/>
      <c r="O350" s="110"/>
      <c r="P350" s="15"/>
      <c r="Q350" s="110"/>
      <c r="R350" s="15"/>
      <c r="S350" s="110"/>
      <c r="T350" s="15"/>
    </row>
    <row r="351" spans="8:20" x14ac:dyDescent="0.2">
      <c r="H351" s="15"/>
      <c r="I351" s="110"/>
      <c r="J351" s="15"/>
      <c r="K351" s="110"/>
      <c r="L351" s="15"/>
      <c r="M351" s="110"/>
      <c r="N351" s="15"/>
      <c r="O351" s="110"/>
      <c r="P351" s="15"/>
      <c r="Q351" s="110"/>
      <c r="R351" s="15"/>
      <c r="S351" s="110"/>
      <c r="T351" s="15"/>
    </row>
    <row r="352" spans="8:20" x14ac:dyDescent="0.2">
      <c r="H352" s="15"/>
      <c r="I352" s="110"/>
      <c r="J352" s="15"/>
      <c r="K352" s="110"/>
      <c r="L352" s="15"/>
      <c r="M352" s="110"/>
      <c r="N352" s="15"/>
      <c r="O352" s="110"/>
      <c r="P352" s="15"/>
      <c r="Q352" s="110"/>
      <c r="R352" s="15"/>
      <c r="S352" s="110"/>
      <c r="T352" s="15"/>
    </row>
    <row r="353" spans="8:20" x14ac:dyDescent="0.2">
      <c r="H353" s="15"/>
      <c r="I353" s="110"/>
      <c r="J353" s="15"/>
      <c r="K353" s="110"/>
      <c r="L353" s="15"/>
      <c r="M353" s="110"/>
      <c r="N353" s="15"/>
      <c r="O353" s="110"/>
      <c r="P353" s="15"/>
      <c r="Q353" s="110"/>
      <c r="R353" s="15"/>
      <c r="S353" s="110"/>
      <c r="T353" s="15"/>
    </row>
    <row r="354" spans="8:20" x14ac:dyDescent="0.2">
      <c r="H354" s="15"/>
      <c r="I354" s="110"/>
      <c r="J354" s="15"/>
      <c r="K354" s="110"/>
      <c r="L354" s="15"/>
      <c r="M354" s="110"/>
      <c r="N354" s="15"/>
      <c r="O354" s="110"/>
      <c r="P354" s="15"/>
      <c r="Q354" s="110"/>
      <c r="R354" s="15"/>
      <c r="S354" s="110"/>
      <c r="T354" s="15"/>
    </row>
    <row r="355" spans="8:20" x14ac:dyDescent="0.2">
      <c r="H355" s="15"/>
      <c r="I355" s="110"/>
      <c r="J355" s="15"/>
      <c r="K355" s="110"/>
      <c r="L355" s="15"/>
      <c r="M355" s="110"/>
      <c r="N355" s="15"/>
      <c r="O355" s="110"/>
      <c r="P355" s="15"/>
      <c r="Q355" s="110"/>
      <c r="R355" s="15"/>
      <c r="S355" s="110"/>
      <c r="T355" s="15"/>
    </row>
    <row r="356" spans="8:20" x14ac:dyDescent="0.2">
      <c r="H356" s="15"/>
      <c r="I356" s="110"/>
      <c r="J356" s="15"/>
      <c r="K356" s="110"/>
      <c r="L356" s="15"/>
      <c r="M356" s="110"/>
      <c r="N356" s="15"/>
      <c r="O356" s="110"/>
      <c r="P356" s="15"/>
      <c r="Q356" s="110"/>
      <c r="R356" s="15"/>
      <c r="S356" s="110"/>
      <c r="T356" s="15"/>
    </row>
    <row r="357" spans="8:20" x14ac:dyDescent="0.2">
      <c r="H357" s="15"/>
      <c r="I357" s="110"/>
      <c r="J357" s="15"/>
      <c r="K357" s="110"/>
      <c r="L357" s="15"/>
      <c r="M357" s="110"/>
      <c r="N357" s="15"/>
      <c r="O357" s="110"/>
      <c r="P357" s="15"/>
      <c r="Q357" s="110"/>
      <c r="R357" s="15"/>
      <c r="S357" s="110"/>
      <c r="T357" s="15"/>
    </row>
    <row r="358" spans="8:20" x14ac:dyDescent="0.2">
      <c r="H358" s="15"/>
      <c r="I358" s="110"/>
      <c r="J358" s="15"/>
      <c r="K358" s="110"/>
      <c r="L358" s="15"/>
      <c r="M358" s="110"/>
      <c r="N358" s="15"/>
      <c r="O358" s="110"/>
      <c r="P358" s="15"/>
      <c r="Q358" s="110"/>
      <c r="R358" s="15"/>
      <c r="S358" s="110"/>
      <c r="T358" s="15"/>
    </row>
    <row r="359" spans="8:20" x14ac:dyDescent="0.2">
      <c r="H359" s="15"/>
      <c r="I359" s="110"/>
      <c r="J359" s="15"/>
      <c r="K359" s="110"/>
      <c r="L359" s="15"/>
      <c r="M359" s="110"/>
      <c r="N359" s="15"/>
      <c r="O359" s="110"/>
      <c r="P359" s="15"/>
      <c r="Q359" s="110"/>
      <c r="R359" s="15"/>
      <c r="S359" s="110"/>
      <c r="T359" s="15"/>
    </row>
    <row r="360" spans="8:20" x14ac:dyDescent="0.2">
      <c r="H360" s="15"/>
      <c r="I360" s="110"/>
      <c r="J360" s="15"/>
      <c r="K360" s="110"/>
      <c r="L360" s="15"/>
      <c r="M360" s="110"/>
      <c r="N360" s="15"/>
      <c r="O360" s="110"/>
      <c r="P360" s="15"/>
      <c r="Q360" s="110"/>
      <c r="R360" s="15"/>
      <c r="S360" s="110"/>
      <c r="T360" s="15"/>
    </row>
    <row r="361" spans="8:20" x14ac:dyDescent="0.2">
      <c r="H361" s="15"/>
      <c r="I361" s="110"/>
      <c r="J361" s="15"/>
      <c r="K361" s="110"/>
      <c r="L361" s="15"/>
      <c r="M361" s="110"/>
      <c r="N361" s="15"/>
      <c r="O361" s="110"/>
      <c r="P361" s="15"/>
      <c r="Q361" s="110"/>
      <c r="R361" s="15"/>
      <c r="S361" s="110"/>
      <c r="T361" s="15"/>
    </row>
    <row r="362" spans="8:20" x14ac:dyDescent="0.2">
      <c r="H362" s="15"/>
      <c r="I362" s="110"/>
      <c r="J362" s="15"/>
      <c r="K362" s="110"/>
      <c r="L362" s="15"/>
      <c r="M362" s="110"/>
      <c r="N362" s="15"/>
      <c r="O362" s="110"/>
      <c r="P362" s="15"/>
      <c r="Q362" s="110"/>
      <c r="R362" s="15"/>
      <c r="S362" s="110"/>
      <c r="T362" s="15"/>
    </row>
    <row r="363" spans="8:20" x14ac:dyDescent="0.2">
      <c r="H363" s="15"/>
      <c r="I363" s="110"/>
      <c r="J363" s="15"/>
      <c r="K363" s="110"/>
      <c r="L363" s="15"/>
      <c r="M363" s="110"/>
      <c r="N363" s="15"/>
      <c r="O363" s="110"/>
      <c r="P363" s="15"/>
      <c r="Q363" s="110"/>
      <c r="R363" s="15"/>
      <c r="S363" s="110"/>
      <c r="T363" s="15"/>
    </row>
    <row r="364" spans="8:20" x14ac:dyDescent="0.2">
      <c r="H364" s="15"/>
      <c r="I364" s="110"/>
      <c r="J364" s="15"/>
      <c r="K364" s="110"/>
      <c r="L364" s="15"/>
      <c r="M364" s="110"/>
      <c r="N364" s="15"/>
      <c r="O364" s="110"/>
      <c r="P364" s="15"/>
      <c r="Q364" s="110"/>
      <c r="R364" s="15"/>
      <c r="S364" s="110"/>
      <c r="T364" s="15"/>
    </row>
    <row r="365" spans="8:20" x14ac:dyDescent="0.2">
      <c r="H365" s="15"/>
      <c r="I365" s="110"/>
      <c r="J365" s="15"/>
      <c r="K365" s="110"/>
      <c r="L365" s="15"/>
      <c r="M365" s="110"/>
      <c r="N365" s="15"/>
      <c r="O365" s="110"/>
      <c r="P365" s="15"/>
      <c r="Q365" s="110"/>
      <c r="R365" s="15"/>
      <c r="S365" s="110"/>
      <c r="T365" s="15"/>
    </row>
    <row r="366" spans="8:20" x14ac:dyDescent="0.2">
      <c r="H366" s="15"/>
      <c r="I366" s="110"/>
      <c r="J366" s="15"/>
      <c r="K366" s="110"/>
      <c r="L366" s="15"/>
      <c r="M366" s="110"/>
      <c r="N366" s="15"/>
      <c r="O366" s="110"/>
      <c r="P366" s="15"/>
      <c r="Q366" s="110"/>
      <c r="R366" s="15"/>
      <c r="S366" s="110"/>
      <c r="T366" s="15"/>
    </row>
    <row r="367" spans="8:20" x14ac:dyDescent="0.2">
      <c r="H367" s="15"/>
      <c r="I367" s="110"/>
      <c r="J367" s="15"/>
      <c r="K367" s="110"/>
      <c r="L367" s="15"/>
      <c r="M367" s="110"/>
      <c r="N367" s="15"/>
      <c r="O367" s="110"/>
      <c r="P367" s="15"/>
      <c r="Q367" s="110"/>
      <c r="R367" s="15"/>
      <c r="S367" s="110"/>
      <c r="T367" s="15"/>
    </row>
    <row r="368" spans="8:20" x14ac:dyDescent="0.2">
      <c r="H368" s="15"/>
      <c r="I368" s="110"/>
      <c r="J368" s="15"/>
      <c r="K368" s="110"/>
      <c r="L368" s="15"/>
      <c r="M368" s="110"/>
      <c r="N368" s="15"/>
      <c r="O368" s="110"/>
      <c r="P368" s="15"/>
      <c r="Q368" s="110"/>
      <c r="R368" s="15"/>
      <c r="S368" s="110"/>
      <c r="T368" s="15"/>
    </row>
    <row r="369" spans="8:20" x14ac:dyDescent="0.2">
      <c r="H369" s="15"/>
      <c r="I369" s="110"/>
      <c r="J369" s="15"/>
      <c r="K369" s="110"/>
      <c r="L369" s="15"/>
      <c r="M369" s="110"/>
      <c r="N369" s="15"/>
      <c r="O369" s="110"/>
      <c r="P369" s="15"/>
      <c r="Q369" s="110"/>
      <c r="R369" s="15"/>
      <c r="S369" s="110"/>
      <c r="T369" s="15"/>
    </row>
    <row r="370" spans="8:20" x14ac:dyDescent="0.2">
      <c r="H370" s="15"/>
      <c r="I370" s="110"/>
      <c r="J370" s="15"/>
      <c r="K370" s="110"/>
      <c r="L370" s="15"/>
      <c r="M370" s="110"/>
      <c r="N370" s="15"/>
      <c r="O370" s="110"/>
      <c r="P370" s="15"/>
      <c r="Q370" s="110"/>
      <c r="R370" s="15"/>
      <c r="S370" s="110"/>
      <c r="T370" s="15"/>
    </row>
    <row r="371" spans="8:20" x14ac:dyDescent="0.2">
      <c r="H371" s="15"/>
      <c r="I371" s="110"/>
      <c r="J371" s="15"/>
      <c r="K371" s="110"/>
      <c r="L371" s="15"/>
      <c r="M371" s="110"/>
      <c r="N371" s="15"/>
      <c r="O371" s="110"/>
      <c r="P371" s="15"/>
      <c r="Q371" s="110"/>
      <c r="R371" s="15"/>
      <c r="S371" s="110"/>
      <c r="T371" s="15"/>
    </row>
    <row r="372" spans="8:20" x14ac:dyDescent="0.2">
      <c r="H372" s="15"/>
      <c r="I372" s="110"/>
      <c r="J372" s="15"/>
      <c r="K372" s="110"/>
      <c r="L372" s="15"/>
      <c r="M372" s="110"/>
      <c r="N372" s="15"/>
      <c r="O372" s="110"/>
      <c r="P372" s="15"/>
      <c r="Q372" s="110"/>
      <c r="R372" s="15"/>
      <c r="S372" s="110"/>
      <c r="T372" s="15"/>
    </row>
    <row r="373" spans="8:20" x14ac:dyDescent="0.2">
      <c r="H373" s="15"/>
      <c r="I373" s="110"/>
      <c r="J373" s="15"/>
      <c r="K373" s="110"/>
      <c r="L373" s="15"/>
      <c r="M373" s="110"/>
      <c r="N373" s="15"/>
      <c r="O373" s="110"/>
      <c r="P373" s="15"/>
      <c r="Q373" s="110"/>
      <c r="R373" s="15"/>
      <c r="S373" s="110"/>
      <c r="T373" s="15"/>
    </row>
    <row r="374" spans="8:20" x14ac:dyDescent="0.2">
      <c r="H374" s="15"/>
      <c r="I374" s="110"/>
      <c r="J374" s="15"/>
      <c r="K374" s="110"/>
      <c r="L374" s="15"/>
      <c r="M374" s="110"/>
      <c r="N374" s="15"/>
      <c r="O374" s="110"/>
      <c r="P374" s="15"/>
      <c r="Q374" s="110"/>
      <c r="R374" s="15"/>
      <c r="S374" s="110"/>
      <c r="T374" s="15"/>
    </row>
    <row r="375" spans="8:20" x14ac:dyDescent="0.2">
      <c r="H375" s="15"/>
      <c r="I375" s="110"/>
      <c r="J375" s="15"/>
      <c r="K375" s="110"/>
      <c r="L375" s="15"/>
      <c r="M375" s="110"/>
      <c r="N375" s="15"/>
      <c r="O375" s="110"/>
      <c r="P375" s="15"/>
      <c r="Q375" s="110"/>
      <c r="R375" s="15"/>
      <c r="S375" s="110"/>
      <c r="T375" s="15"/>
    </row>
    <row r="376" spans="8:20" x14ac:dyDescent="0.2">
      <c r="H376" s="15"/>
      <c r="I376" s="110"/>
      <c r="J376" s="15"/>
      <c r="K376" s="110"/>
      <c r="L376" s="15"/>
      <c r="M376" s="110"/>
      <c r="N376" s="15"/>
      <c r="O376" s="110"/>
      <c r="P376" s="15"/>
      <c r="Q376" s="110"/>
      <c r="R376" s="15"/>
      <c r="S376" s="110"/>
      <c r="T376" s="15"/>
    </row>
    <row r="377" spans="8:20" x14ac:dyDescent="0.2">
      <c r="H377" s="15"/>
      <c r="I377" s="110"/>
      <c r="J377" s="15"/>
      <c r="K377" s="110"/>
      <c r="L377" s="15"/>
      <c r="M377" s="110"/>
      <c r="N377" s="15"/>
      <c r="O377" s="110"/>
      <c r="P377" s="15"/>
      <c r="Q377" s="110"/>
      <c r="R377" s="15"/>
      <c r="S377" s="110"/>
      <c r="T377" s="15"/>
    </row>
    <row r="378" spans="8:20" x14ac:dyDescent="0.2">
      <c r="H378" s="15"/>
      <c r="I378" s="110"/>
      <c r="J378" s="15"/>
      <c r="K378" s="110"/>
      <c r="L378" s="15"/>
      <c r="M378" s="110"/>
      <c r="N378" s="15"/>
      <c r="O378" s="110"/>
      <c r="P378" s="15"/>
      <c r="Q378" s="110"/>
      <c r="R378" s="15"/>
      <c r="S378" s="110"/>
      <c r="T378" s="15"/>
    </row>
    <row r="379" spans="8:20" x14ac:dyDescent="0.2">
      <c r="H379" s="15"/>
      <c r="I379" s="110"/>
      <c r="J379" s="15"/>
      <c r="K379" s="110"/>
      <c r="L379" s="15"/>
      <c r="M379" s="110"/>
      <c r="N379" s="15"/>
      <c r="O379" s="110"/>
      <c r="P379" s="15"/>
      <c r="Q379" s="110"/>
      <c r="R379" s="15"/>
      <c r="S379" s="110"/>
      <c r="T379" s="15"/>
    </row>
    <row r="380" spans="8:20" x14ac:dyDescent="0.2">
      <c r="H380" s="15"/>
      <c r="I380" s="110"/>
      <c r="J380" s="15"/>
      <c r="K380" s="110"/>
      <c r="L380" s="15"/>
      <c r="M380" s="110"/>
      <c r="N380" s="15"/>
      <c r="O380" s="110"/>
      <c r="P380" s="15"/>
      <c r="Q380" s="110"/>
      <c r="R380" s="15"/>
      <c r="S380" s="110"/>
      <c r="T380" s="15"/>
    </row>
    <row r="381" spans="8:20" x14ac:dyDescent="0.2">
      <c r="H381" s="15"/>
      <c r="I381" s="110"/>
      <c r="J381" s="15"/>
      <c r="K381" s="110"/>
      <c r="L381" s="15"/>
      <c r="M381" s="110"/>
      <c r="N381" s="15"/>
      <c r="O381" s="110"/>
      <c r="P381" s="15"/>
      <c r="Q381" s="110"/>
      <c r="R381" s="15"/>
      <c r="S381" s="110"/>
      <c r="T381" s="15"/>
    </row>
    <row r="382" spans="8:20" x14ac:dyDescent="0.2">
      <c r="H382" s="15"/>
      <c r="I382" s="110"/>
      <c r="J382" s="15"/>
      <c r="K382" s="110"/>
      <c r="L382" s="15"/>
      <c r="M382" s="110"/>
      <c r="N382" s="15"/>
      <c r="O382" s="110"/>
      <c r="P382" s="15"/>
      <c r="Q382" s="110"/>
      <c r="R382" s="15"/>
      <c r="S382" s="110"/>
      <c r="T382" s="15"/>
    </row>
    <row r="383" spans="8:20" x14ac:dyDescent="0.2">
      <c r="H383" s="15"/>
      <c r="I383" s="110"/>
      <c r="J383" s="15"/>
      <c r="K383" s="110"/>
      <c r="L383" s="15"/>
      <c r="M383" s="110"/>
      <c r="N383" s="15"/>
      <c r="O383" s="110"/>
      <c r="P383" s="15"/>
      <c r="Q383" s="110"/>
      <c r="R383" s="15"/>
      <c r="S383" s="110"/>
      <c r="T383" s="15"/>
    </row>
    <row r="384" spans="8:20" x14ac:dyDescent="0.2">
      <c r="H384" s="15"/>
      <c r="I384" s="110"/>
      <c r="J384" s="15"/>
      <c r="K384" s="110"/>
      <c r="L384" s="15"/>
      <c r="M384" s="110"/>
      <c r="N384" s="15"/>
      <c r="O384" s="110"/>
      <c r="P384" s="15"/>
      <c r="Q384" s="110"/>
      <c r="R384" s="15"/>
      <c r="S384" s="110"/>
      <c r="T384" s="15"/>
    </row>
    <row r="385" spans="8:20" x14ac:dyDescent="0.2">
      <c r="H385" s="15"/>
      <c r="I385" s="110"/>
      <c r="J385" s="15"/>
      <c r="K385" s="110"/>
      <c r="L385" s="15"/>
      <c r="M385" s="110"/>
      <c r="N385" s="15"/>
      <c r="O385" s="110"/>
      <c r="P385" s="15"/>
      <c r="Q385" s="110"/>
      <c r="R385" s="15"/>
      <c r="S385" s="110"/>
      <c r="T385" s="15"/>
    </row>
    <row r="386" spans="8:20" x14ac:dyDescent="0.2">
      <c r="H386" s="15"/>
      <c r="I386" s="110"/>
      <c r="J386" s="15"/>
      <c r="K386" s="110"/>
      <c r="L386" s="15"/>
      <c r="M386" s="110"/>
      <c r="N386" s="15"/>
      <c r="O386" s="110"/>
      <c r="P386" s="15"/>
      <c r="Q386" s="110"/>
      <c r="R386" s="15"/>
      <c r="S386" s="110"/>
      <c r="T386" s="15"/>
    </row>
    <row r="387" spans="8:20" x14ac:dyDescent="0.2">
      <c r="H387" s="15"/>
      <c r="I387" s="110"/>
      <c r="J387" s="15"/>
      <c r="K387" s="110"/>
      <c r="L387" s="15"/>
      <c r="M387" s="110"/>
      <c r="N387" s="15"/>
      <c r="O387" s="110"/>
      <c r="P387" s="15"/>
      <c r="Q387" s="110"/>
      <c r="R387" s="15"/>
      <c r="S387" s="110"/>
      <c r="T387" s="15"/>
    </row>
    <row r="388" spans="8:20" x14ac:dyDescent="0.2">
      <c r="H388" s="15"/>
      <c r="I388" s="110"/>
      <c r="J388" s="15"/>
      <c r="K388" s="110"/>
      <c r="L388" s="15"/>
      <c r="M388" s="110"/>
      <c r="N388" s="15"/>
      <c r="O388" s="110"/>
      <c r="P388" s="15"/>
      <c r="Q388" s="110"/>
      <c r="R388" s="15"/>
      <c r="S388" s="110"/>
      <c r="T388" s="15"/>
    </row>
    <row r="389" spans="8:20" x14ac:dyDescent="0.2">
      <c r="H389" s="15"/>
      <c r="I389" s="110"/>
      <c r="J389" s="15"/>
      <c r="K389" s="110"/>
      <c r="L389" s="15"/>
      <c r="M389" s="110"/>
      <c r="N389" s="15"/>
      <c r="O389" s="110"/>
      <c r="P389" s="15"/>
      <c r="Q389" s="110"/>
      <c r="R389" s="15"/>
      <c r="S389" s="110"/>
      <c r="T389" s="15"/>
    </row>
    <row r="390" spans="8:20" x14ac:dyDescent="0.2">
      <c r="H390" s="15"/>
      <c r="I390" s="110"/>
      <c r="J390" s="15"/>
      <c r="K390" s="110"/>
      <c r="L390" s="15"/>
      <c r="M390" s="110"/>
      <c r="N390" s="15"/>
      <c r="O390" s="110"/>
      <c r="P390" s="15"/>
      <c r="Q390" s="110"/>
      <c r="R390" s="15"/>
      <c r="S390" s="110"/>
      <c r="T390" s="15"/>
    </row>
    <row r="391" spans="8:20" x14ac:dyDescent="0.2">
      <c r="H391" s="15"/>
      <c r="I391" s="110"/>
      <c r="J391" s="15"/>
      <c r="K391" s="110"/>
      <c r="L391" s="15"/>
      <c r="M391" s="110"/>
      <c r="N391" s="15"/>
      <c r="O391" s="110"/>
      <c r="P391" s="15"/>
      <c r="Q391" s="110"/>
      <c r="R391" s="15"/>
      <c r="S391" s="110"/>
      <c r="T391" s="15"/>
    </row>
    <row r="392" spans="8:20" x14ac:dyDescent="0.2">
      <c r="H392" s="15"/>
      <c r="I392" s="110"/>
      <c r="J392" s="15"/>
      <c r="K392" s="110"/>
      <c r="L392" s="15"/>
      <c r="M392" s="110"/>
      <c r="N392" s="15"/>
      <c r="O392" s="110"/>
      <c r="P392" s="15"/>
      <c r="Q392" s="110"/>
      <c r="R392" s="15"/>
      <c r="S392" s="110"/>
      <c r="T392" s="15"/>
    </row>
    <row r="393" spans="8:20" x14ac:dyDescent="0.2">
      <c r="H393" s="15"/>
      <c r="I393" s="110"/>
      <c r="J393" s="15"/>
      <c r="K393" s="110"/>
      <c r="L393" s="15"/>
      <c r="M393" s="110"/>
      <c r="N393" s="15"/>
      <c r="O393" s="110"/>
      <c r="P393" s="15"/>
      <c r="Q393" s="110"/>
      <c r="R393" s="15"/>
      <c r="S393" s="110"/>
      <c r="T393" s="15"/>
    </row>
    <row r="394" spans="8:20" x14ac:dyDescent="0.2">
      <c r="H394" s="15"/>
      <c r="I394" s="110"/>
      <c r="J394" s="15"/>
      <c r="K394" s="110"/>
      <c r="L394" s="15"/>
      <c r="M394" s="110"/>
      <c r="N394" s="15"/>
      <c r="O394" s="110"/>
      <c r="P394" s="15"/>
      <c r="Q394" s="110"/>
      <c r="R394" s="15"/>
      <c r="S394" s="110"/>
      <c r="T394" s="15"/>
    </row>
    <row r="395" spans="8:20" x14ac:dyDescent="0.2">
      <c r="H395" s="15"/>
      <c r="I395" s="110"/>
      <c r="J395" s="15"/>
      <c r="K395" s="110"/>
      <c r="L395" s="15"/>
      <c r="M395" s="110"/>
      <c r="N395" s="15"/>
      <c r="O395" s="110"/>
      <c r="P395" s="15"/>
      <c r="Q395" s="110"/>
      <c r="R395" s="15"/>
      <c r="S395" s="110"/>
      <c r="T395" s="15"/>
    </row>
    <row r="396" spans="8:20" x14ac:dyDescent="0.2">
      <c r="H396" s="15"/>
      <c r="I396" s="110"/>
      <c r="J396" s="15"/>
      <c r="K396" s="110"/>
      <c r="L396" s="15"/>
      <c r="M396" s="110"/>
      <c r="N396" s="15"/>
      <c r="O396" s="110"/>
      <c r="P396" s="15"/>
      <c r="Q396" s="110"/>
      <c r="R396" s="15"/>
      <c r="S396" s="110"/>
      <c r="T396" s="15"/>
    </row>
    <row r="397" spans="8:20" x14ac:dyDescent="0.2">
      <c r="H397" s="15"/>
      <c r="I397" s="110"/>
      <c r="J397" s="15"/>
      <c r="K397" s="110"/>
      <c r="L397" s="15"/>
      <c r="M397" s="110"/>
      <c r="N397" s="15"/>
      <c r="O397" s="110"/>
      <c r="P397" s="15"/>
      <c r="Q397" s="110"/>
      <c r="R397" s="15"/>
      <c r="S397" s="110"/>
      <c r="T397" s="15"/>
    </row>
    <row r="398" spans="8:20" x14ac:dyDescent="0.2">
      <c r="H398" s="15"/>
      <c r="I398" s="110"/>
      <c r="J398" s="15"/>
      <c r="K398" s="110"/>
      <c r="L398" s="15"/>
      <c r="M398" s="110"/>
      <c r="N398" s="15"/>
      <c r="O398" s="110"/>
      <c r="P398" s="15"/>
      <c r="Q398" s="110"/>
      <c r="R398" s="15"/>
      <c r="S398" s="110"/>
      <c r="T398" s="15"/>
    </row>
    <row r="399" spans="8:20" x14ac:dyDescent="0.2">
      <c r="H399" s="15"/>
      <c r="I399" s="110"/>
      <c r="J399" s="15"/>
      <c r="K399" s="110"/>
      <c r="L399" s="15"/>
      <c r="M399" s="110"/>
      <c r="N399" s="15"/>
      <c r="O399" s="110"/>
      <c r="P399" s="15"/>
      <c r="Q399" s="110"/>
      <c r="R399" s="15"/>
      <c r="S399" s="110"/>
      <c r="T399" s="15"/>
    </row>
    <row r="400" spans="8:20" x14ac:dyDescent="0.2">
      <c r="H400" s="15"/>
      <c r="I400" s="110"/>
      <c r="J400" s="15"/>
      <c r="K400" s="110"/>
      <c r="L400" s="15"/>
      <c r="M400" s="110"/>
      <c r="N400" s="15"/>
      <c r="O400" s="110"/>
      <c r="P400" s="15"/>
      <c r="Q400" s="110"/>
      <c r="R400" s="15"/>
      <c r="S400" s="110"/>
      <c r="T400" s="15"/>
    </row>
    <row r="401" spans="8:20" x14ac:dyDescent="0.2">
      <c r="H401" s="15"/>
      <c r="I401" s="110"/>
      <c r="J401" s="15"/>
      <c r="K401" s="110"/>
      <c r="L401" s="15"/>
      <c r="M401" s="110"/>
      <c r="N401" s="15"/>
      <c r="O401" s="110"/>
      <c r="P401" s="15"/>
      <c r="Q401" s="110"/>
      <c r="R401" s="15"/>
      <c r="S401" s="110"/>
      <c r="T401" s="15"/>
    </row>
    <row r="402" spans="8:20" x14ac:dyDescent="0.2">
      <c r="H402" s="15"/>
      <c r="I402" s="110"/>
      <c r="J402" s="15"/>
      <c r="K402" s="110"/>
      <c r="L402" s="15"/>
      <c r="M402" s="110"/>
      <c r="N402" s="15"/>
      <c r="O402" s="110"/>
      <c r="P402" s="15"/>
      <c r="Q402" s="110"/>
      <c r="R402" s="15"/>
      <c r="S402" s="110"/>
      <c r="T402" s="15"/>
    </row>
    <row r="403" spans="8:20" x14ac:dyDescent="0.2">
      <c r="H403" s="15"/>
      <c r="I403" s="110"/>
      <c r="J403" s="15"/>
      <c r="K403" s="110"/>
      <c r="L403" s="15"/>
      <c r="M403" s="110"/>
      <c r="N403" s="15"/>
      <c r="O403" s="110"/>
      <c r="P403" s="15"/>
      <c r="Q403" s="110"/>
      <c r="R403" s="15"/>
      <c r="S403" s="110"/>
      <c r="T403" s="15"/>
    </row>
    <row r="404" spans="8:20" x14ac:dyDescent="0.2">
      <c r="H404" s="15"/>
      <c r="I404" s="110"/>
      <c r="J404" s="15"/>
      <c r="K404" s="110"/>
      <c r="L404" s="15"/>
      <c r="M404" s="110"/>
      <c r="N404" s="15"/>
      <c r="O404" s="110"/>
      <c r="P404" s="15"/>
      <c r="Q404" s="110"/>
      <c r="R404" s="15"/>
      <c r="S404" s="110"/>
      <c r="T404" s="15"/>
    </row>
    <row r="405" spans="8:20" x14ac:dyDescent="0.2">
      <c r="H405" s="15"/>
      <c r="I405" s="110"/>
      <c r="J405" s="15"/>
      <c r="K405" s="110"/>
      <c r="L405" s="15"/>
      <c r="M405" s="110"/>
      <c r="N405" s="15"/>
      <c r="O405" s="110"/>
      <c r="P405" s="15"/>
      <c r="Q405" s="110"/>
      <c r="R405" s="15"/>
      <c r="S405" s="110"/>
      <c r="T405" s="15"/>
    </row>
    <row r="406" spans="8:20" x14ac:dyDescent="0.2">
      <c r="H406" s="15"/>
      <c r="I406" s="110"/>
      <c r="J406" s="15"/>
      <c r="K406" s="110"/>
      <c r="L406" s="15"/>
      <c r="M406" s="110"/>
      <c r="N406" s="15"/>
      <c r="O406" s="110"/>
      <c r="P406" s="15"/>
      <c r="Q406" s="110"/>
      <c r="R406" s="15"/>
      <c r="S406" s="110"/>
      <c r="T406" s="15"/>
    </row>
    <row r="407" spans="8:20" x14ac:dyDescent="0.2">
      <c r="H407" s="15"/>
      <c r="I407" s="110"/>
      <c r="J407" s="15"/>
      <c r="K407" s="110"/>
      <c r="L407" s="15"/>
      <c r="M407" s="110"/>
      <c r="N407" s="15"/>
      <c r="O407" s="110"/>
      <c r="P407" s="15"/>
      <c r="Q407" s="110"/>
      <c r="R407" s="15"/>
      <c r="S407" s="110"/>
      <c r="T407" s="15"/>
    </row>
    <row r="408" spans="8:20" x14ac:dyDescent="0.2">
      <c r="H408" s="15"/>
      <c r="I408" s="110"/>
      <c r="J408" s="15"/>
      <c r="K408" s="110"/>
      <c r="L408" s="15"/>
      <c r="M408" s="110"/>
      <c r="N408" s="15"/>
      <c r="O408" s="110"/>
      <c r="P408" s="15"/>
      <c r="Q408" s="110"/>
      <c r="R408" s="15"/>
      <c r="S408" s="110"/>
      <c r="T408" s="15"/>
    </row>
    <row r="409" spans="8:20" x14ac:dyDescent="0.2">
      <c r="H409" s="15"/>
      <c r="I409" s="110"/>
      <c r="J409" s="15"/>
      <c r="K409" s="110"/>
      <c r="L409" s="15"/>
      <c r="M409" s="110"/>
      <c r="N409" s="15"/>
      <c r="O409" s="110"/>
      <c r="P409" s="15"/>
      <c r="Q409" s="110"/>
      <c r="R409" s="15"/>
      <c r="S409" s="110"/>
      <c r="T409" s="15"/>
    </row>
    <row r="410" spans="8:20" x14ac:dyDescent="0.2">
      <c r="H410" s="15"/>
      <c r="I410" s="110"/>
      <c r="J410" s="15"/>
      <c r="K410" s="110"/>
      <c r="L410" s="15"/>
      <c r="M410" s="110"/>
      <c r="N410" s="15"/>
      <c r="O410" s="110"/>
      <c r="P410" s="15"/>
      <c r="Q410" s="110"/>
      <c r="R410" s="15"/>
      <c r="S410" s="110"/>
      <c r="T410" s="15"/>
    </row>
    <row r="411" spans="8:20" x14ac:dyDescent="0.2">
      <c r="H411" s="15"/>
      <c r="I411" s="110"/>
      <c r="J411" s="15"/>
      <c r="K411" s="110"/>
      <c r="L411" s="15"/>
      <c r="M411" s="110"/>
      <c r="N411" s="15"/>
      <c r="O411" s="110"/>
      <c r="P411" s="15"/>
      <c r="Q411" s="110"/>
      <c r="R411" s="15"/>
      <c r="S411" s="110"/>
      <c r="T411" s="15"/>
    </row>
    <row r="412" spans="8:20" x14ac:dyDescent="0.2">
      <c r="H412" s="15"/>
      <c r="I412" s="110"/>
      <c r="J412" s="15"/>
      <c r="K412" s="110"/>
      <c r="L412" s="15"/>
      <c r="M412" s="110"/>
      <c r="N412" s="15"/>
      <c r="O412" s="110"/>
      <c r="P412" s="15"/>
      <c r="Q412" s="110"/>
      <c r="R412" s="15"/>
      <c r="S412" s="110"/>
      <c r="T412" s="15"/>
    </row>
    <row r="413" spans="8:20" x14ac:dyDescent="0.2">
      <c r="H413" s="15"/>
      <c r="I413" s="110"/>
      <c r="J413" s="15"/>
      <c r="K413" s="110"/>
      <c r="L413" s="15"/>
      <c r="M413" s="110"/>
      <c r="N413" s="15"/>
      <c r="O413" s="110"/>
      <c r="P413" s="15"/>
      <c r="Q413" s="110"/>
      <c r="R413" s="15"/>
      <c r="S413" s="110"/>
      <c r="T413" s="15"/>
    </row>
    <row r="414" spans="8:20" x14ac:dyDescent="0.2">
      <c r="H414" s="15"/>
      <c r="I414" s="110"/>
      <c r="J414" s="15"/>
      <c r="K414" s="110"/>
      <c r="L414" s="15"/>
      <c r="M414" s="110"/>
      <c r="N414" s="15"/>
      <c r="O414" s="110"/>
      <c r="P414" s="15"/>
      <c r="Q414" s="110"/>
      <c r="R414" s="15"/>
      <c r="S414" s="110"/>
      <c r="T414" s="15"/>
    </row>
    <row r="415" spans="8:20" x14ac:dyDescent="0.2">
      <c r="H415" s="15"/>
      <c r="I415" s="110"/>
      <c r="J415" s="15"/>
      <c r="K415" s="110"/>
      <c r="L415" s="15"/>
      <c r="M415" s="110"/>
      <c r="N415" s="15"/>
      <c r="O415" s="110"/>
      <c r="P415" s="15"/>
      <c r="Q415" s="110"/>
      <c r="R415" s="15"/>
      <c r="S415" s="110"/>
      <c r="T415" s="15"/>
    </row>
    <row r="416" spans="8:20" x14ac:dyDescent="0.2">
      <c r="H416" s="15"/>
      <c r="I416" s="110"/>
      <c r="J416" s="15"/>
      <c r="K416" s="110"/>
      <c r="L416" s="15"/>
      <c r="M416" s="110"/>
      <c r="N416" s="15"/>
      <c r="O416" s="110"/>
      <c r="P416" s="15"/>
      <c r="Q416" s="110"/>
      <c r="R416" s="15"/>
      <c r="S416" s="110"/>
      <c r="T416" s="15"/>
    </row>
    <row r="417" spans="8:20" x14ac:dyDescent="0.2">
      <c r="H417" s="15"/>
      <c r="I417" s="110"/>
      <c r="J417" s="15"/>
      <c r="K417" s="110"/>
      <c r="L417" s="15"/>
      <c r="M417" s="110"/>
      <c r="N417" s="15"/>
      <c r="O417" s="110"/>
      <c r="P417" s="15"/>
      <c r="Q417" s="110"/>
      <c r="R417" s="15"/>
      <c r="S417" s="110"/>
      <c r="T417" s="15"/>
    </row>
    <row r="418" spans="8:20" x14ac:dyDescent="0.2">
      <c r="H418" s="15"/>
      <c r="I418" s="110"/>
      <c r="J418" s="15"/>
      <c r="K418" s="110"/>
      <c r="L418" s="15"/>
      <c r="M418" s="110"/>
      <c r="N418" s="15"/>
      <c r="O418" s="110"/>
      <c r="P418" s="15"/>
      <c r="Q418" s="110"/>
      <c r="R418" s="15"/>
      <c r="S418" s="110"/>
      <c r="T418" s="15"/>
    </row>
    <row r="419" spans="8:20" x14ac:dyDescent="0.2">
      <c r="H419" s="15"/>
      <c r="I419" s="110"/>
      <c r="J419" s="15"/>
      <c r="K419" s="110"/>
      <c r="L419" s="15"/>
      <c r="M419" s="110"/>
      <c r="N419" s="15"/>
      <c r="O419" s="110"/>
      <c r="P419" s="15"/>
      <c r="Q419" s="110"/>
      <c r="R419" s="15"/>
      <c r="S419" s="110"/>
      <c r="T419" s="15"/>
    </row>
    <row r="420" spans="8:20" x14ac:dyDescent="0.2">
      <c r="H420" s="15"/>
      <c r="I420" s="110"/>
      <c r="J420" s="15"/>
      <c r="K420" s="110"/>
      <c r="L420" s="15"/>
      <c r="M420" s="110"/>
      <c r="N420" s="15"/>
      <c r="O420" s="110"/>
      <c r="P420" s="15"/>
      <c r="Q420" s="110"/>
      <c r="R420" s="15"/>
      <c r="S420" s="110"/>
      <c r="T420" s="15"/>
    </row>
    <row r="421" spans="8:20" x14ac:dyDescent="0.2">
      <c r="H421" s="15"/>
      <c r="I421" s="110"/>
      <c r="J421" s="15"/>
      <c r="K421" s="110"/>
      <c r="L421" s="15"/>
      <c r="M421" s="110"/>
      <c r="N421" s="15"/>
      <c r="O421" s="110"/>
      <c r="P421" s="15"/>
      <c r="Q421" s="110"/>
      <c r="R421" s="15"/>
      <c r="S421" s="110"/>
      <c r="T421" s="15"/>
    </row>
    <row r="422" spans="8:20" x14ac:dyDescent="0.2">
      <c r="H422" s="15"/>
      <c r="I422" s="110"/>
      <c r="J422" s="15"/>
      <c r="K422" s="110"/>
      <c r="L422" s="15"/>
      <c r="M422" s="110"/>
      <c r="N422" s="15"/>
      <c r="O422" s="110"/>
      <c r="P422" s="15"/>
      <c r="Q422" s="110"/>
      <c r="R422" s="15"/>
      <c r="S422" s="110"/>
      <c r="T422" s="15"/>
    </row>
    <row r="423" spans="8:20" x14ac:dyDescent="0.2">
      <c r="H423" s="15"/>
      <c r="I423" s="110"/>
      <c r="J423" s="15"/>
      <c r="K423" s="110"/>
      <c r="L423" s="15"/>
      <c r="M423" s="110"/>
      <c r="N423" s="15"/>
      <c r="O423" s="110"/>
      <c r="P423" s="15"/>
      <c r="Q423" s="110"/>
      <c r="R423" s="15"/>
      <c r="S423" s="110"/>
      <c r="T423" s="15"/>
    </row>
    <row r="424" spans="8:20" x14ac:dyDescent="0.2">
      <c r="H424" s="15"/>
      <c r="I424" s="110"/>
      <c r="J424" s="15"/>
      <c r="K424" s="110"/>
      <c r="L424" s="15"/>
      <c r="M424" s="110"/>
      <c r="N424" s="15"/>
      <c r="O424" s="110"/>
      <c r="P424" s="15"/>
      <c r="Q424" s="110"/>
      <c r="R424" s="15"/>
      <c r="S424" s="110"/>
      <c r="T424" s="15"/>
    </row>
    <row r="425" spans="8:20" x14ac:dyDescent="0.2">
      <c r="H425" s="15"/>
      <c r="I425" s="110"/>
      <c r="J425" s="15"/>
      <c r="K425" s="110"/>
      <c r="L425" s="15"/>
      <c r="M425" s="110"/>
      <c r="N425" s="15"/>
      <c r="O425" s="110"/>
      <c r="P425" s="15"/>
      <c r="Q425" s="110"/>
      <c r="R425" s="15"/>
      <c r="S425" s="110"/>
      <c r="T425" s="15"/>
    </row>
    <row r="426" spans="8:20" x14ac:dyDescent="0.2">
      <c r="H426" s="15"/>
      <c r="I426" s="110"/>
      <c r="J426" s="15"/>
      <c r="K426" s="110"/>
      <c r="L426" s="15"/>
      <c r="M426" s="110"/>
      <c r="N426" s="15"/>
      <c r="O426" s="110"/>
      <c r="P426" s="15"/>
      <c r="Q426" s="110"/>
      <c r="R426" s="15"/>
      <c r="S426" s="110"/>
      <c r="T426" s="15"/>
    </row>
    <row r="427" spans="8:20" x14ac:dyDescent="0.2">
      <c r="H427" s="15"/>
      <c r="I427" s="110"/>
      <c r="J427" s="15"/>
      <c r="K427" s="110"/>
      <c r="L427" s="15"/>
      <c r="M427" s="110"/>
      <c r="N427" s="15"/>
      <c r="O427" s="110"/>
      <c r="P427" s="15"/>
      <c r="Q427" s="110"/>
      <c r="R427" s="15"/>
      <c r="S427" s="110"/>
      <c r="T427" s="15"/>
    </row>
    <row r="428" spans="8:20" x14ac:dyDescent="0.2">
      <c r="H428" s="15"/>
      <c r="I428" s="110"/>
      <c r="J428" s="15"/>
      <c r="K428" s="110"/>
      <c r="L428" s="15"/>
      <c r="M428" s="110"/>
      <c r="N428" s="15"/>
      <c r="O428" s="110"/>
      <c r="P428" s="15"/>
      <c r="Q428" s="110"/>
      <c r="R428" s="15"/>
      <c r="S428" s="110"/>
      <c r="T428" s="15"/>
    </row>
    <row r="429" spans="8:20" x14ac:dyDescent="0.2">
      <c r="H429" s="15"/>
      <c r="I429" s="110"/>
      <c r="J429" s="15"/>
      <c r="K429" s="110"/>
      <c r="L429" s="15"/>
      <c r="M429" s="110"/>
      <c r="N429" s="15"/>
      <c r="O429" s="110"/>
      <c r="P429" s="15"/>
      <c r="Q429" s="110"/>
      <c r="R429" s="15"/>
      <c r="S429" s="110"/>
      <c r="T429" s="15"/>
    </row>
    <row r="430" spans="8:20" x14ac:dyDescent="0.2">
      <c r="H430" s="15"/>
      <c r="I430" s="110"/>
      <c r="J430" s="15"/>
      <c r="K430" s="110"/>
      <c r="L430" s="15"/>
      <c r="M430" s="110"/>
      <c r="N430" s="15"/>
      <c r="O430" s="110"/>
      <c r="P430" s="15"/>
      <c r="Q430" s="110"/>
      <c r="R430" s="15"/>
      <c r="S430" s="110"/>
      <c r="T430" s="15"/>
    </row>
    <row r="431" spans="8:20" x14ac:dyDescent="0.2">
      <c r="H431" s="15"/>
      <c r="I431" s="110"/>
      <c r="J431" s="15"/>
      <c r="K431" s="110"/>
      <c r="L431" s="15"/>
      <c r="M431" s="110"/>
      <c r="N431" s="15"/>
      <c r="O431" s="110"/>
      <c r="P431" s="15"/>
      <c r="Q431" s="110"/>
      <c r="R431" s="15"/>
      <c r="S431" s="110"/>
      <c r="T431" s="15"/>
    </row>
    <row r="432" spans="8:20" x14ac:dyDescent="0.2">
      <c r="H432" s="15"/>
      <c r="I432" s="110"/>
      <c r="J432" s="15"/>
      <c r="K432" s="110"/>
      <c r="L432" s="15"/>
      <c r="M432" s="110"/>
      <c r="N432" s="15"/>
      <c r="O432" s="110"/>
      <c r="P432" s="15"/>
      <c r="Q432" s="110"/>
      <c r="R432" s="15"/>
      <c r="S432" s="110"/>
      <c r="T432" s="15"/>
    </row>
    <row r="433" spans="8:20" x14ac:dyDescent="0.2">
      <c r="H433" s="15"/>
      <c r="I433" s="110"/>
      <c r="J433" s="15"/>
      <c r="K433" s="110"/>
      <c r="L433" s="15"/>
      <c r="M433" s="110"/>
      <c r="N433" s="15"/>
      <c r="O433" s="110"/>
      <c r="P433" s="15"/>
      <c r="Q433" s="110"/>
      <c r="R433" s="15"/>
      <c r="S433" s="110"/>
      <c r="T433" s="15"/>
    </row>
    <row r="434" spans="8:20" x14ac:dyDescent="0.2">
      <c r="H434" s="15"/>
      <c r="I434" s="110"/>
      <c r="J434" s="15"/>
      <c r="K434" s="110"/>
      <c r="L434" s="15"/>
      <c r="M434" s="110"/>
      <c r="N434" s="15"/>
      <c r="O434" s="110"/>
      <c r="P434" s="15"/>
      <c r="Q434" s="110"/>
      <c r="R434" s="15"/>
      <c r="S434" s="110"/>
      <c r="T434" s="15"/>
    </row>
    <row r="435" spans="8:20" x14ac:dyDescent="0.2">
      <c r="H435" s="15"/>
      <c r="I435" s="110"/>
      <c r="J435" s="15"/>
      <c r="K435" s="110"/>
      <c r="L435" s="15"/>
      <c r="M435" s="110"/>
      <c r="N435" s="15"/>
      <c r="O435" s="110"/>
      <c r="P435" s="15"/>
      <c r="Q435" s="110"/>
      <c r="R435" s="15"/>
      <c r="S435" s="110"/>
      <c r="T435" s="15"/>
    </row>
    <row r="436" spans="8:20" x14ac:dyDescent="0.2">
      <c r="H436" s="15"/>
      <c r="I436" s="110"/>
      <c r="J436" s="15"/>
      <c r="K436" s="110"/>
      <c r="L436" s="15"/>
      <c r="M436" s="110"/>
      <c r="N436" s="15"/>
      <c r="O436" s="110"/>
      <c r="P436" s="15"/>
      <c r="Q436" s="110"/>
      <c r="R436" s="15"/>
      <c r="S436" s="110"/>
      <c r="T436" s="15"/>
    </row>
    <row r="437" spans="8:20" x14ac:dyDescent="0.2">
      <c r="H437" s="15"/>
      <c r="I437" s="110"/>
      <c r="J437" s="15"/>
      <c r="K437" s="110"/>
      <c r="L437" s="15"/>
      <c r="M437" s="110"/>
      <c r="N437" s="15"/>
      <c r="O437" s="110"/>
      <c r="P437" s="15"/>
      <c r="Q437" s="110"/>
      <c r="R437" s="15"/>
      <c r="S437" s="110"/>
      <c r="T437" s="15"/>
    </row>
    <row r="438" spans="8:20" x14ac:dyDescent="0.2">
      <c r="H438" s="15"/>
      <c r="I438" s="110"/>
      <c r="J438" s="15"/>
      <c r="K438" s="110"/>
      <c r="L438" s="15"/>
      <c r="M438" s="110"/>
      <c r="N438" s="15"/>
      <c r="O438" s="110"/>
      <c r="P438" s="15"/>
      <c r="Q438" s="110"/>
      <c r="R438" s="15"/>
      <c r="S438" s="110"/>
      <c r="T438" s="15"/>
    </row>
    <row r="439" spans="8:20" x14ac:dyDescent="0.2">
      <c r="H439" s="15"/>
      <c r="I439" s="110"/>
      <c r="J439" s="15"/>
      <c r="K439" s="110"/>
      <c r="L439" s="15"/>
      <c r="M439" s="110"/>
      <c r="N439" s="15"/>
      <c r="O439" s="110"/>
      <c r="P439" s="15"/>
      <c r="Q439" s="110"/>
      <c r="R439" s="15"/>
      <c r="S439" s="110"/>
      <c r="T439" s="15"/>
    </row>
    <row r="440" spans="8:20" x14ac:dyDescent="0.2">
      <c r="H440" s="15"/>
      <c r="I440" s="110"/>
      <c r="J440" s="15"/>
      <c r="K440" s="110"/>
      <c r="L440" s="15"/>
      <c r="M440" s="110"/>
      <c r="N440" s="15"/>
      <c r="O440" s="110"/>
      <c r="P440" s="15"/>
      <c r="Q440" s="110"/>
      <c r="R440" s="15"/>
      <c r="S440" s="110"/>
      <c r="T440" s="15"/>
    </row>
    <row r="441" spans="8:20" x14ac:dyDescent="0.2">
      <c r="H441" s="15"/>
      <c r="I441" s="110"/>
      <c r="J441" s="15"/>
      <c r="K441" s="110"/>
      <c r="L441" s="15"/>
      <c r="M441" s="110"/>
      <c r="N441" s="15"/>
      <c r="O441" s="110"/>
      <c r="P441" s="15"/>
      <c r="Q441" s="110"/>
      <c r="R441" s="15"/>
      <c r="S441" s="110"/>
      <c r="T441" s="15"/>
    </row>
    <row r="442" spans="8:20" x14ac:dyDescent="0.2">
      <c r="H442" s="15"/>
      <c r="I442" s="110"/>
      <c r="J442" s="15"/>
      <c r="K442" s="110"/>
      <c r="L442" s="15"/>
      <c r="M442" s="110"/>
      <c r="N442" s="15"/>
      <c r="O442" s="110"/>
      <c r="P442" s="15"/>
      <c r="Q442" s="110"/>
      <c r="R442" s="15"/>
      <c r="S442" s="110"/>
      <c r="T442" s="15"/>
    </row>
    <row r="443" spans="8:20" x14ac:dyDescent="0.2">
      <c r="H443" s="15"/>
      <c r="I443" s="110"/>
      <c r="J443" s="15"/>
      <c r="K443" s="110"/>
      <c r="L443" s="15"/>
      <c r="M443" s="110"/>
      <c r="N443" s="15"/>
      <c r="O443" s="110"/>
      <c r="P443" s="15"/>
      <c r="Q443" s="110"/>
      <c r="R443" s="15"/>
      <c r="S443" s="110"/>
      <c r="T443" s="15"/>
    </row>
    <row r="444" spans="8:20" x14ac:dyDescent="0.2">
      <c r="H444" s="15"/>
      <c r="I444" s="110"/>
      <c r="J444" s="15"/>
      <c r="K444" s="110"/>
      <c r="L444" s="15"/>
      <c r="M444" s="110"/>
      <c r="N444" s="15"/>
      <c r="O444" s="110"/>
      <c r="P444" s="15"/>
      <c r="Q444" s="110"/>
      <c r="R444" s="15"/>
      <c r="S444" s="110"/>
      <c r="T444" s="15"/>
    </row>
    <row r="445" spans="8:20" x14ac:dyDescent="0.2">
      <c r="H445" s="15"/>
      <c r="I445" s="110"/>
      <c r="J445" s="15"/>
      <c r="K445" s="110"/>
      <c r="L445" s="15"/>
      <c r="M445" s="110"/>
      <c r="N445" s="15"/>
      <c r="O445" s="110"/>
      <c r="P445" s="15"/>
      <c r="Q445" s="110"/>
      <c r="R445" s="15"/>
      <c r="S445" s="110"/>
      <c r="T445" s="15"/>
    </row>
    <row r="446" spans="8:20" x14ac:dyDescent="0.2">
      <c r="H446" s="15"/>
      <c r="I446" s="110"/>
      <c r="J446" s="15"/>
      <c r="K446" s="110"/>
      <c r="L446" s="15"/>
      <c r="M446" s="110"/>
      <c r="N446" s="15"/>
      <c r="O446" s="110"/>
      <c r="P446" s="15"/>
      <c r="Q446" s="110"/>
      <c r="R446" s="15"/>
      <c r="S446" s="110"/>
      <c r="T446" s="15"/>
    </row>
    <row r="447" spans="8:20" x14ac:dyDescent="0.2">
      <c r="H447" s="15"/>
      <c r="I447" s="110"/>
      <c r="J447" s="15"/>
      <c r="K447" s="110"/>
      <c r="L447" s="15"/>
      <c r="M447" s="110"/>
      <c r="N447" s="15"/>
      <c r="O447" s="110"/>
      <c r="P447" s="15"/>
      <c r="Q447" s="110"/>
      <c r="R447" s="15"/>
      <c r="S447" s="110"/>
      <c r="T447" s="15"/>
    </row>
    <row r="448" spans="8:20" x14ac:dyDescent="0.2">
      <c r="H448" s="15"/>
      <c r="I448" s="110"/>
      <c r="J448" s="15"/>
      <c r="K448" s="110"/>
      <c r="L448" s="15"/>
      <c r="M448" s="110"/>
      <c r="N448" s="15"/>
      <c r="O448" s="110"/>
      <c r="P448" s="15"/>
      <c r="Q448" s="110"/>
      <c r="R448" s="15"/>
      <c r="S448" s="110"/>
      <c r="T448" s="15"/>
    </row>
    <row r="449" spans="8:20" x14ac:dyDescent="0.2">
      <c r="H449" s="15"/>
      <c r="I449" s="110"/>
      <c r="J449" s="15"/>
      <c r="K449" s="110"/>
      <c r="L449" s="15"/>
      <c r="M449" s="110"/>
      <c r="N449" s="15"/>
      <c r="O449" s="110"/>
      <c r="P449" s="15"/>
      <c r="Q449" s="110"/>
      <c r="R449" s="15"/>
      <c r="S449" s="110"/>
      <c r="T449" s="15"/>
    </row>
    <row r="450" spans="8:20" x14ac:dyDescent="0.2">
      <c r="H450" s="15"/>
      <c r="I450" s="110"/>
      <c r="J450" s="15"/>
      <c r="K450" s="110"/>
      <c r="L450" s="15"/>
      <c r="M450" s="110"/>
      <c r="N450" s="15"/>
      <c r="O450" s="110"/>
      <c r="P450" s="15"/>
      <c r="Q450" s="110"/>
      <c r="R450" s="15"/>
      <c r="S450" s="110"/>
      <c r="T450" s="15"/>
    </row>
    <row r="451" spans="8:20" x14ac:dyDescent="0.2">
      <c r="H451" s="15"/>
      <c r="I451" s="110"/>
      <c r="J451" s="15"/>
      <c r="K451" s="110"/>
      <c r="L451" s="15"/>
      <c r="M451" s="110"/>
      <c r="N451" s="15"/>
      <c r="O451" s="110"/>
      <c r="P451" s="15"/>
      <c r="Q451" s="110"/>
      <c r="R451" s="15"/>
      <c r="S451" s="110"/>
      <c r="T451" s="15"/>
    </row>
    <row r="452" spans="8:20" x14ac:dyDescent="0.2">
      <c r="H452" s="15"/>
      <c r="I452" s="110"/>
      <c r="J452" s="15"/>
      <c r="K452" s="110"/>
      <c r="L452" s="15"/>
      <c r="M452" s="110"/>
      <c r="N452" s="15"/>
      <c r="O452" s="110"/>
      <c r="P452" s="15"/>
      <c r="Q452" s="110"/>
      <c r="R452" s="15"/>
      <c r="S452" s="110"/>
      <c r="T452" s="15"/>
    </row>
    <row r="453" spans="8:20" x14ac:dyDescent="0.2">
      <c r="H453" s="15"/>
      <c r="I453" s="110"/>
      <c r="J453" s="15"/>
      <c r="K453" s="110"/>
      <c r="L453" s="15"/>
      <c r="M453" s="110"/>
      <c r="N453" s="15"/>
      <c r="O453" s="110"/>
      <c r="P453" s="15"/>
      <c r="Q453" s="110"/>
      <c r="R453" s="15"/>
      <c r="S453" s="110"/>
      <c r="T453" s="15"/>
    </row>
    <row r="454" spans="8:20" x14ac:dyDescent="0.2">
      <c r="H454" s="15"/>
      <c r="I454" s="110"/>
      <c r="J454" s="15"/>
      <c r="K454" s="110"/>
      <c r="L454" s="15"/>
      <c r="M454" s="110"/>
      <c r="N454" s="15"/>
      <c r="O454" s="110"/>
      <c r="P454" s="15"/>
      <c r="Q454" s="110"/>
      <c r="R454" s="15"/>
      <c r="S454" s="110"/>
      <c r="T454" s="15"/>
    </row>
    <row r="455" spans="8:20" x14ac:dyDescent="0.2">
      <c r="H455" s="15"/>
      <c r="I455" s="110"/>
      <c r="J455" s="15"/>
      <c r="K455" s="110"/>
      <c r="L455" s="15"/>
      <c r="M455" s="110"/>
      <c r="N455" s="15"/>
      <c r="O455" s="110"/>
      <c r="P455" s="15"/>
      <c r="Q455" s="110"/>
      <c r="R455" s="15"/>
      <c r="S455" s="110"/>
      <c r="T455" s="15"/>
    </row>
    <row r="456" spans="8:20" x14ac:dyDescent="0.2">
      <c r="H456" s="15"/>
      <c r="I456" s="110"/>
      <c r="J456" s="15"/>
      <c r="K456" s="110"/>
      <c r="L456" s="15"/>
      <c r="M456" s="110"/>
      <c r="N456" s="15"/>
      <c r="O456" s="110"/>
      <c r="P456" s="15"/>
      <c r="Q456" s="110"/>
      <c r="R456" s="15"/>
      <c r="S456" s="110"/>
      <c r="T456" s="15"/>
    </row>
    <row r="457" spans="8:20" x14ac:dyDescent="0.2">
      <c r="H457" s="15"/>
      <c r="I457" s="110"/>
      <c r="J457" s="15"/>
      <c r="K457" s="110"/>
      <c r="L457" s="15"/>
      <c r="M457" s="110"/>
      <c r="N457" s="15"/>
      <c r="O457" s="110"/>
      <c r="P457" s="15"/>
      <c r="Q457" s="110"/>
      <c r="R457" s="15"/>
      <c r="S457" s="110"/>
      <c r="T457" s="15"/>
    </row>
    <row r="458" spans="8:20" x14ac:dyDescent="0.2">
      <c r="H458" s="15"/>
      <c r="I458" s="110"/>
      <c r="J458" s="15"/>
      <c r="K458" s="110"/>
      <c r="L458" s="15"/>
      <c r="M458" s="110"/>
      <c r="N458" s="15"/>
      <c r="O458" s="110"/>
      <c r="P458" s="15"/>
      <c r="Q458" s="110"/>
      <c r="R458" s="15"/>
      <c r="S458" s="110"/>
      <c r="T458" s="15"/>
    </row>
    <row r="459" spans="8:20" x14ac:dyDescent="0.2">
      <c r="H459" s="15"/>
      <c r="I459" s="110"/>
      <c r="J459" s="15"/>
      <c r="K459" s="110"/>
      <c r="L459" s="15"/>
      <c r="M459" s="110"/>
      <c r="N459" s="15"/>
      <c r="O459" s="110"/>
      <c r="P459" s="15"/>
      <c r="Q459" s="110"/>
      <c r="R459" s="15"/>
      <c r="S459" s="110"/>
      <c r="T459" s="15"/>
    </row>
    <row r="460" spans="8:20" x14ac:dyDescent="0.2">
      <c r="H460" s="15"/>
      <c r="I460" s="110"/>
      <c r="J460" s="15"/>
      <c r="K460" s="110"/>
      <c r="L460" s="15"/>
      <c r="M460" s="110"/>
      <c r="N460" s="15"/>
      <c r="O460" s="110"/>
      <c r="P460" s="15"/>
      <c r="Q460" s="110"/>
      <c r="R460" s="15"/>
      <c r="S460" s="110"/>
      <c r="T460" s="15"/>
    </row>
    <row r="461" spans="8:20" x14ac:dyDescent="0.2">
      <c r="H461" s="15"/>
      <c r="I461" s="110"/>
      <c r="J461" s="15"/>
      <c r="K461" s="110"/>
      <c r="L461" s="15"/>
      <c r="M461" s="110"/>
      <c r="N461" s="15"/>
      <c r="O461" s="110"/>
      <c r="P461" s="15"/>
      <c r="Q461" s="110"/>
      <c r="R461" s="15"/>
      <c r="S461" s="110"/>
      <c r="T461" s="15"/>
    </row>
    <row r="462" spans="8:20" x14ac:dyDescent="0.2">
      <c r="H462" s="15"/>
      <c r="I462" s="110"/>
      <c r="J462" s="15"/>
      <c r="K462" s="110"/>
      <c r="L462" s="15"/>
      <c r="M462" s="110"/>
      <c r="N462" s="15"/>
      <c r="O462" s="110"/>
      <c r="P462" s="15"/>
      <c r="Q462" s="110"/>
      <c r="R462" s="15"/>
      <c r="S462" s="110"/>
      <c r="T462" s="15"/>
    </row>
    <row r="463" spans="8:20" x14ac:dyDescent="0.2">
      <c r="H463" s="15"/>
      <c r="I463" s="110"/>
      <c r="J463" s="15"/>
      <c r="K463" s="110"/>
      <c r="L463" s="15"/>
      <c r="M463" s="110"/>
      <c r="N463" s="15"/>
      <c r="O463" s="110"/>
      <c r="P463" s="15"/>
      <c r="Q463" s="110"/>
      <c r="R463" s="15"/>
      <c r="S463" s="110"/>
      <c r="T463" s="15"/>
    </row>
    <row r="464" spans="8:20" x14ac:dyDescent="0.2">
      <c r="H464" s="15"/>
      <c r="I464" s="110"/>
      <c r="J464" s="15"/>
      <c r="K464" s="110"/>
      <c r="L464" s="15"/>
      <c r="M464" s="110"/>
      <c r="N464" s="15"/>
      <c r="O464" s="110"/>
      <c r="P464" s="15"/>
      <c r="Q464" s="110"/>
      <c r="R464" s="15"/>
      <c r="S464" s="110"/>
      <c r="T464" s="15"/>
    </row>
    <row r="465" spans="8:20" x14ac:dyDescent="0.2">
      <c r="H465" s="15"/>
      <c r="I465" s="110"/>
      <c r="J465" s="15"/>
      <c r="K465" s="110"/>
      <c r="L465" s="15"/>
      <c r="M465" s="110"/>
      <c r="N465" s="15"/>
      <c r="O465" s="110"/>
      <c r="P465" s="15"/>
      <c r="Q465" s="110"/>
      <c r="R465" s="15"/>
      <c r="S465" s="110"/>
      <c r="T465" s="15"/>
    </row>
    <row r="466" spans="8:20" x14ac:dyDescent="0.2">
      <c r="H466" s="15"/>
      <c r="I466" s="110"/>
      <c r="J466" s="15"/>
      <c r="K466" s="110"/>
      <c r="L466" s="15"/>
      <c r="M466" s="110"/>
      <c r="N466" s="15"/>
      <c r="O466" s="110"/>
      <c r="P466" s="15"/>
      <c r="Q466" s="110"/>
      <c r="R466" s="15"/>
      <c r="S466" s="110"/>
      <c r="T466" s="15"/>
    </row>
    <row r="467" spans="8:20" x14ac:dyDescent="0.2">
      <c r="H467" s="15"/>
      <c r="I467" s="110"/>
      <c r="J467" s="15"/>
      <c r="K467" s="110"/>
      <c r="L467" s="15"/>
      <c r="M467" s="110"/>
      <c r="N467" s="15"/>
      <c r="O467" s="110"/>
      <c r="P467" s="15"/>
      <c r="Q467" s="110"/>
      <c r="R467" s="15"/>
      <c r="S467" s="110"/>
      <c r="T467" s="15"/>
    </row>
    <row r="468" spans="8:20" x14ac:dyDescent="0.2">
      <c r="H468" s="15"/>
      <c r="I468" s="110"/>
      <c r="J468" s="15"/>
      <c r="K468" s="110"/>
      <c r="L468" s="15"/>
      <c r="M468" s="110"/>
      <c r="N468" s="15"/>
      <c r="O468" s="110"/>
      <c r="P468" s="15"/>
      <c r="Q468" s="110"/>
      <c r="R468" s="15"/>
      <c r="S468" s="110"/>
      <c r="T468" s="15"/>
    </row>
    <row r="469" spans="8:20" x14ac:dyDescent="0.2">
      <c r="H469" s="15"/>
      <c r="I469" s="110"/>
      <c r="J469" s="15"/>
      <c r="K469" s="110"/>
      <c r="L469" s="15"/>
      <c r="M469" s="110"/>
      <c r="N469" s="15"/>
      <c r="O469" s="110"/>
      <c r="P469" s="15"/>
      <c r="Q469" s="110"/>
      <c r="R469" s="15"/>
      <c r="S469" s="110"/>
      <c r="T469" s="15"/>
    </row>
    <row r="470" spans="8:20" x14ac:dyDescent="0.2">
      <c r="H470" s="15"/>
      <c r="I470" s="110"/>
      <c r="J470" s="15"/>
      <c r="K470" s="110"/>
      <c r="L470" s="15"/>
      <c r="M470" s="110"/>
      <c r="N470" s="15"/>
      <c r="O470" s="110"/>
      <c r="P470" s="15"/>
      <c r="Q470" s="110"/>
      <c r="R470" s="15"/>
      <c r="S470" s="110"/>
      <c r="T470" s="15"/>
    </row>
    <row r="471" spans="8:20" x14ac:dyDescent="0.2">
      <c r="H471" s="15"/>
      <c r="I471" s="110"/>
      <c r="J471" s="15"/>
      <c r="K471" s="110"/>
      <c r="L471" s="15"/>
      <c r="M471" s="110"/>
      <c r="N471" s="15"/>
      <c r="O471" s="110"/>
      <c r="P471" s="15"/>
      <c r="Q471" s="110"/>
      <c r="R471" s="15"/>
      <c r="S471" s="110"/>
      <c r="T471" s="15"/>
    </row>
    <row r="472" spans="8:20" x14ac:dyDescent="0.2">
      <c r="H472" s="15"/>
      <c r="I472" s="110"/>
      <c r="J472" s="15"/>
      <c r="K472" s="110"/>
      <c r="L472" s="15"/>
      <c r="M472" s="110"/>
      <c r="N472" s="15"/>
      <c r="O472" s="110"/>
      <c r="P472" s="15"/>
      <c r="Q472" s="110"/>
      <c r="R472" s="15"/>
      <c r="S472" s="110"/>
      <c r="T472" s="15"/>
    </row>
    <row r="473" spans="8:20" x14ac:dyDescent="0.2">
      <c r="H473" s="15"/>
      <c r="I473" s="110"/>
      <c r="J473" s="15"/>
      <c r="K473" s="110"/>
      <c r="L473" s="15"/>
      <c r="M473" s="110"/>
      <c r="N473" s="15"/>
      <c r="O473" s="110"/>
      <c r="P473" s="15"/>
      <c r="Q473" s="110"/>
      <c r="R473" s="15"/>
      <c r="S473" s="110"/>
      <c r="T473" s="15"/>
    </row>
    <row r="474" spans="8:20" x14ac:dyDescent="0.2">
      <c r="H474" s="15"/>
      <c r="I474" s="110"/>
      <c r="J474" s="15"/>
      <c r="K474" s="110"/>
      <c r="L474" s="15"/>
      <c r="M474" s="110"/>
      <c r="N474" s="15"/>
      <c r="O474" s="110"/>
      <c r="P474" s="15"/>
      <c r="Q474" s="110"/>
      <c r="R474" s="15"/>
      <c r="S474" s="110"/>
      <c r="T474" s="15"/>
    </row>
    <row r="475" spans="8:20" x14ac:dyDescent="0.2">
      <c r="H475" s="15"/>
      <c r="I475" s="110"/>
      <c r="J475" s="15"/>
      <c r="K475" s="110"/>
      <c r="L475" s="15"/>
      <c r="M475" s="110"/>
      <c r="N475" s="15"/>
      <c r="O475" s="110"/>
      <c r="P475" s="15"/>
      <c r="Q475" s="110"/>
      <c r="R475" s="15"/>
      <c r="S475" s="110"/>
      <c r="T475" s="15"/>
    </row>
    <row r="476" spans="8:20" x14ac:dyDescent="0.2">
      <c r="H476" s="15"/>
      <c r="I476" s="110"/>
      <c r="J476" s="15"/>
      <c r="K476" s="110"/>
      <c r="L476" s="15"/>
      <c r="M476" s="110"/>
      <c r="N476" s="15"/>
      <c r="O476" s="110"/>
      <c r="P476" s="15"/>
      <c r="Q476" s="110"/>
      <c r="R476" s="15"/>
      <c r="S476" s="110"/>
      <c r="T476" s="15"/>
    </row>
    <row r="477" spans="8:20" x14ac:dyDescent="0.2">
      <c r="H477" s="15"/>
      <c r="I477" s="110"/>
      <c r="J477" s="15"/>
      <c r="K477" s="110"/>
      <c r="L477" s="15"/>
      <c r="M477" s="110"/>
      <c r="N477" s="15"/>
      <c r="O477" s="110"/>
      <c r="P477" s="15"/>
      <c r="Q477" s="110"/>
      <c r="R477" s="15"/>
      <c r="S477" s="110"/>
      <c r="T477" s="15"/>
    </row>
    <row r="478" spans="8:20" x14ac:dyDescent="0.2">
      <c r="H478" s="15"/>
      <c r="I478" s="110"/>
      <c r="J478" s="15"/>
      <c r="K478" s="110"/>
      <c r="L478" s="15"/>
      <c r="M478" s="110"/>
      <c r="N478" s="15"/>
      <c r="O478" s="110"/>
      <c r="P478" s="15"/>
      <c r="Q478" s="110"/>
      <c r="R478" s="15"/>
      <c r="S478" s="110"/>
      <c r="T478" s="15"/>
    </row>
    <row r="479" spans="8:20" x14ac:dyDescent="0.2">
      <c r="H479" s="15"/>
      <c r="I479" s="110"/>
      <c r="J479" s="15"/>
      <c r="K479" s="110"/>
      <c r="L479" s="15"/>
      <c r="M479" s="110"/>
      <c r="N479" s="15"/>
      <c r="O479" s="110"/>
      <c r="P479" s="15"/>
      <c r="Q479" s="110"/>
      <c r="R479" s="15"/>
      <c r="S479" s="110"/>
      <c r="T479" s="15"/>
    </row>
    <row r="480" spans="8:20" x14ac:dyDescent="0.2">
      <c r="H480" s="15"/>
      <c r="I480" s="110"/>
      <c r="J480" s="15"/>
      <c r="K480" s="110"/>
      <c r="L480" s="15"/>
      <c r="M480" s="110"/>
      <c r="N480" s="15"/>
      <c r="O480" s="110"/>
      <c r="P480" s="15"/>
      <c r="Q480" s="110"/>
      <c r="R480" s="15"/>
      <c r="S480" s="110"/>
      <c r="T480" s="15"/>
    </row>
    <row r="481" spans="8:20" x14ac:dyDescent="0.2">
      <c r="H481" s="15"/>
      <c r="I481" s="110"/>
      <c r="J481" s="15"/>
      <c r="K481" s="110"/>
      <c r="L481" s="15"/>
      <c r="M481" s="110"/>
      <c r="N481" s="15"/>
      <c r="O481" s="110"/>
      <c r="P481" s="15"/>
      <c r="Q481" s="110"/>
      <c r="R481" s="15"/>
      <c r="S481" s="110"/>
      <c r="T481" s="15"/>
    </row>
    <row r="482" spans="8:20" x14ac:dyDescent="0.2">
      <c r="H482" s="15"/>
      <c r="I482" s="110"/>
      <c r="J482" s="15"/>
      <c r="K482" s="110"/>
      <c r="L482" s="15"/>
      <c r="M482" s="110"/>
      <c r="N482" s="15"/>
      <c r="O482" s="110"/>
      <c r="P482" s="15"/>
      <c r="Q482" s="110"/>
      <c r="R482" s="15"/>
      <c r="S482" s="110"/>
      <c r="T482" s="15"/>
    </row>
    <row r="483" spans="8:20" x14ac:dyDescent="0.2">
      <c r="H483" s="15"/>
      <c r="I483" s="110"/>
      <c r="J483" s="15"/>
      <c r="K483" s="110"/>
      <c r="L483" s="15"/>
      <c r="M483" s="110"/>
      <c r="N483" s="15"/>
      <c r="O483" s="110"/>
      <c r="P483" s="15"/>
      <c r="Q483" s="110"/>
      <c r="R483" s="15"/>
      <c r="S483" s="110"/>
      <c r="T483" s="15"/>
    </row>
    <row r="484" spans="8:20" x14ac:dyDescent="0.2">
      <c r="H484" s="15"/>
      <c r="I484" s="110"/>
      <c r="J484" s="15"/>
      <c r="K484" s="110"/>
      <c r="L484" s="15"/>
      <c r="M484" s="110"/>
      <c r="N484" s="15"/>
      <c r="O484" s="110"/>
      <c r="P484" s="15"/>
      <c r="Q484" s="110"/>
      <c r="R484" s="15"/>
      <c r="S484" s="110"/>
      <c r="T484" s="15"/>
    </row>
    <row r="485" spans="8:20" x14ac:dyDescent="0.2">
      <c r="H485" s="15"/>
      <c r="I485" s="110"/>
      <c r="J485" s="15"/>
      <c r="K485" s="110"/>
      <c r="L485" s="15"/>
      <c r="M485" s="110"/>
      <c r="N485" s="15"/>
      <c r="O485" s="110"/>
      <c r="P485" s="15"/>
      <c r="Q485" s="110"/>
      <c r="R485" s="15"/>
      <c r="S485" s="110"/>
      <c r="T485" s="15"/>
    </row>
    <row r="486" spans="8:20" x14ac:dyDescent="0.2">
      <c r="H486" s="15"/>
      <c r="I486" s="110"/>
      <c r="J486" s="15"/>
      <c r="K486" s="110"/>
      <c r="L486" s="15"/>
      <c r="M486" s="110"/>
      <c r="N486" s="15"/>
      <c r="O486" s="110"/>
      <c r="P486" s="15"/>
      <c r="Q486" s="110"/>
      <c r="R486" s="15"/>
      <c r="S486" s="110"/>
      <c r="T486" s="15"/>
    </row>
    <row r="487" spans="8:20" x14ac:dyDescent="0.2">
      <c r="H487" s="15"/>
      <c r="I487" s="110"/>
      <c r="J487" s="15"/>
      <c r="K487" s="110"/>
      <c r="L487" s="15"/>
      <c r="M487" s="110"/>
      <c r="N487" s="15"/>
      <c r="O487" s="110"/>
      <c r="P487" s="15"/>
      <c r="Q487" s="110"/>
      <c r="R487" s="15"/>
      <c r="S487" s="110"/>
      <c r="T487" s="15"/>
    </row>
    <row r="488" spans="8:20" x14ac:dyDescent="0.2">
      <c r="H488" s="15"/>
      <c r="I488" s="110"/>
      <c r="J488" s="15"/>
      <c r="K488" s="110"/>
      <c r="L488" s="15"/>
      <c r="M488" s="110"/>
      <c r="N488" s="15"/>
      <c r="O488" s="110"/>
      <c r="P488" s="15"/>
      <c r="Q488" s="110"/>
      <c r="R488" s="15"/>
      <c r="S488" s="110"/>
      <c r="T488" s="15"/>
    </row>
    <row r="489" spans="8:20" x14ac:dyDescent="0.2">
      <c r="H489" s="15"/>
      <c r="I489" s="110"/>
      <c r="J489" s="15"/>
      <c r="K489" s="110"/>
      <c r="L489" s="15"/>
      <c r="M489" s="110"/>
      <c r="N489" s="15"/>
      <c r="O489" s="110"/>
      <c r="P489" s="15"/>
      <c r="Q489" s="110"/>
      <c r="R489" s="15"/>
      <c r="S489" s="110"/>
      <c r="T489" s="15"/>
    </row>
    <row r="490" spans="8:20" x14ac:dyDescent="0.2">
      <c r="H490" s="15"/>
      <c r="I490" s="110"/>
      <c r="J490" s="15"/>
      <c r="K490" s="110"/>
      <c r="L490" s="15"/>
      <c r="M490" s="110"/>
      <c r="N490" s="15"/>
      <c r="O490" s="110"/>
      <c r="P490" s="15"/>
      <c r="Q490" s="110"/>
      <c r="R490" s="15"/>
      <c r="S490" s="110"/>
      <c r="T490" s="15"/>
    </row>
    <row r="491" spans="8:20" x14ac:dyDescent="0.2">
      <c r="H491" s="15"/>
      <c r="I491" s="110"/>
      <c r="J491" s="15"/>
      <c r="K491" s="110"/>
      <c r="L491" s="15"/>
      <c r="M491" s="110"/>
      <c r="N491" s="15"/>
      <c r="O491" s="110"/>
      <c r="P491" s="15"/>
      <c r="Q491" s="110"/>
      <c r="R491" s="15"/>
      <c r="S491" s="110"/>
      <c r="T491" s="15"/>
    </row>
    <row r="492" spans="8:20" x14ac:dyDescent="0.2">
      <c r="H492" s="15"/>
      <c r="I492" s="110"/>
      <c r="J492" s="15"/>
      <c r="K492" s="110"/>
      <c r="L492" s="15"/>
      <c r="M492" s="110"/>
      <c r="N492" s="15"/>
      <c r="O492" s="110"/>
      <c r="P492" s="15"/>
      <c r="Q492" s="110"/>
      <c r="R492" s="15"/>
      <c r="S492" s="110"/>
      <c r="T492" s="15"/>
    </row>
    <row r="493" spans="8:20" x14ac:dyDescent="0.2">
      <c r="H493" s="15"/>
      <c r="I493" s="110"/>
      <c r="J493" s="15"/>
      <c r="K493" s="110"/>
      <c r="L493" s="15"/>
      <c r="M493" s="110"/>
      <c r="N493" s="15"/>
      <c r="O493" s="110"/>
      <c r="P493" s="15"/>
      <c r="Q493" s="110"/>
      <c r="R493" s="15"/>
      <c r="S493" s="110"/>
      <c r="T493" s="15"/>
    </row>
    <row r="494" spans="8:20" x14ac:dyDescent="0.2">
      <c r="H494" s="15"/>
      <c r="I494" s="110"/>
      <c r="J494" s="15"/>
      <c r="K494" s="110"/>
      <c r="L494" s="15"/>
      <c r="M494" s="110"/>
      <c r="N494" s="15"/>
      <c r="O494" s="110"/>
      <c r="P494" s="15"/>
      <c r="Q494" s="110"/>
      <c r="R494" s="15"/>
      <c r="S494" s="110"/>
      <c r="T494" s="15"/>
    </row>
    <row r="495" spans="8:20" x14ac:dyDescent="0.2">
      <c r="H495" s="15"/>
      <c r="I495" s="110"/>
      <c r="J495" s="15"/>
      <c r="K495" s="110"/>
      <c r="L495" s="15"/>
      <c r="M495" s="110"/>
      <c r="N495" s="15"/>
      <c r="O495" s="110"/>
      <c r="P495" s="15"/>
      <c r="Q495" s="110"/>
      <c r="R495" s="15"/>
      <c r="S495" s="110"/>
      <c r="T495" s="15"/>
    </row>
    <row r="496" spans="8:20" x14ac:dyDescent="0.2">
      <c r="H496" s="15"/>
      <c r="I496" s="110"/>
      <c r="J496" s="15"/>
      <c r="K496" s="110"/>
      <c r="L496" s="15"/>
      <c r="M496" s="110"/>
      <c r="N496" s="15"/>
      <c r="O496" s="110"/>
      <c r="P496" s="15"/>
      <c r="Q496" s="110"/>
      <c r="R496" s="15"/>
      <c r="S496" s="110"/>
      <c r="T496" s="15"/>
    </row>
    <row r="497" spans="8:20" x14ac:dyDescent="0.2">
      <c r="H497" s="15"/>
      <c r="I497" s="110"/>
      <c r="J497" s="15"/>
      <c r="K497" s="110"/>
      <c r="L497" s="15"/>
      <c r="M497" s="110"/>
      <c r="N497" s="15"/>
      <c r="O497" s="110"/>
      <c r="P497" s="15"/>
      <c r="Q497" s="110"/>
      <c r="R497" s="15"/>
      <c r="S497" s="110"/>
      <c r="T497" s="15"/>
    </row>
    <row r="498" spans="8:20" x14ac:dyDescent="0.2">
      <c r="H498" s="15"/>
      <c r="I498" s="110"/>
      <c r="J498" s="15"/>
      <c r="K498" s="110"/>
      <c r="L498" s="15"/>
      <c r="M498" s="110"/>
      <c r="N498" s="15"/>
      <c r="O498" s="110"/>
      <c r="P498" s="15"/>
      <c r="Q498" s="110"/>
      <c r="R498" s="15"/>
      <c r="S498" s="110"/>
      <c r="T498" s="15"/>
    </row>
    <row r="499" spans="8:20" x14ac:dyDescent="0.2">
      <c r="H499" s="15"/>
      <c r="I499" s="110"/>
      <c r="J499" s="15"/>
      <c r="K499" s="110"/>
      <c r="L499" s="15"/>
      <c r="M499" s="110"/>
      <c r="N499" s="15"/>
      <c r="O499" s="110"/>
      <c r="P499" s="15"/>
      <c r="Q499" s="110"/>
      <c r="R499" s="15"/>
      <c r="S499" s="110"/>
      <c r="T499" s="15"/>
    </row>
    <row r="500" spans="8:20" x14ac:dyDescent="0.2">
      <c r="H500" s="15"/>
      <c r="I500" s="110"/>
      <c r="J500" s="15"/>
      <c r="K500" s="110"/>
      <c r="L500" s="15"/>
      <c r="M500" s="110"/>
      <c r="N500" s="15"/>
      <c r="O500" s="110"/>
      <c r="P500" s="15"/>
      <c r="Q500" s="110"/>
      <c r="R500" s="15"/>
      <c r="S500" s="110"/>
      <c r="T500" s="15"/>
    </row>
    <row r="501" spans="8:20" x14ac:dyDescent="0.2">
      <c r="H501" s="15"/>
      <c r="I501" s="110"/>
      <c r="J501" s="15"/>
      <c r="K501" s="110"/>
      <c r="L501" s="15"/>
      <c r="M501" s="110"/>
      <c r="N501" s="15"/>
      <c r="O501" s="110"/>
      <c r="P501" s="15"/>
      <c r="Q501" s="110"/>
      <c r="R501" s="15"/>
      <c r="S501" s="110"/>
      <c r="T501" s="15"/>
    </row>
    <row r="502" spans="8:20" x14ac:dyDescent="0.2">
      <c r="H502" s="15"/>
      <c r="I502" s="110"/>
      <c r="J502" s="15"/>
      <c r="K502" s="110"/>
      <c r="L502" s="15"/>
      <c r="M502" s="110"/>
      <c r="N502" s="15"/>
      <c r="O502" s="110"/>
      <c r="P502" s="15"/>
      <c r="Q502" s="110"/>
      <c r="R502" s="15"/>
      <c r="S502" s="110"/>
      <c r="T502" s="15"/>
    </row>
    <row r="503" spans="8:20" x14ac:dyDescent="0.2">
      <c r="H503" s="15"/>
      <c r="I503" s="110"/>
      <c r="J503" s="15"/>
      <c r="K503" s="110"/>
      <c r="L503" s="15"/>
      <c r="M503" s="110"/>
      <c r="N503" s="15"/>
      <c r="O503" s="110"/>
      <c r="P503" s="15"/>
      <c r="Q503" s="110"/>
      <c r="R503" s="15"/>
      <c r="S503" s="110"/>
      <c r="T503" s="15"/>
    </row>
    <row r="504" spans="8:20" x14ac:dyDescent="0.2">
      <c r="H504" s="15"/>
      <c r="I504" s="110"/>
      <c r="J504" s="15"/>
      <c r="K504" s="110"/>
      <c r="L504" s="15"/>
      <c r="M504" s="110"/>
      <c r="N504" s="15"/>
      <c r="O504" s="110"/>
      <c r="P504" s="15"/>
      <c r="Q504" s="110"/>
      <c r="R504" s="15"/>
      <c r="S504" s="110"/>
      <c r="T504" s="15"/>
    </row>
    <row r="505" spans="8:20" x14ac:dyDescent="0.2">
      <c r="H505" s="15"/>
      <c r="I505" s="110"/>
      <c r="J505" s="15"/>
      <c r="K505" s="110"/>
      <c r="L505" s="15"/>
      <c r="M505" s="110"/>
      <c r="N505" s="15"/>
      <c r="O505" s="110"/>
      <c r="P505" s="15"/>
      <c r="Q505" s="110"/>
      <c r="R505" s="15"/>
      <c r="S505" s="110"/>
      <c r="T505" s="15"/>
    </row>
    <row r="506" spans="8:20" x14ac:dyDescent="0.2">
      <c r="H506" s="15"/>
      <c r="I506" s="110"/>
      <c r="J506" s="15"/>
      <c r="K506" s="110"/>
      <c r="L506" s="15"/>
      <c r="M506" s="110"/>
      <c r="N506" s="15"/>
      <c r="O506" s="110"/>
      <c r="P506" s="15"/>
      <c r="Q506" s="110"/>
      <c r="R506" s="15"/>
      <c r="S506" s="110"/>
      <c r="T506" s="15"/>
    </row>
    <row r="507" spans="8:20" x14ac:dyDescent="0.2">
      <c r="H507" s="15"/>
      <c r="I507" s="110"/>
      <c r="J507" s="15"/>
      <c r="K507" s="110"/>
      <c r="L507" s="15"/>
      <c r="M507" s="110"/>
      <c r="N507" s="15"/>
      <c r="O507" s="110"/>
      <c r="P507" s="15"/>
      <c r="Q507" s="110"/>
      <c r="R507" s="15"/>
      <c r="S507" s="110"/>
      <c r="T507" s="15"/>
    </row>
    <row r="508" spans="8:20" x14ac:dyDescent="0.2">
      <c r="H508" s="15"/>
      <c r="I508" s="110"/>
      <c r="J508" s="15"/>
      <c r="K508" s="110"/>
      <c r="L508" s="15"/>
      <c r="M508" s="110"/>
      <c r="N508" s="15"/>
      <c r="O508" s="110"/>
      <c r="P508" s="15"/>
      <c r="Q508" s="110"/>
      <c r="R508" s="15"/>
      <c r="S508" s="110"/>
      <c r="T508" s="15"/>
    </row>
    <row r="509" spans="8:20" x14ac:dyDescent="0.2">
      <c r="H509" s="15"/>
      <c r="I509" s="110"/>
      <c r="J509" s="15"/>
      <c r="K509" s="110"/>
      <c r="L509" s="15"/>
      <c r="M509" s="110"/>
      <c r="N509" s="15"/>
      <c r="O509" s="110"/>
      <c r="P509" s="15"/>
      <c r="Q509" s="110"/>
      <c r="R509" s="15"/>
      <c r="S509" s="110"/>
      <c r="T509" s="15"/>
    </row>
    <row r="510" spans="8:20" x14ac:dyDescent="0.2">
      <c r="H510" s="15"/>
      <c r="I510" s="110"/>
      <c r="J510" s="15"/>
      <c r="K510" s="110"/>
      <c r="L510" s="15"/>
      <c r="M510" s="110"/>
      <c r="N510" s="15"/>
      <c r="O510" s="110"/>
      <c r="P510" s="15"/>
      <c r="Q510" s="110"/>
      <c r="R510" s="15"/>
      <c r="S510" s="110"/>
      <c r="T510" s="15"/>
    </row>
    <row r="511" spans="8:20" x14ac:dyDescent="0.2">
      <c r="H511" s="15"/>
      <c r="I511" s="110"/>
      <c r="J511" s="15"/>
      <c r="K511" s="110"/>
      <c r="L511" s="15"/>
      <c r="M511" s="110"/>
      <c r="N511" s="15"/>
      <c r="O511" s="110"/>
      <c r="P511" s="15"/>
      <c r="Q511" s="110"/>
      <c r="R511" s="15"/>
      <c r="S511" s="110"/>
      <c r="T511" s="15"/>
    </row>
    <row r="512" spans="8:20" x14ac:dyDescent="0.2">
      <c r="H512" s="15"/>
      <c r="I512" s="110"/>
      <c r="J512" s="15"/>
      <c r="K512" s="110"/>
      <c r="L512" s="15"/>
      <c r="M512" s="110"/>
      <c r="N512" s="15"/>
      <c r="O512" s="110"/>
      <c r="P512" s="15"/>
      <c r="Q512" s="110"/>
      <c r="R512" s="15"/>
      <c r="S512" s="110"/>
      <c r="T512" s="15"/>
    </row>
    <row r="513" spans="8:20" x14ac:dyDescent="0.2">
      <c r="H513" s="15"/>
      <c r="I513" s="110"/>
      <c r="J513" s="15"/>
      <c r="K513" s="110"/>
      <c r="L513" s="15"/>
      <c r="M513" s="110"/>
      <c r="N513" s="15"/>
      <c r="O513" s="110"/>
      <c r="P513" s="15"/>
      <c r="Q513" s="110"/>
      <c r="R513" s="15"/>
      <c r="S513" s="110"/>
      <c r="T513" s="15"/>
    </row>
    <row r="514" spans="8:20" x14ac:dyDescent="0.2">
      <c r="H514" s="15"/>
      <c r="I514" s="110"/>
      <c r="J514" s="15"/>
      <c r="K514" s="110"/>
      <c r="L514" s="15"/>
      <c r="M514" s="110"/>
      <c r="N514" s="15"/>
      <c r="O514" s="110"/>
      <c r="P514" s="15"/>
      <c r="Q514" s="110"/>
      <c r="R514" s="15"/>
      <c r="S514" s="110"/>
      <c r="T514" s="15"/>
    </row>
    <row r="515" spans="8:20" x14ac:dyDescent="0.2">
      <c r="H515" s="15"/>
      <c r="I515" s="110"/>
      <c r="J515" s="15"/>
      <c r="K515" s="110"/>
      <c r="L515" s="15"/>
      <c r="M515" s="110"/>
      <c r="N515" s="15"/>
      <c r="O515" s="110"/>
      <c r="P515" s="15"/>
      <c r="Q515" s="110"/>
      <c r="R515" s="15"/>
      <c r="S515" s="110"/>
      <c r="T515" s="15"/>
    </row>
    <row r="516" spans="8:20" x14ac:dyDescent="0.2">
      <c r="H516" s="15"/>
      <c r="I516" s="110"/>
      <c r="J516" s="15"/>
      <c r="K516" s="110"/>
      <c r="L516" s="15"/>
      <c r="M516" s="110"/>
      <c r="N516" s="15"/>
      <c r="O516" s="110"/>
      <c r="P516" s="15"/>
      <c r="Q516" s="110"/>
      <c r="R516" s="15"/>
      <c r="S516" s="110"/>
      <c r="T516" s="15"/>
    </row>
    <row r="517" spans="8:20" x14ac:dyDescent="0.2">
      <c r="H517" s="15"/>
      <c r="I517" s="110"/>
      <c r="J517" s="15"/>
      <c r="K517" s="110"/>
      <c r="L517" s="15"/>
      <c r="M517" s="110"/>
      <c r="N517" s="15"/>
      <c r="O517" s="110"/>
      <c r="P517" s="15"/>
      <c r="Q517" s="110"/>
      <c r="R517" s="15"/>
      <c r="S517" s="110"/>
      <c r="T517" s="15"/>
    </row>
    <row r="518" spans="8:20" x14ac:dyDescent="0.2">
      <c r="H518" s="15"/>
      <c r="I518" s="110"/>
      <c r="J518" s="15"/>
      <c r="K518" s="110"/>
      <c r="L518" s="15"/>
      <c r="M518" s="110"/>
      <c r="N518" s="15"/>
      <c r="O518" s="110"/>
      <c r="P518" s="15"/>
      <c r="Q518" s="110"/>
      <c r="R518" s="15"/>
      <c r="S518" s="110"/>
      <c r="T518" s="15"/>
    </row>
    <row r="519" spans="8:20" x14ac:dyDescent="0.2">
      <c r="H519" s="15"/>
      <c r="I519" s="110"/>
      <c r="J519" s="15"/>
      <c r="K519" s="110"/>
      <c r="L519" s="15"/>
      <c r="M519" s="110"/>
      <c r="N519" s="15"/>
      <c r="O519" s="110"/>
      <c r="P519" s="15"/>
      <c r="Q519" s="110"/>
      <c r="R519" s="15"/>
      <c r="S519" s="110"/>
      <c r="T519" s="15"/>
    </row>
    <row r="520" spans="8:20" x14ac:dyDescent="0.2">
      <c r="H520" s="15"/>
      <c r="I520" s="110"/>
      <c r="J520" s="15"/>
      <c r="K520" s="110"/>
      <c r="L520" s="15"/>
      <c r="M520" s="110"/>
      <c r="N520" s="15"/>
      <c r="O520" s="110"/>
      <c r="P520" s="15"/>
      <c r="Q520" s="110"/>
      <c r="R520" s="15"/>
      <c r="S520" s="110"/>
      <c r="T520" s="15"/>
    </row>
    <row r="521" spans="8:20" x14ac:dyDescent="0.2">
      <c r="H521" s="15"/>
      <c r="I521" s="110"/>
      <c r="J521" s="15"/>
      <c r="K521" s="110"/>
      <c r="L521" s="15"/>
      <c r="M521" s="110"/>
      <c r="N521" s="15"/>
      <c r="O521" s="110"/>
      <c r="P521" s="15"/>
      <c r="Q521" s="110"/>
      <c r="R521" s="15"/>
      <c r="S521" s="110"/>
      <c r="T521" s="15"/>
    </row>
    <row r="522" spans="8:20" x14ac:dyDescent="0.2">
      <c r="H522" s="15"/>
      <c r="I522" s="110"/>
      <c r="J522" s="15"/>
      <c r="K522" s="110"/>
      <c r="L522" s="15"/>
      <c r="M522" s="110"/>
      <c r="N522" s="15"/>
      <c r="O522" s="110"/>
      <c r="P522" s="15"/>
      <c r="Q522" s="110"/>
      <c r="R522" s="15"/>
      <c r="S522" s="110"/>
      <c r="T522" s="15"/>
    </row>
    <row r="523" spans="8:20" x14ac:dyDescent="0.2">
      <c r="H523" s="15"/>
      <c r="I523" s="110"/>
      <c r="J523" s="15"/>
      <c r="K523" s="110"/>
      <c r="L523" s="15"/>
      <c r="M523" s="110"/>
      <c r="N523" s="15"/>
      <c r="O523" s="110"/>
      <c r="P523" s="15"/>
      <c r="Q523" s="110"/>
      <c r="R523" s="15"/>
      <c r="S523" s="110"/>
      <c r="T523" s="15"/>
    </row>
    <row r="524" spans="8:20" x14ac:dyDescent="0.2">
      <c r="H524" s="15"/>
      <c r="I524" s="110"/>
      <c r="J524" s="15"/>
      <c r="K524" s="110"/>
      <c r="L524" s="15"/>
      <c r="M524" s="110"/>
      <c r="N524" s="15"/>
      <c r="O524" s="110"/>
      <c r="P524" s="15"/>
      <c r="Q524" s="110"/>
      <c r="R524" s="15"/>
      <c r="S524" s="110"/>
      <c r="T524" s="15"/>
    </row>
    <row r="525" spans="8:20" x14ac:dyDescent="0.2">
      <c r="H525" s="15"/>
      <c r="I525" s="110"/>
      <c r="J525" s="15"/>
      <c r="K525" s="110"/>
      <c r="L525" s="15"/>
      <c r="M525" s="110"/>
      <c r="N525" s="15"/>
      <c r="O525" s="110"/>
      <c r="P525" s="15"/>
      <c r="Q525" s="110"/>
      <c r="R525" s="15"/>
      <c r="S525" s="110"/>
      <c r="T525" s="15"/>
    </row>
    <row r="526" spans="8:20" x14ac:dyDescent="0.2">
      <c r="H526" s="15"/>
      <c r="I526" s="110"/>
      <c r="J526" s="15"/>
      <c r="K526" s="110"/>
      <c r="L526" s="15"/>
      <c r="M526" s="110"/>
      <c r="N526" s="15"/>
      <c r="O526" s="110"/>
      <c r="P526" s="15"/>
      <c r="Q526" s="110"/>
      <c r="R526" s="15"/>
      <c r="S526" s="110"/>
      <c r="T526" s="15"/>
    </row>
    <row r="527" spans="8:20" x14ac:dyDescent="0.2">
      <c r="H527" s="15"/>
      <c r="I527" s="110"/>
      <c r="J527" s="15"/>
      <c r="K527" s="110"/>
      <c r="L527" s="15"/>
      <c r="M527" s="110"/>
      <c r="N527" s="15"/>
      <c r="O527" s="110"/>
      <c r="P527" s="15"/>
      <c r="Q527" s="110"/>
      <c r="R527" s="15"/>
      <c r="S527" s="110"/>
      <c r="T527" s="15"/>
    </row>
    <row r="528" spans="8:20" x14ac:dyDescent="0.2">
      <c r="H528" s="15"/>
      <c r="I528" s="110"/>
      <c r="J528" s="15"/>
      <c r="K528" s="110"/>
      <c r="L528" s="15"/>
      <c r="M528" s="110"/>
      <c r="N528" s="15"/>
      <c r="O528" s="110"/>
      <c r="P528" s="15"/>
      <c r="Q528" s="110"/>
      <c r="R528" s="15"/>
      <c r="S528" s="110"/>
      <c r="T528" s="15"/>
    </row>
    <row r="529" spans="8:20" x14ac:dyDescent="0.2">
      <c r="H529" s="15"/>
      <c r="I529" s="110"/>
      <c r="J529" s="15"/>
      <c r="K529" s="110"/>
      <c r="L529" s="15"/>
      <c r="M529" s="110"/>
      <c r="N529" s="15"/>
      <c r="O529" s="110"/>
      <c r="P529" s="15"/>
      <c r="Q529" s="110"/>
      <c r="R529" s="15"/>
      <c r="S529" s="110"/>
      <c r="T529" s="15"/>
    </row>
    <row r="530" spans="8:20" x14ac:dyDescent="0.2">
      <c r="H530" s="15"/>
      <c r="I530" s="110"/>
      <c r="J530" s="15"/>
      <c r="K530" s="110"/>
      <c r="L530" s="15"/>
      <c r="M530" s="110"/>
      <c r="N530" s="15"/>
      <c r="O530" s="110"/>
      <c r="P530" s="15"/>
      <c r="Q530" s="110"/>
      <c r="R530" s="15"/>
      <c r="S530" s="110"/>
      <c r="T530" s="15"/>
    </row>
    <row r="531" spans="8:20" x14ac:dyDescent="0.2">
      <c r="H531" s="15"/>
      <c r="I531" s="110"/>
      <c r="J531" s="15"/>
      <c r="K531" s="110"/>
      <c r="L531" s="15"/>
      <c r="M531" s="110"/>
      <c r="N531" s="15"/>
      <c r="O531" s="110"/>
      <c r="P531" s="15"/>
      <c r="Q531" s="110"/>
      <c r="R531" s="15"/>
      <c r="S531" s="110"/>
      <c r="T531" s="15"/>
    </row>
    <row r="532" spans="8:20" x14ac:dyDescent="0.2">
      <c r="H532" s="15"/>
      <c r="I532" s="110"/>
      <c r="J532" s="15"/>
      <c r="K532" s="110"/>
      <c r="L532" s="15"/>
      <c r="M532" s="110"/>
      <c r="N532" s="15"/>
      <c r="O532" s="110"/>
      <c r="P532" s="15"/>
      <c r="Q532" s="110"/>
      <c r="R532" s="15"/>
      <c r="S532" s="110"/>
      <c r="T532" s="15"/>
    </row>
    <row r="533" spans="8:20" x14ac:dyDescent="0.2">
      <c r="H533" s="15"/>
      <c r="I533" s="110"/>
      <c r="J533" s="15"/>
      <c r="K533" s="110"/>
      <c r="L533" s="15"/>
      <c r="M533" s="110"/>
      <c r="N533" s="15"/>
      <c r="O533" s="110"/>
      <c r="P533" s="15"/>
      <c r="Q533" s="110"/>
      <c r="R533" s="15"/>
      <c r="S533" s="110"/>
      <c r="T533" s="15"/>
    </row>
    <row r="534" spans="8:20" x14ac:dyDescent="0.2">
      <c r="H534" s="15"/>
      <c r="I534" s="110"/>
      <c r="J534" s="15"/>
      <c r="K534" s="110"/>
      <c r="L534" s="15"/>
      <c r="M534" s="110"/>
      <c r="N534" s="15"/>
      <c r="O534" s="110"/>
      <c r="P534" s="15"/>
      <c r="Q534" s="110"/>
      <c r="R534" s="15"/>
      <c r="S534" s="110"/>
      <c r="T534" s="15"/>
    </row>
    <row r="535" spans="8:20" x14ac:dyDescent="0.2">
      <c r="H535" s="15"/>
      <c r="I535" s="110"/>
      <c r="J535" s="15"/>
      <c r="K535" s="110"/>
      <c r="L535" s="15"/>
      <c r="M535" s="110"/>
      <c r="N535" s="15"/>
      <c r="O535" s="110"/>
      <c r="P535" s="15"/>
      <c r="Q535" s="110"/>
      <c r="R535" s="15"/>
      <c r="S535" s="110"/>
      <c r="T535" s="15"/>
    </row>
    <row r="536" spans="8:20" x14ac:dyDescent="0.2">
      <c r="H536" s="15"/>
      <c r="I536" s="110"/>
      <c r="J536" s="15"/>
      <c r="K536" s="110"/>
      <c r="L536" s="15"/>
      <c r="M536" s="110"/>
      <c r="N536" s="15"/>
      <c r="O536" s="110"/>
      <c r="P536" s="15"/>
      <c r="Q536" s="110"/>
      <c r="R536" s="15"/>
      <c r="S536" s="110"/>
      <c r="T536" s="15"/>
    </row>
    <row r="537" spans="8:20" x14ac:dyDescent="0.2">
      <c r="H537" s="15"/>
      <c r="I537" s="110"/>
      <c r="J537" s="15"/>
      <c r="K537" s="110"/>
      <c r="L537" s="15"/>
      <c r="M537" s="110"/>
      <c r="N537" s="15"/>
      <c r="O537" s="110"/>
      <c r="P537" s="15"/>
      <c r="Q537" s="110"/>
      <c r="R537" s="15"/>
      <c r="S537" s="110"/>
      <c r="T537" s="15"/>
    </row>
    <row r="538" spans="8:20" x14ac:dyDescent="0.2">
      <c r="H538" s="15"/>
      <c r="I538" s="110"/>
      <c r="J538" s="15"/>
      <c r="K538" s="110"/>
      <c r="L538" s="15"/>
      <c r="M538" s="110"/>
      <c r="N538" s="15"/>
      <c r="O538" s="110"/>
      <c r="P538" s="15"/>
      <c r="Q538" s="110"/>
      <c r="R538" s="15"/>
      <c r="S538" s="110"/>
      <c r="T538" s="15"/>
    </row>
    <row r="539" spans="8:20" x14ac:dyDescent="0.2">
      <c r="H539" s="15"/>
      <c r="I539" s="110"/>
      <c r="J539" s="15"/>
      <c r="K539" s="110"/>
      <c r="L539" s="15"/>
      <c r="M539" s="110"/>
      <c r="N539" s="15"/>
      <c r="O539" s="110"/>
      <c r="P539" s="15"/>
      <c r="Q539" s="110"/>
      <c r="R539" s="15"/>
      <c r="S539" s="110"/>
      <c r="T539" s="15"/>
    </row>
    <row r="540" spans="8:20" x14ac:dyDescent="0.2">
      <c r="H540" s="15"/>
      <c r="I540" s="110"/>
      <c r="J540" s="15"/>
      <c r="K540" s="110"/>
      <c r="L540" s="15"/>
      <c r="M540" s="110"/>
      <c r="N540" s="15"/>
      <c r="O540" s="110"/>
      <c r="P540" s="15"/>
      <c r="Q540" s="110"/>
      <c r="R540" s="15"/>
      <c r="S540" s="110"/>
      <c r="T540" s="15"/>
    </row>
    <row r="541" spans="8:20" x14ac:dyDescent="0.2">
      <c r="H541" s="15"/>
      <c r="I541" s="110"/>
      <c r="J541" s="15"/>
      <c r="K541" s="110"/>
      <c r="L541" s="15"/>
      <c r="M541" s="110"/>
      <c r="N541" s="15"/>
      <c r="O541" s="110"/>
      <c r="P541" s="15"/>
      <c r="Q541" s="110"/>
      <c r="R541" s="15"/>
      <c r="S541" s="110"/>
      <c r="T541" s="15"/>
    </row>
    <row r="542" spans="8:20" x14ac:dyDescent="0.2">
      <c r="H542" s="15"/>
      <c r="I542" s="110"/>
      <c r="J542" s="15"/>
      <c r="K542" s="110"/>
      <c r="L542" s="15"/>
      <c r="M542" s="110"/>
      <c r="N542" s="15"/>
      <c r="O542" s="110"/>
      <c r="P542" s="15"/>
      <c r="Q542" s="110"/>
      <c r="R542" s="15"/>
      <c r="S542" s="110"/>
      <c r="T542" s="15"/>
    </row>
    <row r="543" spans="8:20" x14ac:dyDescent="0.2">
      <c r="H543" s="15"/>
      <c r="I543" s="110"/>
      <c r="J543" s="15"/>
      <c r="K543" s="110"/>
      <c r="L543" s="15"/>
      <c r="M543" s="110"/>
      <c r="N543" s="15"/>
      <c r="O543" s="110"/>
      <c r="P543" s="15"/>
      <c r="Q543" s="110"/>
      <c r="R543" s="15"/>
      <c r="S543" s="110"/>
      <c r="T543" s="15"/>
    </row>
    <row r="544" spans="8:20" x14ac:dyDescent="0.2">
      <c r="H544" s="15"/>
      <c r="I544" s="110"/>
      <c r="J544" s="15"/>
      <c r="K544" s="110"/>
      <c r="L544" s="15"/>
      <c r="M544" s="110"/>
      <c r="N544" s="15"/>
      <c r="O544" s="110"/>
      <c r="P544" s="15"/>
      <c r="Q544" s="110"/>
      <c r="R544" s="15"/>
      <c r="S544" s="110"/>
      <c r="T544" s="15"/>
    </row>
    <row r="545" spans="8:20" x14ac:dyDescent="0.2">
      <c r="H545" s="15"/>
      <c r="I545" s="110"/>
      <c r="J545" s="15"/>
      <c r="K545" s="110"/>
      <c r="L545" s="15"/>
      <c r="M545" s="110"/>
      <c r="N545" s="15"/>
      <c r="O545" s="110"/>
      <c r="P545" s="15"/>
      <c r="Q545" s="110"/>
      <c r="R545" s="15"/>
      <c r="S545" s="110"/>
      <c r="T545" s="15"/>
    </row>
    <row r="546" spans="8:20" x14ac:dyDescent="0.2">
      <c r="H546" s="15"/>
      <c r="I546" s="110"/>
      <c r="J546" s="15"/>
      <c r="K546" s="110"/>
      <c r="L546" s="15"/>
      <c r="M546" s="110"/>
      <c r="N546" s="15"/>
      <c r="O546" s="110"/>
      <c r="P546" s="15"/>
      <c r="Q546" s="110"/>
      <c r="R546" s="15"/>
      <c r="S546" s="110"/>
      <c r="T546" s="15"/>
    </row>
    <row r="547" spans="8:20" x14ac:dyDescent="0.2">
      <c r="H547" s="15"/>
      <c r="I547" s="110"/>
      <c r="J547" s="15"/>
      <c r="K547" s="110"/>
      <c r="L547" s="15"/>
      <c r="M547" s="110"/>
      <c r="N547" s="15"/>
      <c r="O547" s="110"/>
      <c r="P547" s="15"/>
      <c r="Q547" s="110"/>
      <c r="R547" s="15"/>
      <c r="S547" s="110"/>
      <c r="T547" s="15"/>
    </row>
    <row r="548" spans="8:20" x14ac:dyDescent="0.2">
      <c r="H548" s="15"/>
      <c r="I548" s="110"/>
      <c r="J548" s="15"/>
      <c r="K548" s="110"/>
      <c r="L548" s="15"/>
      <c r="M548" s="110"/>
      <c r="N548" s="15"/>
      <c r="O548" s="110"/>
      <c r="P548" s="15"/>
      <c r="Q548" s="110"/>
      <c r="R548" s="15"/>
      <c r="S548" s="110"/>
      <c r="T548" s="15"/>
    </row>
    <row r="549" spans="8:20" x14ac:dyDescent="0.2">
      <c r="H549" s="15"/>
      <c r="I549" s="110"/>
      <c r="J549" s="15"/>
      <c r="K549" s="110"/>
      <c r="L549" s="15"/>
      <c r="M549" s="110"/>
      <c r="N549" s="15"/>
      <c r="O549" s="110"/>
      <c r="P549" s="15"/>
      <c r="Q549" s="110"/>
      <c r="R549" s="15"/>
      <c r="S549" s="110"/>
      <c r="T549" s="15"/>
    </row>
    <row r="550" spans="8:20" x14ac:dyDescent="0.2">
      <c r="H550" s="15"/>
      <c r="I550" s="110"/>
      <c r="J550" s="15"/>
      <c r="K550" s="110"/>
      <c r="L550" s="15"/>
      <c r="M550" s="110"/>
      <c r="N550" s="15"/>
      <c r="O550" s="110"/>
      <c r="P550" s="15"/>
      <c r="Q550" s="110"/>
      <c r="R550" s="15"/>
      <c r="S550" s="110"/>
      <c r="T550" s="15"/>
    </row>
    <row r="551" spans="8:20" x14ac:dyDescent="0.2">
      <c r="H551" s="15"/>
      <c r="I551" s="110"/>
      <c r="J551" s="15"/>
      <c r="K551" s="110"/>
      <c r="L551" s="15"/>
      <c r="M551" s="110"/>
      <c r="N551" s="15"/>
      <c r="O551" s="110"/>
      <c r="P551" s="15"/>
      <c r="Q551" s="110"/>
      <c r="R551" s="15"/>
      <c r="S551" s="110"/>
      <c r="T551" s="15"/>
    </row>
    <row r="552" spans="8:20" x14ac:dyDescent="0.2">
      <c r="H552" s="15"/>
      <c r="I552" s="110"/>
      <c r="J552" s="15"/>
      <c r="K552" s="110"/>
      <c r="L552" s="15"/>
      <c r="M552" s="110"/>
      <c r="N552" s="15"/>
      <c r="O552" s="110"/>
      <c r="P552" s="15"/>
      <c r="Q552" s="110"/>
      <c r="R552" s="15"/>
      <c r="S552" s="110"/>
      <c r="T552" s="15"/>
    </row>
    <row r="553" spans="8:20" x14ac:dyDescent="0.2">
      <c r="H553" s="15"/>
      <c r="I553" s="110"/>
      <c r="J553" s="15"/>
      <c r="K553" s="110"/>
      <c r="L553" s="15"/>
      <c r="M553" s="110"/>
      <c r="N553" s="15"/>
      <c r="O553" s="110"/>
      <c r="P553" s="15"/>
      <c r="Q553" s="110"/>
      <c r="R553" s="15"/>
      <c r="S553" s="110"/>
      <c r="T553" s="15"/>
    </row>
    <row r="554" spans="8:20" x14ac:dyDescent="0.2">
      <c r="H554" s="15"/>
      <c r="I554" s="110"/>
      <c r="J554" s="15"/>
      <c r="K554" s="110"/>
      <c r="L554" s="15"/>
      <c r="M554" s="110"/>
      <c r="N554" s="15"/>
      <c r="O554" s="110"/>
      <c r="P554" s="15"/>
      <c r="Q554" s="110"/>
      <c r="R554" s="15"/>
      <c r="S554" s="110"/>
      <c r="T554" s="15"/>
    </row>
    <row r="555" spans="8:20" x14ac:dyDescent="0.2">
      <c r="H555" s="15"/>
      <c r="I555" s="110"/>
      <c r="J555" s="15"/>
      <c r="K555" s="110"/>
      <c r="L555" s="15"/>
      <c r="M555" s="110"/>
      <c r="N555" s="15"/>
      <c r="O555" s="110"/>
      <c r="P555" s="15"/>
      <c r="Q555" s="110"/>
      <c r="R555" s="15"/>
      <c r="S555" s="110"/>
      <c r="T555" s="15"/>
    </row>
    <row r="556" spans="8:20" x14ac:dyDescent="0.2">
      <c r="H556" s="15"/>
      <c r="I556" s="110"/>
      <c r="J556" s="15"/>
      <c r="K556" s="110"/>
      <c r="L556" s="15"/>
      <c r="M556" s="110"/>
      <c r="N556" s="15"/>
      <c r="O556" s="110"/>
      <c r="P556" s="15"/>
      <c r="Q556" s="110"/>
      <c r="R556" s="15"/>
      <c r="S556" s="110"/>
      <c r="T556" s="15"/>
    </row>
    <row r="557" spans="8:20" x14ac:dyDescent="0.2">
      <c r="H557" s="15"/>
      <c r="I557" s="110"/>
      <c r="J557" s="15"/>
      <c r="K557" s="110"/>
      <c r="L557" s="15"/>
      <c r="M557" s="110"/>
      <c r="N557" s="15"/>
      <c r="O557" s="110"/>
      <c r="P557" s="15"/>
      <c r="Q557" s="110"/>
      <c r="R557" s="15"/>
      <c r="S557" s="110"/>
      <c r="T557" s="15"/>
    </row>
    <row r="558" spans="8:20" x14ac:dyDescent="0.2">
      <c r="H558" s="15"/>
      <c r="I558" s="110"/>
      <c r="J558" s="15"/>
      <c r="K558" s="110"/>
      <c r="L558" s="15"/>
      <c r="M558" s="110"/>
      <c r="N558" s="15"/>
      <c r="O558" s="110"/>
      <c r="P558" s="15"/>
      <c r="Q558" s="110"/>
      <c r="R558" s="15"/>
      <c r="S558" s="110"/>
      <c r="T558" s="15"/>
    </row>
    <row r="559" spans="8:20" x14ac:dyDescent="0.2">
      <c r="H559" s="15"/>
      <c r="I559" s="110"/>
      <c r="J559" s="15"/>
      <c r="K559" s="110"/>
      <c r="L559" s="15"/>
      <c r="M559" s="110"/>
      <c r="N559" s="15"/>
      <c r="O559" s="110"/>
      <c r="P559" s="15"/>
      <c r="Q559" s="110"/>
      <c r="R559" s="15"/>
      <c r="S559" s="110"/>
      <c r="T559" s="15"/>
    </row>
    <row r="560" spans="8:20" x14ac:dyDescent="0.2">
      <c r="H560" s="15"/>
      <c r="I560" s="110"/>
      <c r="J560" s="15"/>
      <c r="K560" s="110"/>
      <c r="L560" s="15"/>
      <c r="M560" s="110"/>
      <c r="N560" s="15"/>
      <c r="O560" s="110"/>
      <c r="P560" s="15"/>
      <c r="Q560" s="110"/>
      <c r="R560" s="15"/>
      <c r="S560" s="110"/>
      <c r="T560" s="15"/>
    </row>
    <row r="561" spans="8:20" x14ac:dyDescent="0.2">
      <c r="H561" s="15"/>
      <c r="I561" s="110"/>
      <c r="J561" s="15"/>
      <c r="K561" s="110"/>
      <c r="L561" s="15"/>
      <c r="M561" s="110"/>
      <c r="N561" s="15"/>
      <c r="O561" s="110"/>
      <c r="P561" s="15"/>
      <c r="Q561" s="110"/>
      <c r="R561" s="15"/>
      <c r="S561" s="110"/>
      <c r="T561" s="15"/>
    </row>
    <row r="562" spans="8:20" x14ac:dyDescent="0.2">
      <c r="H562" s="15"/>
      <c r="I562" s="110"/>
      <c r="J562" s="15"/>
      <c r="K562" s="110"/>
      <c r="L562" s="15"/>
      <c r="M562" s="110"/>
      <c r="N562" s="15"/>
      <c r="O562" s="110"/>
      <c r="P562" s="15"/>
      <c r="Q562" s="110"/>
      <c r="R562" s="15"/>
      <c r="S562" s="110"/>
      <c r="T562" s="15"/>
    </row>
    <row r="563" spans="8:20" x14ac:dyDescent="0.2">
      <c r="H563" s="15"/>
      <c r="I563" s="110"/>
      <c r="J563" s="15"/>
      <c r="K563" s="110"/>
      <c r="L563" s="15"/>
      <c r="M563" s="110"/>
      <c r="N563" s="15"/>
      <c r="O563" s="110"/>
      <c r="P563" s="15"/>
      <c r="Q563" s="110"/>
      <c r="R563" s="15"/>
      <c r="S563" s="110"/>
      <c r="T563" s="15"/>
    </row>
    <row r="564" spans="8:20" x14ac:dyDescent="0.2">
      <c r="H564" s="15"/>
      <c r="I564" s="110"/>
      <c r="J564" s="15"/>
      <c r="K564" s="110"/>
      <c r="L564" s="15"/>
      <c r="M564" s="110"/>
      <c r="N564" s="15"/>
      <c r="O564" s="110"/>
      <c r="P564" s="15"/>
      <c r="Q564" s="110"/>
      <c r="R564" s="15"/>
      <c r="S564" s="110"/>
      <c r="T564" s="15"/>
    </row>
    <row r="565" spans="8:20" x14ac:dyDescent="0.2">
      <c r="H565" s="15"/>
      <c r="I565" s="110"/>
      <c r="J565" s="15"/>
      <c r="K565" s="110"/>
      <c r="L565" s="15"/>
      <c r="M565" s="110"/>
      <c r="N565" s="15"/>
      <c r="O565" s="110"/>
      <c r="P565" s="15"/>
      <c r="Q565" s="110"/>
      <c r="R565" s="15"/>
      <c r="S565" s="110"/>
      <c r="T565" s="15"/>
    </row>
    <row r="566" spans="8:20" x14ac:dyDescent="0.2">
      <c r="H566" s="15"/>
      <c r="I566" s="110"/>
      <c r="J566" s="15"/>
      <c r="K566" s="110"/>
      <c r="L566" s="15"/>
      <c r="M566" s="110"/>
      <c r="N566" s="15"/>
      <c r="O566" s="110"/>
      <c r="P566" s="15"/>
      <c r="Q566" s="110"/>
      <c r="R566" s="15"/>
      <c r="S566" s="110"/>
      <c r="T566" s="15"/>
    </row>
    <row r="567" spans="8:20" x14ac:dyDescent="0.2">
      <c r="H567" s="15"/>
      <c r="I567" s="110"/>
      <c r="J567" s="15"/>
      <c r="K567" s="110"/>
      <c r="L567" s="15"/>
      <c r="M567" s="110"/>
      <c r="N567" s="15"/>
      <c r="O567" s="110"/>
      <c r="P567" s="15"/>
      <c r="Q567" s="110"/>
      <c r="R567" s="15"/>
      <c r="S567" s="110"/>
      <c r="T567" s="15"/>
    </row>
    <row r="568" spans="8:20" x14ac:dyDescent="0.2">
      <c r="H568" s="15"/>
      <c r="I568" s="110"/>
      <c r="J568" s="15"/>
      <c r="K568" s="110"/>
      <c r="L568" s="15"/>
      <c r="M568" s="110"/>
      <c r="N568" s="15"/>
      <c r="O568" s="110"/>
      <c r="P568" s="15"/>
      <c r="Q568" s="110"/>
      <c r="R568" s="15"/>
      <c r="S568" s="110"/>
      <c r="T568" s="15"/>
    </row>
    <row r="569" spans="8:20" x14ac:dyDescent="0.2">
      <c r="H569" s="15"/>
      <c r="I569" s="110"/>
      <c r="J569" s="15"/>
      <c r="K569" s="110"/>
      <c r="L569" s="15"/>
      <c r="M569" s="110"/>
      <c r="N569" s="15"/>
      <c r="O569" s="110"/>
      <c r="P569" s="15"/>
      <c r="Q569" s="110"/>
      <c r="R569" s="15"/>
      <c r="S569" s="110"/>
      <c r="T569" s="15"/>
    </row>
    <row r="570" spans="8:20" x14ac:dyDescent="0.2">
      <c r="H570" s="15"/>
      <c r="I570" s="110"/>
      <c r="J570" s="15"/>
      <c r="K570" s="110"/>
      <c r="L570" s="15"/>
      <c r="M570" s="110"/>
      <c r="N570" s="15"/>
      <c r="O570" s="110"/>
      <c r="P570" s="15"/>
      <c r="Q570" s="110"/>
      <c r="R570" s="15"/>
      <c r="S570" s="110"/>
      <c r="T570" s="15"/>
    </row>
    <row r="571" spans="8:20" x14ac:dyDescent="0.2">
      <c r="H571" s="15"/>
      <c r="I571" s="110"/>
      <c r="J571" s="15"/>
      <c r="K571" s="110"/>
      <c r="L571" s="15"/>
      <c r="M571" s="110"/>
      <c r="N571" s="15"/>
      <c r="O571" s="110"/>
      <c r="P571" s="15"/>
      <c r="Q571" s="110"/>
      <c r="R571" s="15"/>
      <c r="S571" s="110"/>
      <c r="T571" s="15"/>
    </row>
    <row r="572" spans="8:20" x14ac:dyDescent="0.2">
      <c r="H572" s="15"/>
      <c r="I572" s="110"/>
      <c r="J572" s="15"/>
      <c r="K572" s="110"/>
      <c r="L572" s="15"/>
      <c r="M572" s="110"/>
      <c r="N572" s="15"/>
      <c r="O572" s="110"/>
      <c r="P572" s="15"/>
      <c r="Q572" s="110"/>
      <c r="R572" s="15"/>
      <c r="S572" s="110"/>
      <c r="T572" s="15"/>
    </row>
    <row r="573" spans="8:20" x14ac:dyDescent="0.2">
      <c r="H573" s="15"/>
      <c r="I573" s="110"/>
      <c r="J573" s="15"/>
      <c r="K573" s="110"/>
      <c r="L573" s="15"/>
      <c r="M573" s="110"/>
      <c r="N573" s="15"/>
      <c r="O573" s="110"/>
      <c r="P573" s="15"/>
      <c r="Q573" s="110"/>
      <c r="R573" s="15"/>
      <c r="S573" s="110"/>
      <c r="T573" s="15"/>
    </row>
    <row r="574" spans="8:20" x14ac:dyDescent="0.2">
      <c r="H574" s="15"/>
      <c r="I574" s="110"/>
      <c r="J574" s="15"/>
      <c r="K574" s="110"/>
      <c r="L574" s="15"/>
      <c r="M574" s="110"/>
      <c r="N574" s="15"/>
      <c r="O574" s="110"/>
      <c r="P574" s="15"/>
      <c r="Q574" s="110"/>
      <c r="R574" s="15"/>
      <c r="S574" s="110"/>
      <c r="T574" s="15"/>
    </row>
    <row r="575" spans="8:20" x14ac:dyDescent="0.2">
      <c r="H575" s="15"/>
      <c r="I575" s="110"/>
      <c r="J575" s="15"/>
      <c r="K575" s="110"/>
      <c r="L575" s="15"/>
      <c r="M575" s="110"/>
      <c r="N575" s="15"/>
      <c r="O575" s="110"/>
      <c r="P575" s="15"/>
      <c r="Q575" s="110"/>
      <c r="R575" s="15"/>
      <c r="S575" s="110"/>
      <c r="T575" s="15"/>
    </row>
    <row r="576" spans="8:20" x14ac:dyDescent="0.2">
      <c r="H576" s="15"/>
      <c r="I576" s="110"/>
      <c r="J576" s="15"/>
      <c r="K576" s="110"/>
      <c r="L576" s="15"/>
      <c r="M576" s="110"/>
      <c r="N576" s="15"/>
      <c r="O576" s="110"/>
      <c r="P576" s="15"/>
      <c r="Q576" s="110"/>
      <c r="R576" s="15"/>
      <c r="S576" s="110"/>
      <c r="T576" s="15"/>
    </row>
    <row r="577" spans="8:20" x14ac:dyDescent="0.2">
      <c r="H577" s="15"/>
      <c r="I577" s="110"/>
      <c r="J577" s="15"/>
      <c r="K577" s="110"/>
      <c r="L577" s="15"/>
      <c r="M577" s="110"/>
      <c r="N577" s="15"/>
      <c r="O577" s="110"/>
      <c r="P577" s="15"/>
      <c r="Q577" s="110"/>
      <c r="R577" s="15"/>
      <c r="S577" s="110"/>
      <c r="T577" s="15"/>
    </row>
    <row r="578" spans="8:20" x14ac:dyDescent="0.2">
      <c r="H578" s="15"/>
      <c r="I578" s="110"/>
      <c r="J578" s="15"/>
      <c r="K578" s="110"/>
      <c r="L578" s="15"/>
      <c r="M578" s="110"/>
      <c r="N578" s="15"/>
      <c r="O578" s="110"/>
      <c r="P578" s="15"/>
      <c r="Q578" s="110"/>
      <c r="R578" s="15"/>
      <c r="S578" s="110"/>
      <c r="T578" s="15"/>
    </row>
    <row r="579" spans="8:20" x14ac:dyDescent="0.2">
      <c r="H579" s="15"/>
      <c r="I579" s="110"/>
      <c r="J579" s="15"/>
      <c r="K579" s="110"/>
      <c r="L579" s="15"/>
      <c r="M579" s="110"/>
      <c r="N579" s="15"/>
      <c r="O579" s="110"/>
      <c r="P579" s="15"/>
      <c r="Q579" s="110"/>
      <c r="R579" s="15"/>
      <c r="S579" s="110"/>
      <c r="T579" s="15"/>
    </row>
    <row r="580" spans="8:20" x14ac:dyDescent="0.2">
      <c r="H580" s="15"/>
      <c r="I580" s="110"/>
      <c r="J580" s="15"/>
      <c r="K580" s="110"/>
      <c r="L580" s="15"/>
      <c r="M580" s="110"/>
      <c r="N580" s="15"/>
      <c r="O580" s="110"/>
      <c r="P580" s="15"/>
      <c r="Q580" s="110"/>
      <c r="R580" s="15"/>
      <c r="S580" s="110"/>
      <c r="T580" s="15"/>
    </row>
    <row r="581" spans="8:20" x14ac:dyDescent="0.2">
      <c r="H581" s="15"/>
      <c r="I581" s="110"/>
      <c r="J581" s="15"/>
      <c r="K581" s="110"/>
      <c r="L581" s="15"/>
      <c r="M581" s="110"/>
      <c r="N581" s="15"/>
      <c r="O581" s="110"/>
      <c r="P581" s="15"/>
      <c r="Q581" s="110"/>
      <c r="R581" s="15"/>
      <c r="S581" s="110"/>
      <c r="T581" s="15"/>
    </row>
    <row r="582" spans="8:20" x14ac:dyDescent="0.2">
      <c r="H582" s="15"/>
      <c r="I582" s="110"/>
      <c r="J582" s="15"/>
      <c r="K582" s="110"/>
      <c r="L582" s="15"/>
      <c r="M582" s="110"/>
      <c r="N582" s="15"/>
      <c r="O582" s="110"/>
      <c r="P582" s="15"/>
      <c r="Q582" s="110"/>
      <c r="R582" s="15"/>
      <c r="S582" s="110"/>
      <c r="T582" s="15"/>
    </row>
    <row r="583" spans="8:20" x14ac:dyDescent="0.2">
      <c r="H583" s="15"/>
      <c r="I583" s="110"/>
      <c r="J583" s="15"/>
      <c r="K583" s="110"/>
      <c r="L583" s="15"/>
      <c r="M583" s="110"/>
      <c r="N583" s="15"/>
      <c r="O583" s="110"/>
      <c r="P583" s="15"/>
      <c r="Q583" s="110"/>
      <c r="R583" s="15"/>
      <c r="S583" s="110"/>
      <c r="T583" s="15"/>
    </row>
    <row r="584" spans="8:20" x14ac:dyDescent="0.2">
      <c r="H584" s="15"/>
      <c r="I584" s="110"/>
      <c r="J584" s="15"/>
      <c r="K584" s="110"/>
      <c r="L584" s="15"/>
      <c r="M584" s="110"/>
      <c r="N584" s="15"/>
      <c r="O584" s="110"/>
      <c r="P584" s="15"/>
      <c r="Q584" s="110"/>
      <c r="R584" s="15"/>
      <c r="S584" s="110"/>
      <c r="T584" s="15"/>
    </row>
    <row r="585" spans="8:20" x14ac:dyDescent="0.2">
      <c r="H585" s="15"/>
      <c r="I585" s="110"/>
      <c r="J585" s="15"/>
      <c r="K585" s="110"/>
      <c r="L585" s="15"/>
      <c r="M585" s="110"/>
      <c r="N585" s="15"/>
      <c r="O585" s="110"/>
      <c r="P585" s="15"/>
      <c r="Q585" s="110"/>
      <c r="R585" s="15"/>
      <c r="S585" s="110"/>
      <c r="T585" s="15"/>
    </row>
    <row r="586" spans="8:20" x14ac:dyDescent="0.2">
      <c r="H586" s="15"/>
      <c r="I586" s="110"/>
      <c r="J586" s="15"/>
      <c r="K586" s="110"/>
      <c r="L586" s="15"/>
      <c r="M586" s="110"/>
      <c r="N586" s="15"/>
      <c r="O586" s="110"/>
      <c r="P586" s="15"/>
      <c r="Q586" s="110"/>
      <c r="R586" s="15"/>
      <c r="S586" s="110"/>
      <c r="T586" s="15"/>
    </row>
    <row r="587" spans="8:20" x14ac:dyDescent="0.2">
      <c r="H587" s="15"/>
      <c r="I587" s="110"/>
      <c r="J587" s="15"/>
      <c r="K587" s="110"/>
      <c r="L587" s="15"/>
      <c r="M587" s="110"/>
      <c r="N587" s="15"/>
      <c r="O587" s="110"/>
      <c r="P587" s="15"/>
      <c r="Q587" s="110"/>
      <c r="R587" s="15"/>
      <c r="S587" s="110"/>
      <c r="T587" s="15"/>
    </row>
    <row r="588" spans="8:20" x14ac:dyDescent="0.2">
      <c r="H588" s="15"/>
      <c r="I588" s="110"/>
      <c r="J588" s="15"/>
      <c r="K588" s="110"/>
      <c r="L588" s="15"/>
      <c r="M588" s="110"/>
      <c r="N588" s="15"/>
      <c r="O588" s="110"/>
      <c r="P588" s="15"/>
      <c r="Q588" s="110"/>
      <c r="R588" s="15"/>
      <c r="S588" s="110"/>
      <c r="T588" s="15"/>
    </row>
    <row r="589" spans="8:20" x14ac:dyDescent="0.2">
      <c r="H589" s="15"/>
      <c r="I589" s="110"/>
      <c r="J589" s="15"/>
      <c r="K589" s="110"/>
      <c r="L589" s="15"/>
      <c r="M589" s="110"/>
      <c r="N589" s="15"/>
      <c r="O589" s="110"/>
      <c r="P589" s="15"/>
      <c r="Q589" s="110"/>
      <c r="R589" s="15"/>
      <c r="S589" s="110"/>
      <c r="T589" s="15"/>
    </row>
    <row r="590" spans="8:20" x14ac:dyDescent="0.2">
      <c r="H590" s="15"/>
      <c r="I590" s="110"/>
      <c r="J590" s="15"/>
      <c r="K590" s="110"/>
      <c r="L590" s="15"/>
      <c r="M590" s="110"/>
      <c r="N590" s="15"/>
      <c r="O590" s="110"/>
      <c r="P590" s="15"/>
      <c r="Q590" s="110"/>
      <c r="R590" s="15"/>
      <c r="S590" s="110"/>
      <c r="T590" s="15"/>
    </row>
    <row r="591" spans="8:20" x14ac:dyDescent="0.2">
      <c r="H591" s="15"/>
      <c r="I591" s="110"/>
      <c r="J591" s="15"/>
      <c r="K591" s="110"/>
      <c r="L591" s="15"/>
      <c r="M591" s="110"/>
      <c r="N591" s="15"/>
      <c r="O591" s="110"/>
      <c r="P591" s="15"/>
      <c r="Q591" s="110"/>
      <c r="R591" s="15"/>
      <c r="S591" s="110"/>
      <c r="T591" s="15"/>
    </row>
    <row r="592" spans="8:20" x14ac:dyDescent="0.2">
      <c r="H592" s="15"/>
      <c r="I592" s="110"/>
      <c r="J592" s="15"/>
      <c r="K592" s="110"/>
      <c r="L592" s="15"/>
      <c r="M592" s="110"/>
      <c r="N592" s="15"/>
      <c r="O592" s="110"/>
      <c r="P592" s="15"/>
      <c r="Q592" s="110"/>
      <c r="R592" s="15"/>
      <c r="S592" s="110"/>
      <c r="T592" s="15"/>
    </row>
    <row r="593" spans="8:20" x14ac:dyDescent="0.2">
      <c r="H593" s="15"/>
      <c r="I593" s="110"/>
      <c r="J593" s="15"/>
      <c r="K593" s="110"/>
      <c r="L593" s="15"/>
      <c r="M593" s="110"/>
      <c r="N593" s="15"/>
      <c r="O593" s="110"/>
      <c r="P593" s="15"/>
      <c r="Q593" s="110"/>
      <c r="R593" s="15"/>
      <c r="S593" s="110"/>
      <c r="T593" s="15"/>
    </row>
    <row r="594" spans="8:20" x14ac:dyDescent="0.2">
      <c r="H594" s="15"/>
      <c r="I594" s="110"/>
      <c r="J594" s="15"/>
      <c r="K594" s="110"/>
      <c r="L594" s="15"/>
      <c r="M594" s="110"/>
      <c r="N594" s="15"/>
      <c r="O594" s="110"/>
      <c r="P594" s="15"/>
      <c r="Q594" s="110"/>
      <c r="R594" s="15"/>
      <c r="S594" s="110"/>
      <c r="T594" s="15"/>
    </row>
    <row r="595" spans="8:20" x14ac:dyDescent="0.2">
      <c r="H595" s="15"/>
      <c r="I595" s="110"/>
      <c r="J595" s="15"/>
      <c r="K595" s="110"/>
      <c r="L595" s="15"/>
      <c r="M595" s="110"/>
      <c r="N595" s="15"/>
      <c r="O595" s="110"/>
      <c r="P595" s="15"/>
      <c r="Q595" s="110"/>
      <c r="R595" s="15"/>
      <c r="S595" s="110"/>
      <c r="T595" s="15"/>
    </row>
    <row r="596" spans="8:20" x14ac:dyDescent="0.2">
      <c r="H596" s="15"/>
      <c r="I596" s="110"/>
      <c r="J596" s="15"/>
      <c r="K596" s="110"/>
      <c r="L596" s="15"/>
      <c r="M596" s="110"/>
      <c r="N596" s="15"/>
      <c r="O596" s="110"/>
      <c r="P596" s="15"/>
      <c r="Q596" s="110"/>
      <c r="R596" s="15"/>
      <c r="S596" s="110"/>
      <c r="T596" s="15"/>
    </row>
    <row r="597" spans="8:20" x14ac:dyDescent="0.2">
      <c r="H597" s="15"/>
      <c r="I597" s="110"/>
      <c r="J597" s="15"/>
      <c r="K597" s="110"/>
      <c r="L597" s="15"/>
      <c r="M597" s="110"/>
      <c r="N597" s="15"/>
      <c r="O597" s="110"/>
      <c r="P597" s="15"/>
      <c r="Q597" s="110"/>
      <c r="R597" s="15"/>
      <c r="S597" s="110"/>
      <c r="T597" s="15"/>
    </row>
    <row r="598" spans="8:20" x14ac:dyDescent="0.2">
      <c r="H598" s="15"/>
      <c r="I598" s="110"/>
      <c r="J598" s="15"/>
      <c r="K598" s="110"/>
      <c r="L598" s="15"/>
      <c r="M598" s="110"/>
      <c r="N598" s="15"/>
      <c r="O598" s="110"/>
      <c r="P598" s="15"/>
      <c r="Q598" s="110"/>
      <c r="R598" s="15"/>
      <c r="S598" s="110"/>
      <c r="T598" s="15"/>
    </row>
    <row r="599" spans="8:20" x14ac:dyDescent="0.2">
      <c r="H599" s="15"/>
      <c r="I599" s="110"/>
      <c r="J599" s="15"/>
      <c r="K599" s="110"/>
      <c r="L599" s="15"/>
      <c r="M599" s="110"/>
      <c r="N599" s="15"/>
      <c r="O599" s="110"/>
      <c r="P599" s="15"/>
      <c r="Q599" s="110"/>
      <c r="R599" s="15"/>
      <c r="S599" s="110"/>
      <c r="T599" s="15"/>
    </row>
    <row r="600" spans="8:20" x14ac:dyDescent="0.2">
      <c r="H600" s="15"/>
      <c r="I600" s="110"/>
      <c r="J600" s="15"/>
      <c r="K600" s="110"/>
      <c r="L600" s="15"/>
      <c r="M600" s="110"/>
      <c r="N600" s="15"/>
      <c r="O600" s="110"/>
      <c r="P600" s="15"/>
      <c r="Q600" s="110"/>
      <c r="R600" s="15"/>
      <c r="S600" s="110"/>
      <c r="T600" s="15"/>
    </row>
    <row r="601" spans="8:20" x14ac:dyDescent="0.2">
      <c r="H601" s="15"/>
      <c r="I601" s="110"/>
      <c r="J601" s="15"/>
      <c r="K601" s="110"/>
      <c r="L601" s="15"/>
      <c r="M601" s="110"/>
      <c r="N601" s="15"/>
      <c r="O601" s="110"/>
      <c r="P601" s="15"/>
      <c r="Q601" s="110"/>
      <c r="R601" s="15"/>
      <c r="S601" s="110"/>
      <c r="T601" s="15"/>
    </row>
    <row r="602" spans="8:20" x14ac:dyDescent="0.2">
      <c r="H602" s="15"/>
      <c r="I602" s="110"/>
      <c r="J602" s="15"/>
      <c r="K602" s="110"/>
      <c r="L602" s="15"/>
      <c r="M602" s="110"/>
      <c r="N602" s="15"/>
      <c r="O602" s="110"/>
      <c r="P602" s="15"/>
      <c r="Q602" s="110"/>
      <c r="R602" s="15"/>
      <c r="S602" s="110"/>
      <c r="T602" s="15"/>
    </row>
    <row r="603" spans="8:20" x14ac:dyDescent="0.2">
      <c r="H603" s="15"/>
      <c r="I603" s="110"/>
      <c r="J603" s="15"/>
      <c r="K603" s="110"/>
      <c r="L603" s="15"/>
      <c r="M603" s="110"/>
      <c r="N603" s="15"/>
      <c r="O603" s="110"/>
      <c r="P603" s="15"/>
      <c r="Q603" s="110"/>
      <c r="R603" s="15"/>
      <c r="S603" s="110"/>
      <c r="T603" s="15"/>
    </row>
    <row r="604" spans="8:20" x14ac:dyDescent="0.2">
      <c r="H604" s="15"/>
      <c r="I604" s="110"/>
      <c r="J604" s="15"/>
      <c r="K604" s="110"/>
      <c r="L604" s="15"/>
      <c r="M604" s="110"/>
      <c r="N604" s="15"/>
      <c r="O604" s="110"/>
      <c r="P604" s="15"/>
      <c r="Q604" s="110"/>
      <c r="R604" s="15"/>
      <c r="S604" s="110"/>
      <c r="T604" s="15"/>
    </row>
    <row r="605" spans="8:20" x14ac:dyDescent="0.2">
      <c r="H605" s="15"/>
      <c r="I605" s="110"/>
      <c r="J605" s="15"/>
      <c r="K605" s="110"/>
      <c r="L605" s="15"/>
      <c r="M605" s="110"/>
      <c r="N605" s="15"/>
      <c r="O605" s="110"/>
      <c r="P605" s="15"/>
      <c r="Q605" s="110"/>
      <c r="R605" s="15"/>
      <c r="S605" s="110"/>
      <c r="T605" s="15"/>
    </row>
    <row r="606" spans="8:20" x14ac:dyDescent="0.2">
      <c r="H606" s="15"/>
      <c r="I606" s="110"/>
      <c r="J606" s="15"/>
      <c r="K606" s="110"/>
      <c r="L606" s="15"/>
      <c r="M606" s="110"/>
      <c r="N606" s="15"/>
      <c r="O606" s="110"/>
      <c r="P606" s="15"/>
      <c r="Q606" s="110"/>
      <c r="R606" s="15"/>
      <c r="S606" s="110"/>
      <c r="T606" s="15"/>
    </row>
    <row r="607" spans="8:20" x14ac:dyDescent="0.2">
      <c r="H607" s="15"/>
      <c r="I607" s="110"/>
      <c r="J607" s="15"/>
      <c r="K607" s="110"/>
      <c r="L607" s="15"/>
      <c r="M607" s="110"/>
      <c r="N607" s="15"/>
      <c r="O607" s="110"/>
      <c r="P607" s="15"/>
      <c r="Q607" s="110"/>
      <c r="R607" s="15"/>
      <c r="S607" s="110"/>
      <c r="T607" s="15"/>
    </row>
    <row r="608" spans="8:20" x14ac:dyDescent="0.2">
      <c r="H608" s="15"/>
      <c r="I608" s="110"/>
      <c r="J608" s="15"/>
      <c r="K608" s="110"/>
      <c r="L608" s="15"/>
      <c r="M608" s="110"/>
      <c r="N608" s="15"/>
      <c r="O608" s="110"/>
      <c r="P608" s="15"/>
      <c r="Q608" s="110"/>
      <c r="R608" s="15"/>
      <c r="S608" s="110"/>
      <c r="T608" s="15"/>
    </row>
    <row r="609" spans="8:20" x14ac:dyDescent="0.2">
      <c r="H609" s="15"/>
      <c r="I609" s="110"/>
      <c r="J609" s="15"/>
      <c r="K609" s="110"/>
      <c r="L609" s="15"/>
      <c r="M609" s="110"/>
      <c r="N609" s="15"/>
      <c r="O609" s="110"/>
      <c r="P609" s="15"/>
      <c r="Q609" s="110"/>
      <c r="R609" s="15"/>
      <c r="S609" s="110"/>
      <c r="T609" s="15"/>
    </row>
    <row r="610" spans="8:20" x14ac:dyDescent="0.2">
      <c r="H610" s="15"/>
      <c r="I610" s="110"/>
      <c r="J610" s="15"/>
      <c r="K610" s="110"/>
      <c r="L610" s="15"/>
      <c r="M610" s="110"/>
      <c r="N610" s="15"/>
      <c r="O610" s="110"/>
      <c r="P610" s="15"/>
      <c r="Q610" s="110"/>
      <c r="R610" s="15"/>
      <c r="S610" s="110"/>
      <c r="T610" s="15"/>
    </row>
    <row r="611" spans="8:20" x14ac:dyDescent="0.2">
      <c r="H611" s="15"/>
      <c r="I611" s="110"/>
      <c r="J611" s="15"/>
      <c r="K611" s="110"/>
      <c r="L611" s="15"/>
      <c r="M611" s="110"/>
      <c r="N611" s="15"/>
      <c r="O611" s="110"/>
      <c r="P611" s="15"/>
      <c r="Q611" s="110"/>
      <c r="R611" s="15"/>
      <c r="S611" s="110"/>
      <c r="T611" s="15"/>
    </row>
    <row r="612" spans="8:20" x14ac:dyDescent="0.2">
      <c r="H612" s="15"/>
      <c r="I612" s="110"/>
      <c r="J612" s="15"/>
      <c r="K612" s="110"/>
      <c r="L612" s="15"/>
      <c r="M612" s="110"/>
      <c r="N612" s="15"/>
      <c r="O612" s="110"/>
      <c r="P612" s="15"/>
      <c r="Q612" s="110"/>
      <c r="R612" s="15"/>
      <c r="S612" s="110"/>
      <c r="T612" s="15"/>
    </row>
    <row r="613" spans="8:20" x14ac:dyDescent="0.2">
      <c r="H613" s="15"/>
      <c r="I613" s="110"/>
      <c r="J613" s="15"/>
      <c r="K613" s="110"/>
      <c r="L613" s="15"/>
      <c r="M613" s="110"/>
      <c r="N613" s="15"/>
      <c r="O613" s="110"/>
      <c r="P613" s="15"/>
      <c r="Q613" s="110"/>
      <c r="R613" s="15"/>
      <c r="S613" s="110"/>
      <c r="T613" s="15"/>
    </row>
    <row r="614" spans="8:20" x14ac:dyDescent="0.2">
      <c r="H614" s="15"/>
      <c r="I614" s="110"/>
      <c r="J614" s="15"/>
      <c r="K614" s="110"/>
      <c r="L614" s="15"/>
      <c r="M614" s="110"/>
      <c r="N614" s="15"/>
      <c r="O614" s="110"/>
      <c r="P614" s="15"/>
      <c r="Q614" s="110"/>
      <c r="R614" s="15"/>
      <c r="S614" s="110"/>
      <c r="T614" s="15"/>
    </row>
    <row r="615" spans="8:20" x14ac:dyDescent="0.2">
      <c r="H615" s="15"/>
      <c r="I615" s="110"/>
      <c r="J615" s="15"/>
      <c r="K615" s="110"/>
      <c r="L615" s="15"/>
      <c r="M615" s="110"/>
      <c r="N615" s="15"/>
      <c r="O615" s="110"/>
      <c r="P615" s="15"/>
      <c r="Q615" s="110"/>
      <c r="R615" s="15"/>
      <c r="S615" s="110"/>
      <c r="T615" s="15"/>
    </row>
    <row r="616" spans="8:20" x14ac:dyDescent="0.2">
      <c r="H616" s="15"/>
      <c r="I616" s="110"/>
      <c r="J616" s="15"/>
      <c r="K616" s="110"/>
      <c r="L616" s="15"/>
      <c r="M616" s="110"/>
      <c r="N616" s="15"/>
      <c r="O616" s="110"/>
      <c r="P616" s="15"/>
      <c r="Q616" s="110"/>
      <c r="R616" s="15"/>
      <c r="S616" s="110"/>
      <c r="T616" s="15"/>
    </row>
    <row r="617" spans="8:20" x14ac:dyDescent="0.2">
      <c r="H617" s="15"/>
      <c r="I617" s="110"/>
      <c r="J617" s="15"/>
      <c r="K617" s="110"/>
      <c r="L617" s="15"/>
      <c r="M617" s="110"/>
      <c r="N617" s="15"/>
      <c r="O617" s="110"/>
      <c r="P617" s="15"/>
      <c r="Q617" s="110"/>
      <c r="R617" s="15"/>
      <c r="S617" s="110"/>
      <c r="T617" s="15"/>
    </row>
    <row r="618" spans="8:20" x14ac:dyDescent="0.2">
      <c r="H618" s="15"/>
      <c r="I618" s="110"/>
      <c r="J618" s="15"/>
      <c r="K618" s="110"/>
      <c r="L618" s="15"/>
      <c r="M618" s="110"/>
      <c r="N618" s="15"/>
      <c r="O618" s="110"/>
      <c r="P618" s="15"/>
      <c r="Q618" s="110"/>
      <c r="R618" s="15"/>
      <c r="S618" s="110"/>
      <c r="T618" s="15"/>
    </row>
    <row r="619" spans="8:20" x14ac:dyDescent="0.2">
      <c r="H619" s="15"/>
      <c r="I619" s="110"/>
      <c r="J619" s="15"/>
      <c r="K619" s="110"/>
      <c r="L619" s="15"/>
      <c r="M619" s="110"/>
      <c r="N619" s="15"/>
      <c r="O619" s="110"/>
      <c r="P619" s="15"/>
      <c r="Q619" s="110"/>
      <c r="R619" s="15"/>
      <c r="S619" s="110"/>
      <c r="T619" s="15"/>
    </row>
    <row r="620" spans="8:20" x14ac:dyDescent="0.2">
      <c r="H620" s="15"/>
      <c r="I620" s="110"/>
      <c r="J620" s="15"/>
      <c r="K620" s="110"/>
      <c r="L620" s="15"/>
      <c r="M620" s="110"/>
      <c r="N620" s="15"/>
      <c r="O620" s="110"/>
      <c r="P620" s="15"/>
      <c r="Q620" s="110"/>
      <c r="R620" s="15"/>
      <c r="S620" s="110"/>
      <c r="T620" s="15"/>
    </row>
    <row r="621" spans="8:20" x14ac:dyDescent="0.2">
      <c r="H621" s="15"/>
      <c r="I621" s="110"/>
      <c r="J621" s="15"/>
      <c r="K621" s="110"/>
      <c r="L621" s="15"/>
      <c r="M621" s="110"/>
      <c r="N621" s="15"/>
      <c r="O621" s="110"/>
      <c r="P621" s="15"/>
      <c r="Q621" s="110"/>
      <c r="R621" s="15"/>
      <c r="S621" s="110"/>
      <c r="T621" s="15"/>
    </row>
    <row r="622" spans="8:20" x14ac:dyDescent="0.2">
      <c r="H622" s="15"/>
      <c r="I622" s="110"/>
      <c r="J622" s="15"/>
      <c r="K622" s="110"/>
      <c r="L622" s="15"/>
      <c r="M622" s="110"/>
      <c r="N622" s="15"/>
      <c r="O622" s="110"/>
      <c r="P622" s="15"/>
      <c r="Q622" s="110"/>
      <c r="R622" s="15"/>
      <c r="S622" s="110"/>
      <c r="T622" s="15"/>
    </row>
    <row r="623" spans="8:20" x14ac:dyDescent="0.2">
      <c r="H623" s="15"/>
      <c r="I623" s="110"/>
      <c r="J623" s="15"/>
      <c r="K623" s="110"/>
      <c r="L623" s="15"/>
      <c r="M623" s="110"/>
      <c r="N623" s="15"/>
      <c r="O623" s="110"/>
      <c r="P623" s="15"/>
      <c r="Q623" s="110"/>
      <c r="R623" s="15"/>
      <c r="S623" s="110"/>
      <c r="T623" s="15"/>
    </row>
    <row r="624" spans="8:20" x14ac:dyDescent="0.2">
      <c r="H624" s="15"/>
      <c r="I624" s="110"/>
      <c r="J624" s="15"/>
      <c r="K624" s="110"/>
      <c r="L624" s="15"/>
      <c r="M624" s="110"/>
      <c r="N624" s="15"/>
      <c r="O624" s="110"/>
      <c r="P624" s="15"/>
      <c r="Q624" s="110"/>
      <c r="R624" s="15"/>
      <c r="S624" s="110"/>
      <c r="T624" s="15"/>
    </row>
    <row r="625" spans="8:20" x14ac:dyDescent="0.2">
      <c r="H625" s="15"/>
      <c r="I625" s="110"/>
      <c r="J625" s="15"/>
      <c r="K625" s="110"/>
      <c r="L625" s="15"/>
      <c r="M625" s="110"/>
      <c r="N625" s="15"/>
      <c r="O625" s="110"/>
      <c r="P625" s="15"/>
      <c r="Q625" s="110"/>
      <c r="R625" s="15"/>
      <c r="S625" s="110"/>
      <c r="T625" s="15"/>
    </row>
    <row r="626" spans="8:20" x14ac:dyDescent="0.2">
      <c r="H626" s="15"/>
      <c r="I626" s="110"/>
      <c r="J626" s="15"/>
      <c r="K626" s="110"/>
      <c r="L626" s="15"/>
      <c r="M626" s="110"/>
      <c r="N626" s="15"/>
      <c r="O626" s="110"/>
      <c r="P626" s="15"/>
      <c r="Q626" s="110"/>
      <c r="R626" s="15"/>
      <c r="S626" s="110"/>
      <c r="T626" s="15"/>
    </row>
    <row r="627" spans="8:20" x14ac:dyDescent="0.2">
      <c r="H627" s="15"/>
      <c r="I627" s="110"/>
      <c r="J627" s="15"/>
      <c r="K627" s="110"/>
      <c r="L627" s="15"/>
      <c r="M627" s="110"/>
      <c r="N627" s="15"/>
      <c r="O627" s="110"/>
      <c r="P627" s="15"/>
      <c r="Q627" s="110"/>
      <c r="R627" s="15"/>
      <c r="S627" s="110"/>
      <c r="T627" s="15"/>
    </row>
    <row r="628" spans="8:20" x14ac:dyDescent="0.2">
      <c r="H628" s="15"/>
      <c r="I628" s="110"/>
      <c r="J628" s="15"/>
      <c r="K628" s="110"/>
      <c r="L628" s="15"/>
      <c r="M628" s="110"/>
      <c r="N628" s="15"/>
      <c r="O628" s="110"/>
      <c r="P628" s="15"/>
      <c r="Q628" s="110"/>
      <c r="R628" s="15"/>
      <c r="S628" s="110"/>
      <c r="T628" s="15"/>
    </row>
    <row r="629" spans="8:20" x14ac:dyDescent="0.2">
      <c r="H629" s="15"/>
      <c r="I629" s="110"/>
      <c r="J629" s="15"/>
      <c r="K629" s="110"/>
      <c r="L629" s="15"/>
      <c r="M629" s="110"/>
      <c r="N629" s="15"/>
      <c r="O629" s="110"/>
      <c r="P629" s="15"/>
      <c r="Q629" s="110"/>
      <c r="R629" s="15"/>
      <c r="S629" s="110"/>
      <c r="T629" s="15"/>
    </row>
    <row r="630" spans="8:20" x14ac:dyDescent="0.2">
      <c r="H630" s="15"/>
      <c r="I630" s="110"/>
      <c r="J630" s="15"/>
      <c r="K630" s="110"/>
      <c r="L630" s="15"/>
      <c r="M630" s="110"/>
      <c r="N630" s="15"/>
      <c r="O630" s="110"/>
      <c r="P630" s="15"/>
      <c r="Q630" s="110"/>
      <c r="R630" s="15"/>
      <c r="S630" s="110"/>
      <c r="T630" s="15"/>
    </row>
    <row r="631" spans="8:20" x14ac:dyDescent="0.2">
      <c r="H631" s="15"/>
      <c r="I631" s="110"/>
      <c r="J631" s="15"/>
      <c r="K631" s="110"/>
      <c r="L631" s="15"/>
      <c r="M631" s="110"/>
      <c r="N631" s="15"/>
      <c r="O631" s="110"/>
      <c r="P631" s="15"/>
      <c r="Q631" s="110"/>
      <c r="R631" s="15"/>
      <c r="S631" s="110"/>
      <c r="T631" s="15"/>
    </row>
    <row r="632" spans="8:20" x14ac:dyDescent="0.2">
      <c r="H632" s="15"/>
      <c r="I632" s="110"/>
      <c r="J632" s="15"/>
      <c r="K632" s="110"/>
      <c r="L632" s="15"/>
      <c r="M632" s="110"/>
      <c r="N632" s="15"/>
      <c r="O632" s="110"/>
      <c r="P632" s="15"/>
      <c r="Q632" s="110"/>
      <c r="R632" s="15"/>
      <c r="S632" s="110"/>
      <c r="T632" s="15"/>
    </row>
    <row r="633" spans="8:20" x14ac:dyDescent="0.2">
      <c r="H633" s="15"/>
      <c r="I633" s="110"/>
      <c r="J633" s="15"/>
      <c r="K633" s="110"/>
      <c r="L633" s="15"/>
      <c r="M633" s="110"/>
      <c r="N633" s="15"/>
      <c r="O633" s="110"/>
      <c r="P633" s="15"/>
      <c r="Q633" s="110"/>
      <c r="R633" s="15"/>
      <c r="S633" s="110"/>
      <c r="T633" s="15"/>
    </row>
    <row r="634" spans="8:20" x14ac:dyDescent="0.2">
      <c r="H634" s="15"/>
      <c r="I634" s="110"/>
      <c r="J634" s="15"/>
      <c r="K634" s="110"/>
      <c r="L634" s="15"/>
      <c r="M634" s="110"/>
      <c r="N634" s="15"/>
      <c r="O634" s="110"/>
      <c r="P634" s="15"/>
      <c r="Q634" s="110"/>
      <c r="R634" s="15"/>
      <c r="S634" s="110"/>
      <c r="T634" s="15"/>
    </row>
    <row r="635" spans="8:20" x14ac:dyDescent="0.2">
      <c r="H635" s="15"/>
      <c r="I635" s="110"/>
      <c r="J635" s="15"/>
      <c r="K635" s="110"/>
      <c r="L635" s="15"/>
      <c r="M635" s="110"/>
      <c r="N635" s="15"/>
      <c r="O635" s="110"/>
      <c r="P635" s="15"/>
      <c r="Q635" s="110"/>
      <c r="R635" s="15"/>
      <c r="S635" s="110"/>
      <c r="T635" s="15"/>
    </row>
    <row r="636" spans="8:20" x14ac:dyDescent="0.2">
      <c r="H636" s="15"/>
      <c r="I636" s="110"/>
      <c r="J636" s="15"/>
      <c r="K636" s="110"/>
      <c r="L636" s="15"/>
      <c r="M636" s="110"/>
      <c r="N636" s="15"/>
      <c r="O636" s="110"/>
      <c r="P636" s="15"/>
      <c r="Q636" s="110"/>
      <c r="R636" s="15"/>
      <c r="S636" s="110"/>
      <c r="T636" s="15"/>
    </row>
    <row r="637" spans="8:20" x14ac:dyDescent="0.2">
      <c r="H637" s="15"/>
      <c r="I637" s="110"/>
      <c r="J637" s="15"/>
      <c r="K637" s="110"/>
      <c r="L637" s="15"/>
      <c r="M637" s="110"/>
      <c r="N637" s="15"/>
      <c r="O637" s="110"/>
      <c r="P637" s="15"/>
      <c r="Q637" s="110"/>
      <c r="R637" s="15"/>
      <c r="S637" s="110"/>
      <c r="T637" s="15"/>
    </row>
    <row r="638" spans="8:20" x14ac:dyDescent="0.2">
      <c r="H638" s="15"/>
      <c r="I638" s="110"/>
      <c r="J638" s="15"/>
      <c r="K638" s="110"/>
      <c r="L638" s="15"/>
      <c r="M638" s="110"/>
      <c r="N638" s="15"/>
      <c r="O638" s="110"/>
      <c r="P638" s="15"/>
      <c r="Q638" s="110"/>
      <c r="R638" s="15"/>
      <c r="S638" s="110"/>
      <c r="T638" s="15"/>
    </row>
    <row r="639" spans="8:20" x14ac:dyDescent="0.2">
      <c r="H639" s="15"/>
      <c r="I639" s="110"/>
      <c r="J639" s="15"/>
      <c r="K639" s="110"/>
      <c r="L639" s="15"/>
      <c r="M639" s="110"/>
      <c r="N639" s="15"/>
      <c r="O639" s="110"/>
      <c r="P639" s="15"/>
      <c r="Q639" s="110"/>
      <c r="R639" s="15"/>
      <c r="S639" s="110"/>
      <c r="T639" s="15"/>
    </row>
    <row r="640" spans="8:20" x14ac:dyDescent="0.2">
      <c r="H640" s="15"/>
      <c r="I640" s="110"/>
      <c r="J640" s="15"/>
      <c r="K640" s="110"/>
      <c r="L640" s="15"/>
      <c r="M640" s="110"/>
      <c r="N640" s="15"/>
      <c r="O640" s="110"/>
      <c r="P640" s="15"/>
      <c r="Q640" s="110"/>
      <c r="R640" s="15"/>
      <c r="S640" s="110"/>
      <c r="T640" s="15"/>
    </row>
    <row r="641" spans="8:20" x14ac:dyDescent="0.2">
      <c r="H641" s="15"/>
      <c r="I641" s="110"/>
      <c r="J641" s="15"/>
      <c r="K641" s="110"/>
      <c r="L641" s="15"/>
      <c r="M641" s="110"/>
      <c r="N641" s="15"/>
      <c r="O641" s="110"/>
      <c r="P641" s="15"/>
      <c r="Q641" s="110"/>
      <c r="R641" s="15"/>
      <c r="S641" s="110"/>
      <c r="T641" s="15"/>
    </row>
    <row r="642" spans="8:20" x14ac:dyDescent="0.2">
      <c r="H642" s="15"/>
      <c r="I642" s="110"/>
      <c r="J642" s="15"/>
      <c r="K642" s="110"/>
      <c r="L642" s="15"/>
      <c r="M642" s="110"/>
      <c r="N642" s="15"/>
      <c r="O642" s="110"/>
      <c r="P642" s="15"/>
      <c r="Q642" s="110"/>
      <c r="R642" s="15"/>
      <c r="S642" s="110"/>
      <c r="T642" s="15"/>
    </row>
    <row r="643" spans="8:20" x14ac:dyDescent="0.2">
      <c r="H643" s="15"/>
      <c r="I643" s="110"/>
      <c r="J643" s="15"/>
      <c r="K643" s="110"/>
      <c r="L643" s="15"/>
      <c r="M643" s="110"/>
      <c r="N643" s="15"/>
      <c r="O643" s="110"/>
      <c r="P643" s="15"/>
      <c r="Q643" s="110"/>
      <c r="R643" s="15"/>
      <c r="S643" s="110"/>
      <c r="T643" s="15"/>
    </row>
    <row r="644" spans="8:20" x14ac:dyDescent="0.2">
      <c r="H644" s="15"/>
      <c r="I644" s="110"/>
      <c r="J644" s="15"/>
      <c r="K644" s="110"/>
      <c r="L644" s="15"/>
      <c r="M644" s="110"/>
      <c r="N644" s="15"/>
      <c r="O644" s="110"/>
      <c r="P644" s="15"/>
      <c r="Q644" s="110"/>
      <c r="R644" s="15"/>
      <c r="S644" s="110"/>
      <c r="T644" s="15"/>
    </row>
    <row r="645" spans="8:20" x14ac:dyDescent="0.2">
      <c r="H645" s="15"/>
      <c r="I645" s="110"/>
      <c r="J645" s="15"/>
      <c r="K645" s="110"/>
      <c r="L645" s="15"/>
      <c r="M645" s="110"/>
      <c r="N645" s="15"/>
      <c r="O645" s="110"/>
      <c r="P645" s="15"/>
      <c r="Q645" s="110"/>
      <c r="R645" s="15"/>
      <c r="S645" s="110"/>
      <c r="T645" s="15"/>
    </row>
    <row r="646" spans="8:20" x14ac:dyDescent="0.2">
      <c r="H646" s="15"/>
      <c r="I646" s="110"/>
      <c r="J646" s="15"/>
      <c r="K646" s="110"/>
      <c r="L646" s="15"/>
      <c r="M646" s="110"/>
      <c r="N646" s="15"/>
      <c r="O646" s="110"/>
      <c r="P646" s="15"/>
      <c r="Q646" s="110"/>
      <c r="R646" s="15"/>
      <c r="S646" s="110"/>
      <c r="T646" s="15"/>
    </row>
    <row r="647" spans="8:20" x14ac:dyDescent="0.2">
      <c r="H647" s="15"/>
      <c r="I647" s="110"/>
      <c r="J647" s="15"/>
      <c r="K647" s="110"/>
      <c r="L647" s="15"/>
      <c r="M647" s="110"/>
      <c r="N647" s="15"/>
      <c r="O647" s="110"/>
      <c r="P647" s="15"/>
      <c r="Q647" s="110"/>
      <c r="R647" s="15"/>
      <c r="S647" s="110"/>
      <c r="T647" s="15"/>
    </row>
    <row r="648" spans="8:20" x14ac:dyDescent="0.2">
      <c r="H648" s="15"/>
      <c r="I648" s="110"/>
      <c r="J648" s="15"/>
      <c r="K648" s="110"/>
      <c r="L648" s="15"/>
      <c r="M648" s="110"/>
      <c r="N648" s="15"/>
      <c r="O648" s="110"/>
      <c r="P648" s="15"/>
      <c r="Q648" s="110"/>
      <c r="R648" s="15"/>
      <c r="S648" s="110"/>
      <c r="T648" s="15"/>
    </row>
    <row r="649" spans="8:20" x14ac:dyDescent="0.2">
      <c r="H649" s="15"/>
      <c r="I649" s="110"/>
      <c r="J649" s="15"/>
      <c r="K649" s="110"/>
      <c r="L649" s="15"/>
      <c r="M649" s="110"/>
      <c r="N649" s="15"/>
      <c r="O649" s="110"/>
      <c r="P649" s="15"/>
      <c r="Q649" s="110"/>
      <c r="R649" s="15"/>
      <c r="S649" s="110"/>
      <c r="T649" s="15"/>
    </row>
    <row r="650" spans="8:20" x14ac:dyDescent="0.2">
      <c r="H650" s="15"/>
      <c r="I650" s="110"/>
      <c r="J650" s="15"/>
      <c r="K650" s="110"/>
      <c r="L650" s="15"/>
      <c r="M650" s="110"/>
      <c r="N650" s="15"/>
      <c r="O650" s="110"/>
      <c r="P650" s="15"/>
      <c r="Q650" s="110"/>
      <c r="R650" s="15"/>
      <c r="S650" s="110"/>
      <c r="T650" s="15"/>
    </row>
    <row r="651" spans="8:20" x14ac:dyDescent="0.2">
      <c r="H651" s="15"/>
      <c r="I651" s="110"/>
      <c r="J651" s="15"/>
      <c r="K651" s="110"/>
      <c r="L651" s="15"/>
      <c r="M651" s="110"/>
      <c r="N651" s="15"/>
      <c r="O651" s="110"/>
      <c r="P651" s="15"/>
      <c r="Q651" s="110"/>
      <c r="R651" s="15"/>
      <c r="S651" s="110"/>
      <c r="T651" s="15"/>
    </row>
    <row r="652" spans="8:20" x14ac:dyDescent="0.2">
      <c r="H652" s="15"/>
      <c r="I652" s="110"/>
      <c r="J652" s="15"/>
      <c r="K652" s="110"/>
      <c r="L652" s="15"/>
      <c r="M652" s="110"/>
      <c r="N652" s="15"/>
      <c r="O652" s="110"/>
      <c r="P652" s="15"/>
      <c r="Q652" s="110"/>
      <c r="R652" s="15"/>
      <c r="S652" s="110"/>
      <c r="T652" s="15"/>
    </row>
    <row r="653" spans="8:20" x14ac:dyDescent="0.2">
      <c r="H653" s="15"/>
      <c r="I653" s="110"/>
      <c r="J653" s="15"/>
      <c r="K653" s="110"/>
      <c r="L653" s="15"/>
      <c r="M653" s="110"/>
      <c r="N653" s="15"/>
      <c r="O653" s="110"/>
      <c r="P653" s="15"/>
      <c r="Q653" s="110"/>
      <c r="R653" s="15"/>
      <c r="S653" s="110"/>
      <c r="T653" s="15"/>
    </row>
    <row r="654" spans="8:20" x14ac:dyDescent="0.2">
      <c r="H654" s="15"/>
      <c r="I654" s="110"/>
      <c r="J654" s="15"/>
      <c r="K654" s="110"/>
      <c r="L654" s="15"/>
      <c r="M654" s="110"/>
      <c r="N654" s="15"/>
      <c r="O654" s="110"/>
      <c r="P654" s="15"/>
      <c r="Q654" s="110"/>
      <c r="R654" s="15"/>
      <c r="S654" s="110"/>
      <c r="T654" s="15"/>
    </row>
    <row r="655" spans="8:20" x14ac:dyDescent="0.2">
      <c r="H655" s="15"/>
      <c r="I655" s="110"/>
      <c r="J655" s="15"/>
      <c r="K655" s="110"/>
      <c r="L655" s="15"/>
      <c r="M655" s="110"/>
      <c r="N655" s="15"/>
      <c r="O655" s="110"/>
      <c r="P655" s="15"/>
      <c r="Q655" s="110"/>
      <c r="R655" s="15"/>
      <c r="S655" s="110"/>
      <c r="T655" s="15"/>
    </row>
    <row r="656" spans="8:20" x14ac:dyDescent="0.2">
      <c r="H656" s="15"/>
      <c r="I656" s="110"/>
      <c r="J656" s="15"/>
      <c r="K656" s="110"/>
      <c r="L656" s="15"/>
      <c r="M656" s="110"/>
      <c r="N656" s="15"/>
      <c r="O656" s="110"/>
      <c r="P656" s="15"/>
      <c r="Q656" s="110"/>
      <c r="R656" s="15"/>
      <c r="S656" s="110"/>
      <c r="T656" s="15"/>
    </row>
    <row r="657" spans="8:20" x14ac:dyDescent="0.2">
      <c r="H657" s="15"/>
      <c r="I657" s="110"/>
      <c r="J657" s="15"/>
      <c r="K657" s="110"/>
      <c r="L657" s="15"/>
      <c r="M657" s="110"/>
      <c r="N657" s="15"/>
      <c r="O657" s="110"/>
      <c r="P657" s="15"/>
      <c r="Q657" s="110"/>
      <c r="R657" s="15"/>
      <c r="S657" s="110"/>
      <c r="T657" s="15"/>
    </row>
    <row r="658" spans="8:20" x14ac:dyDescent="0.2">
      <c r="H658" s="15"/>
      <c r="I658" s="110"/>
      <c r="J658" s="15"/>
      <c r="K658" s="110"/>
      <c r="L658" s="15"/>
      <c r="M658" s="110"/>
      <c r="N658" s="15"/>
      <c r="O658" s="110"/>
      <c r="P658" s="15"/>
      <c r="Q658" s="110"/>
      <c r="R658" s="15"/>
      <c r="S658" s="110"/>
      <c r="T658" s="15"/>
    </row>
    <row r="659" spans="8:20" x14ac:dyDescent="0.2">
      <c r="H659" s="15"/>
      <c r="I659" s="110"/>
      <c r="J659" s="15"/>
      <c r="K659" s="110"/>
      <c r="L659" s="15"/>
      <c r="M659" s="110"/>
      <c r="N659" s="15"/>
      <c r="O659" s="110"/>
      <c r="P659" s="15"/>
      <c r="Q659" s="110"/>
      <c r="R659" s="15"/>
      <c r="S659" s="110"/>
      <c r="T659" s="15"/>
    </row>
    <row r="660" spans="8:20" x14ac:dyDescent="0.2">
      <c r="H660" s="15"/>
      <c r="I660" s="110"/>
      <c r="J660" s="15"/>
      <c r="K660" s="110"/>
      <c r="L660" s="15"/>
      <c r="M660" s="110"/>
      <c r="N660" s="15"/>
      <c r="O660" s="110"/>
      <c r="P660" s="15"/>
      <c r="Q660" s="110"/>
      <c r="R660" s="15"/>
      <c r="S660" s="110"/>
      <c r="T660" s="15"/>
    </row>
    <row r="661" spans="8:20" x14ac:dyDescent="0.2">
      <c r="H661" s="15"/>
      <c r="I661" s="110"/>
      <c r="J661" s="15"/>
      <c r="K661" s="110"/>
      <c r="L661" s="15"/>
      <c r="M661" s="110"/>
      <c r="N661" s="15"/>
      <c r="O661" s="110"/>
      <c r="P661" s="15"/>
      <c r="Q661" s="110"/>
      <c r="R661" s="15"/>
      <c r="S661" s="110"/>
      <c r="T661" s="15"/>
    </row>
    <row r="662" spans="8:20" x14ac:dyDescent="0.2">
      <c r="H662" s="15"/>
      <c r="I662" s="110"/>
      <c r="J662" s="15"/>
      <c r="K662" s="110"/>
      <c r="L662" s="15"/>
      <c r="M662" s="110"/>
      <c r="N662" s="15"/>
      <c r="O662" s="110"/>
      <c r="P662" s="15"/>
      <c r="Q662" s="110"/>
      <c r="R662" s="15"/>
      <c r="S662" s="110"/>
      <c r="T662" s="15"/>
    </row>
    <row r="663" spans="8:20" x14ac:dyDescent="0.2">
      <c r="H663" s="15"/>
      <c r="I663" s="110"/>
      <c r="J663" s="15"/>
      <c r="K663" s="110"/>
      <c r="L663" s="15"/>
      <c r="M663" s="110"/>
      <c r="N663" s="15"/>
      <c r="O663" s="110"/>
      <c r="P663" s="15"/>
      <c r="Q663" s="110"/>
      <c r="R663" s="15"/>
      <c r="S663" s="110"/>
      <c r="T663" s="15"/>
    </row>
    <row r="664" spans="8:20" x14ac:dyDescent="0.2">
      <c r="H664" s="15"/>
      <c r="I664" s="110"/>
      <c r="J664" s="15"/>
      <c r="K664" s="110"/>
      <c r="L664" s="15"/>
      <c r="M664" s="110"/>
      <c r="N664" s="15"/>
      <c r="O664" s="110"/>
      <c r="P664" s="15"/>
      <c r="Q664" s="110"/>
      <c r="R664" s="15"/>
      <c r="S664" s="110"/>
      <c r="T664" s="15"/>
    </row>
    <row r="665" spans="8:20" x14ac:dyDescent="0.2">
      <c r="H665" s="15"/>
      <c r="I665" s="110"/>
      <c r="J665" s="15"/>
      <c r="K665" s="110"/>
      <c r="L665" s="15"/>
      <c r="M665" s="110"/>
      <c r="N665" s="15"/>
      <c r="O665" s="110"/>
      <c r="P665" s="15"/>
      <c r="Q665" s="110"/>
      <c r="R665" s="15"/>
      <c r="S665" s="110"/>
      <c r="T665" s="15"/>
    </row>
    <row r="666" spans="8:20" x14ac:dyDescent="0.2">
      <c r="H666" s="15"/>
      <c r="I666" s="110"/>
      <c r="J666" s="15"/>
      <c r="K666" s="110"/>
      <c r="L666" s="15"/>
      <c r="M666" s="110"/>
      <c r="N666" s="15"/>
      <c r="O666" s="110"/>
      <c r="P666" s="15"/>
      <c r="Q666" s="110"/>
      <c r="R666" s="15"/>
      <c r="S666" s="110"/>
      <c r="T666" s="15"/>
    </row>
    <row r="667" spans="8:20" x14ac:dyDescent="0.2">
      <c r="H667" s="15"/>
      <c r="I667" s="110"/>
      <c r="J667" s="15"/>
      <c r="K667" s="110"/>
      <c r="L667" s="15"/>
      <c r="M667" s="110"/>
      <c r="N667" s="15"/>
      <c r="O667" s="110"/>
      <c r="P667" s="15"/>
      <c r="Q667" s="110"/>
      <c r="R667" s="15"/>
      <c r="S667" s="110"/>
      <c r="T667" s="15"/>
    </row>
    <row r="668" spans="8:20" x14ac:dyDescent="0.2">
      <c r="H668" s="15"/>
      <c r="I668" s="110"/>
      <c r="J668" s="15"/>
      <c r="K668" s="110"/>
      <c r="L668" s="15"/>
      <c r="M668" s="110"/>
      <c r="N668" s="15"/>
      <c r="O668" s="110"/>
      <c r="P668" s="15"/>
      <c r="Q668" s="110"/>
      <c r="R668" s="15"/>
      <c r="S668" s="110"/>
      <c r="T668" s="15"/>
    </row>
    <row r="669" spans="8:20" x14ac:dyDescent="0.2">
      <c r="H669" s="15"/>
      <c r="I669" s="110"/>
      <c r="J669" s="15"/>
      <c r="K669" s="110"/>
      <c r="L669" s="15"/>
      <c r="M669" s="110"/>
      <c r="N669" s="15"/>
      <c r="O669" s="110"/>
      <c r="P669" s="15"/>
      <c r="Q669" s="110"/>
      <c r="R669" s="15"/>
      <c r="S669" s="110"/>
      <c r="T669" s="15"/>
    </row>
    <row r="670" spans="8:20" x14ac:dyDescent="0.2">
      <c r="H670" s="15"/>
      <c r="I670" s="110"/>
      <c r="J670" s="15"/>
      <c r="K670" s="110"/>
      <c r="L670" s="15"/>
      <c r="M670" s="110"/>
      <c r="N670" s="15"/>
      <c r="O670" s="110"/>
      <c r="P670" s="15"/>
      <c r="Q670" s="110"/>
      <c r="R670" s="15"/>
      <c r="S670" s="110"/>
      <c r="T670" s="15"/>
    </row>
    <row r="671" spans="8:20" x14ac:dyDescent="0.2">
      <c r="H671" s="15"/>
      <c r="I671" s="110"/>
      <c r="J671" s="15"/>
      <c r="K671" s="110"/>
      <c r="L671" s="15"/>
      <c r="M671" s="110"/>
      <c r="N671" s="15"/>
      <c r="O671" s="110"/>
      <c r="P671" s="15"/>
      <c r="Q671" s="110"/>
      <c r="R671" s="15"/>
      <c r="S671" s="110"/>
      <c r="T671" s="15"/>
    </row>
    <row r="672" spans="8:20" x14ac:dyDescent="0.2">
      <c r="H672" s="15"/>
      <c r="I672" s="110"/>
      <c r="J672" s="15"/>
      <c r="K672" s="110"/>
      <c r="L672" s="15"/>
      <c r="M672" s="110"/>
      <c r="N672" s="15"/>
      <c r="O672" s="110"/>
      <c r="P672" s="15"/>
      <c r="Q672" s="110"/>
      <c r="R672" s="15"/>
      <c r="S672" s="110"/>
      <c r="T672" s="15"/>
    </row>
    <row r="673" spans="8:20" x14ac:dyDescent="0.2">
      <c r="H673" s="15"/>
      <c r="I673" s="110"/>
      <c r="J673" s="15"/>
      <c r="K673" s="110"/>
      <c r="L673" s="15"/>
      <c r="M673" s="110"/>
      <c r="N673" s="15"/>
      <c r="O673" s="110"/>
      <c r="P673" s="15"/>
      <c r="Q673" s="110"/>
      <c r="R673" s="15"/>
      <c r="S673" s="110"/>
      <c r="T673" s="15"/>
    </row>
    <row r="674" spans="8:20" x14ac:dyDescent="0.2">
      <c r="H674" s="15"/>
      <c r="I674" s="110"/>
      <c r="J674" s="15"/>
      <c r="K674" s="110"/>
      <c r="L674" s="15"/>
      <c r="M674" s="110"/>
      <c r="N674" s="15"/>
      <c r="O674" s="110"/>
      <c r="P674" s="15"/>
      <c r="Q674" s="110"/>
      <c r="R674" s="15"/>
      <c r="S674" s="110"/>
      <c r="T674" s="15"/>
    </row>
    <row r="675" spans="8:20" x14ac:dyDescent="0.2">
      <c r="H675" s="15"/>
      <c r="I675" s="110"/>
      <c r="J675" s="15"/>
      <c r="K675" s="110"/>
      <c r="L675" s="15"/>
      <c r="M675" s="110"/>
      <c r="N675" s="15"/>
      <c r="O675" s="110"/>
      <c r="P675" s="15"/>
      <c r="Q675" s="110"/>
      <c r="R675" s="15"/>
      <c r="S675" s="110"/>
      <c r="T675" s="15"/>
    </row>
    <row r="676" spans="8:20" x14ac:dyDescent="0.2">
      <c r="H676" s="15"/>
      <c r="I676" s="110"/>
      <c r="J676" s="15"/>
      <c r="K676" s="110"/>
      <c r="L676" s="15"/>
      <c r="M676" s="110"/>
      <c r="N676" s="15"/>
      <c r="O676" s="110"/>
      <c r="P676" s="15"/>
      <c r="Q676" s="110"/>
      <c r="R676" s="15"/>
      <c r="S676" s="110"/>
      <c r="T676" s="15"/>
    </row>
    <row r="677" spans="8:20" x14ac:dyDescent="0.2">
      <c r="H677" s="15"/>
      <c r="I677" s="110"/>
      <c r="J677" s="15"/>
      <c r="K677" s="110"/>
      <c r="L677" s="15"/>
      <c r="M677" s="110"/>
      <c r="N677" s="15"/>
      <c r="O677" s="110"/>
      <c r="P677" s="15"/>
      <c r="Q677" s="110"/>
      <c r="R677" s="15"/>
      <c r="S677" s="110"/>
      <c r="T677" s="15"/>
    </row>
    <row r="678" spans="8:20" x14ac:dyDescent="0.2">
      <c r="H678" s="15"/>
      <c r="I678" s="110"/>
      <c r="J678" s="15"/>
      <c r="K678" s="110"/>
      <c r="L678" s="15"/>
      <c r="M678" s="110"/>
      <c r="N678" s="15"/>
      <c r="O678" s="110"/>
      <c r="P678" s="15"/>
      <c r="Q678" s="110"/>
      <c r="R678" s="15"/>
      <c r="S678" s="110"/>
      <c r="T678" s="15"/>
    </row>
    <row r="679" spans="8:20" x14ac:dyDescent="0.2">
      <c r="H679" s="15"/>
      <c r="I679" s="110"/>
      <c r="J679" s="15"/>
      <c r="K679" s="110"/>
      <c r="L679" s="15"/>
      <c r="M679" s="110"/>
      <c r="N679" s="15"/>
      <c r="O679" s="110"/>
      <c r="P679" s="15"/>
      <c r="Q679" s="110"/>
      <c r="R679" s="15"/>
      <c r="S679" s="110"/>
      <c r="T679" s="15"/>
    </row>
    <row r="680" spans="8:20" x14ac:dyDescent="0.2">
      <c r="H680" s="15"/>
      <c r="I680" s="110"/>
      <c r="J680" s="15"/>
      <c r="K680" s="110"/>
      <c r="L680" s="15"/>
      <c r="M680" s="110"/>
      <c r="N680" s="15"/>
      <c r="O680" s="110"/>
      <c r="P680" s="15"/>
      <c r="Q680" s="110"/>
      <c r="R680" s="15"/>
      <c r="S680" s="110"/>
      <c r="T680" s="15"/>
    </row>
    <row r="681" spans="8:20" x14ac:dyDescent="0.2">
      <c r="H681" s="15"/>
      <c r="I681" s="110"/>
      <c r="J681" s="15"/>
      <c r="K681" s="110"/>
      <c r="L681" s="15"/>
      <c r="M681" s="110"/>
      <c r="N681" s="15"/>
      <c r="O681" s="110"/>
      <c r="P681" s="15"/>
      <c r="Q681" s="110"/>
      <c r="R681" s="15"/>
      <c r="S681" s="110"/>
      <c r="T681" s="15"/>
    </row>
    <row r="682" spans="8:20" x14ac:dyDescent="0.2">
      <c r="H682" s="15"/>
      <c r="I682" s="110"/>
      <c r="J682" s="15"/>
      <c r="K682" s="110"/>
      <c r="L682" s="15"/>
      <c r="M682" s="110"/>
      <c r="N682" s="15"/>
      <c r="O682" s="110"/>
      <c r="P682" s="15"/>
      <c r="Q682" s="110"/>
      <c r="R682" s="15"/>
      <c r="S682" s="110"/>
      <c r="T682" s="15"/>
    </row>
    <row r="683" spans="8:20" x14ac:dyDescent="0.2">
      <c r="H683" s="15"/>
      <c r="I683" s="110"/>
      <c r="J683" s="15"/>
      <c r="K683" s="110"/>
      <c r="L683" s="15"/>
      <c r="M683" s="110"/>
      <c r="N683" s="15"/>
      <c r="O683" s="110"/>
      <c r="P683" s="15"/>
      <c r="Q683" s="110"/>
      <c r="R683" s="15"/>
      <c r="S683" s="110"/>
      <c r="T683" s="15"/>
    </row>
    <row r="684" spans="8:20" x14ac:dyDescent="0.2">
      <c r="H684" s="15"/>
      <c r="I684" s="110"/>
      <c r="J684" s="15"/>
      <c r="K684" s="110"/>
      <c r="L684" s="15"/>
      <c r="M684" s="110"/>
      <c r="N684" s="15"/>
      <c r="O684" s="110"/>
      <c r="P684" s="15"/>
      <c r="Q684" s="110"/>
      <c r="R684" s="15"/>
      <c r="S684" s="110"/>
      <c r="T684" s="15"/>
    </row>
    <row r="685" spans="8:20" x14ac:dyDescent="0.2">
      <c r="H685" s="15"/>
      <c r="I685" s="110"/>
      <c r="J685" s="15"/>
      <c r="K685" s="110"/>
      <c r="L685" s="15"/>
      <c r="M685" s="110"/>
      <c r="N685" s="15"/>
      <c r="O685" s="110"/>
      <c r="P685" s="15"/>
      <c r="Q685" s="110"/>
      <c r="R685" s="15"/>
      <c r="S685" s="110"/>
      <c r="T685" s="15"/>
    </row>
    <row r="686" spans="8:20" x14ac:dyDescent="0.2">
      <c r="H686" s="15"/>
      <c r="I686" s="110"/>
      <c r="J686" s="15"/>
      <c r="K686" s="110"/>
      <c r="L686" s="15"/>
      <c r="M686" s="110"/>
      <c r="N686" s="15"/>
      <c r="O686" s="110"/>
      <c r="P686" s="15"/>
      <c r="Q686" s="110"/>
      <c r="R686" s="15"/>
      <c r="S686" s="110"/>
      <c r="T686" s="15"/>
    </row>
    <row r="687" spans="8:20" x14ac:dyDescent="0.2">
      <c r="H687" s="15"/>
      <c r="I687" s="110"/>
      <c r="J687" s="15"/>
      <c r="K687" s="110"/>
      <c r="L687" s="15"/>
      <c r="M687" s="110"/>
      <c r="N687" s="15"/>
      <c r="O687" s="110"/>
      <c r="P687" s="15"/>
      <c r="Q687" s="110"/>
      <c r="R687" s="15"/>
      <c r="S687" s="110"/>
      <c r="T687" s="15"/>
    </row>
    <row r="688" spans="8:20" x14ac:dyDescent="0.2">
      <c r="H688" s="15"/>
      <c r="I688" s="110"/>
      <c r="J688" s="15"/>
      <c r="K688" s="110"/>
      <c r="L688" s="15"/>
      <c r="M688" s="110"/>
      <c r="N688" s="15"/>
      <c r="O688" s="110"/>
      <c r="P688" s="15"/>
      <c r="Q688" s="110"/>
      <c r="R688" s="15"/>
      <c r="S688" s="110"/>
      <c r="T688" s="15"/>
    </row>
    <row r="689" spans="8:20" x14ac:dyDescent="0.2">
      <c r="H689" s="15"/>
      <c r="I689" s="110"/>
      <c r="J689" s="15"/>
      <c r="K689" s="110"/>
      <c r="L689" s="15"/>
      <c r="M689" s="110"/>
      <c r="N689" s="15"/>
      <c r="O689" s="110"/>
      <c r="P689" s="15"/>
      <c r="Q689" s="110"/>
      <c r="R689" s="15"/>
      <c r="S689" s="110"/>
      <c r="T689" s="15"/>
    </row>
    <row r="690" spans="8:20" x14ac:dyDescent="0.2">
      <c r="H690" s="15"/>
      <c r="I690" s="110"/>
      <c r="J690" s="15"/>
      <c r="K690" s="110"/>
      <c r="L690" s="15"/>
      <c r="M690" s="110"/>
      <c r="N690" s="15"/>
      <c r="O690" s="110"/>
      <c r="P690" s="15"/>
      <c r="Q690" s="110"/>
      <c r="R690" s="15"/>
      <c r="S690" s="110"/>
      <c r="T690" s="15"/>
    </row>
    <row r="691" spans="8:20" x14ac:dyDescent="0.2">
      <c r="H691" s="15"/>
      <c r="I691" s="110"/>
      <c r="J691" s="15"/>
      <c r="K691" s="110"/>
      <c r="L691" s="15"/>
      <c r="M691" s="110"/>
      <c r="N691" s="15"/>
      <c r="O691" s="110"/>
      <c r="P691" s="15"/>
      <c r="Q691" s="110"/>
      <c r="R691" s="15"/>
      <c r="S691" s="110"/>
      <c r="T691" s="15"/>
    </row>
    <row r="692" spans="8:20" x14ac:dyDescent="0.2">
      <c r="H692" s="15"/>
      <c r="I692" s="110"/>
      <c r="J692" s="15"/>
      <c r="K692" s="110"/>
      <c r="L692" s="15"/>
      <c r="M692" s="110"/>
      <c r="N692" s="15"/>
      <c r="O692" s="110"/>
      <c r="P692" s="15"/>
      <c r="Q692" s="110"/>
      <c r="R692" s="15"/>
      <c r="S692" s="110"/>
      <c r="T692" s="15"/>
    </row>
    <row r="693" spans="8:20" x14ac:dyDescent="0.2">
      <c r="H693" s="15"/>
      <c r="I693" s="110"/>
      <c r="J693" s="15"/>
      <c r="K693" s="110"/>
      <c r="L693" s="15"/>
      <c r="M693" s="110"/>
      <c r="N693" s="15"/>
      <c r="O693" s="110"/>
      <c r="P693" s="15"/>
      <c r="Q693" s="110"/>
      <c r="R693" s="15"/>
      <c r="S693" s="110"/>
      <c r="T693" s="15"/>
    </row>
    <row r="694" spans="8:20" x14ac:dyDescent="0.2">
      <c r="H694" s="15"/>
      <c r="I694" s="110"/>
      <c r="J694" s="15"/>
      <c r="K694" s="110"/>
      <c r="L694" s="15"/>
      <c r="M694" s="110"/>
      <c r="N694" s="15"/>
      <c r="O694" s="110"/>
      <c r="P694" s="15"/>
      <c r="Q694" s="110"/>
      <c r="R694" s="15"/>
      <c r="S694" s="110"/>
      <c r="T694" s="15"/>
    </row>
    <row r="695" spans="8:20" x14ac:dyDescent="0.2">
      <c r="H695" s="15"/>
      <c r="I695" s="110"/>
      <c r="J695" s="15"/>
      <c r="K695" s="110"/>
      <c r="L695" s="15"/>
      <c r="M695" s="110"/>
      <c r="N695" s="15"/>
      <c r="O695" s="110"/>
      <c r="P695" s="15"/>
      <c r="Q695" s="110"/>
      <c r="R695" s="15"/>
      <c r="S695" s="110"/>
      <c r="T695" s="15"/>
    </row>
    <row r="696" spans="8:20" x14ac:dyDescent="0.2">
      <c r="H696" s="15"/>
      <c r="I696" s="110"/>
      <c r="J696" s="15"/>
      <c r="K696" s="110"/>
      <c r="L696" s="15"/>
      <c r="M696" s="110"/>
      <c r="N696" s="15"/>
      <c r="O696" s="110"/>
      <c r="P696" s="15"/>
      <c r="Q696" s="110"/>
      <c r="R696" s="15"/>
      <c r="S696" s="110"/>
      <c r="T696" s="15"/>
    </row>
    <row r="697" spans="8:20" x14ac:dyDescent="0.2">
      <c r="H697" s="15"/>
      <c r="I697" s="110"/>
      <c r="J697" s="15"/>
      <c r="K697" s="110"/>
      <c r="L697" s="15"/>
      <c r="M697" s="110"/>
      <c r="N697" s="15"/>
      <c r="O697" s="110"/>
      <c r="P697" s="15"/>
      <c r="Q697" s="110"/>
      <c r="R697" s="15"/>
      <c r="S697" s="110"/>
      <c r="T697" s="15"/>
    </row>
    <row r="698" spans="8:20" x14ac:dyDescent="0.2">
      <c r="H698" s="15"/>
      <c r="I698" s="110"/>
      <c r="J698" s="15"/>
      <c r="K698" s="110"/>
      <c r="L698" s="15"/>
      <c r="M698" s="110"/>
      <c r="N698" s="15"/>
      <c r="O698" s="110"/>
      <c r="P698" s="15"/>
      <c r="Q698" s="110"/>
      <c r="R698" s="15"/>
      <c r="S698" s="110"/>
      <c r="T698" s="15"/>
    </row>
    <row r="699" spans="8:20" x14ac:dyDescent="0.2">
      <c r="H699" s="15"/>
      <c r="I699" s="110"/>
      <c r="J699" s="15"/>
      <c r="K699" s="110"/>
      <c r="L699" s="15"/>
      <c r="M699" s="110"/>
      <c r="N699" s="15"/>
      <c r="O699" s="110"/>
      <c r="P699" s="15"/>
      <c r="Q699" s="110"/>
      <c r="R699" s="15"/>
      <c r="S699" s="110"/>
      <c r="T699" s="15"/>
    </row>
    <row r="700" spans="8:20" x14ac:dyDescent="0.2">
      <c r="H700" s="15"/>
      <c r="I700" s="110"/>
      <c r="J700" s="15"/>
      <c r="K700" s="110"/>
      <c r="L700" s="15"/>
      <c r="M700" s="110"/>
      <c r="N700" s="15"/>
      <c r="O700" s="110"/>
      <c r="P700" s="15"/>
      <c r="Q700" s="110"/>
      <c r="R700" s="15"/>
      <c r="S700" s="110"/>
      <c r="T700" s="15"/>
    </row>
    <row r="701" spans="8:20" x14ac:dyDescent="0.2">
      <c r="H701" s="15"/>
      <c r="I701" s="110"/>
      <c r="J701" s="15"/>
      <c r="K701" s="110"/>
      <c r="L701" s="15"/>
      <c r="M701" s="110"/>
      <c r="N701" s="15"/>
      <c r="O701" s="110"/>
      <c r="P701" s="15"/>
      <c r="Q701" s="110"/>
      <c r="R701" s="15"/>
      <c r="S701" s="110"/>
      <c r="T701" s="15"/>
    </row>
    <row r="702" spans="8:20" x14ac:dyDescent="0.2">
      <c r="H702" s="15"/>
      <c r="I702" s="110"/>
      <c r="J702" s="15"/>
      <c r="K702" s="110"/>
      <c r="L702" s="15"/>
      <c r="M702" s="110"/>
      <c r="N702" s="15"/>
      <c r="O702" s="110"/>
      <c r="P702" s="15"/>
      <c r="Q702" s="110"/>
      <c r="R702" s="15"/>
      <c r="S702" s="110"/>
      <c r="T702" s="15"/>
    </row>
    <row r="703" spans="8:20" x14ac:dyDescent="0.2">
      <c r="H703" s="15"/>
      <c r="I703" s="110"/>
      <c r="J703" s="15"/>
      <c r="K703" s="110"/>
      <c r="L703" s="15"/>
      <c r="M703" s="110"/>
      <c r="N703" s="15"/>
      <c r="O703" s="110"/>
      <c r="P703" s="15"/>
      <c r="Q703" s="110"/>
      <c r="R703" s="15"/>
      <c r="S703" s="110"/>
      <c r="T703" s="15"/>
    </row>
    <row r="704" spans="8:20" x14ac:dyDescent="0.2">
      <c r="H704" s="15"/>
      <c r="I704" s="110"/>
      <c r="J704" s="15"/>
      <c r="K704" s="110"/>
      <c r="L704" s="15"/>
      <c r="M704" s="110"/>
      <c r="N704" s="15"/>
      <c r="O704" s="110"/>
      <c r="P704" s="15"/>
      <c r="Q704" s="110"/>
      <c r="R704" s="15"/>
      <c r="S704" s="110"/>
      <c r="T704" s="15"/>
    </row>
    <row r="705" spans="8:20" x14ac:dyDescent="0.2">
      <c r="H705" s="15"/>
      <c r="I705" s="110"/>
      <c r="J705" s="15"/>
      <c r="K705" s="110"/>
      <c r="L705" s="15"/>
      <c r="M705" s="110"/>
      <c r="N705" s="15"/>
      <c r="O705" s="110"/>
      <c r="P705" s="15"/>
      <c r="Q705" s="110"/>
      <c r="R705" s="15"/>
      <c r="S705" s="110"/>
      <c r="T705" s="15"/>
    </row>
    <row r="706" spans="8:20" x14ac:dyDescent="0.2">
      <c r="H706" s="15"/>
      <c r="I706" s="110"/>
      <c r="J706" s="15"/>
      <c r="K706" s="110"/>
      <c r="L706" s="15"/>
      <c r="M706" s="110"/>
      <c r="N706" s="15"/>
      <c r="O706" s="110"/>
      <c r="P706" s="15"/>
      <c r="Q706" s="110"/>
      <c r="R706" s="15"/>
      <c r="S706" s="110"/>
      <c r="T706" s="15"/>
    </row>
    <row r="707" spans="8:20" x14ac:dyDescent="0.2">
      <c r="H707" s="15"/>
      <c r="I707" s="110"/>
      <c r="J707" s="15"/>
      <c r="K707" s="110"/>
      <c r="L707" s="15"/>
      <c r="M707" s="110"/>
      <c r="N707" s="15"/>
      <c r="O707" s="110"/>
      <c r="P707" s="15"/>
      <c r="Q707" s="110"/>
      <c r="R707" s="15"/>
      <c r="S707" s="110"/>
      <c r="T707" s="15"/>
    </row>
    <row r="708" spans="8:20" x14ac:dyDescent="0.2">
      <c r="H708" s="15"/>
      <c r="I708" s="110"/>
      <c r="J708" s="15"/>
      <c r="K708" s="110"/>
      <c r="L708" s="15"/>
      <c r="M708" s="110"/>
      <c r="N708" s="15"/>
      <c r="O708" s="110"/>
      <c r="P708" s="15"/>
      <c r="Q708" s="110"/>
      <c r="R708" s="15"/>
      <c r="S708" s="110"/>
      <c r="T708" s="15"/>
    </row>
    <row r="709" spans="8:20" x14ac:dyDescent="0.2">
      <c r="H709" s="15"/>
      <c r="I709" s="110"/>
      <c r="J709" s="15"/>
      <c r="K709" s="110"/>
      <c r="L709" s="15"/>
      <c r="M709" s="110"/>
      <c r="N709" s="15"/>
      <c r="O709" s="110"/>
      <c r="P709" s="15"/>
      <c r="Q709" s="110"/>
      <c r="R709" s="15"/>
      <c r="S709" s="110"/>
      <c r="T709" s="15"/>
    </row>
    <row r="710" spans="8:20" x14ac:dyDescent="0.2">
      <c r="H710" s="15"/>
      <c r="I710" s="110"/>
      <c r="J710" s="15"/>
      <c r="K710" s="110"/>
      <c r="L710" s="15"/>
      <c r="M710" s="110"/>
      <c r="N710" s="15"/>
      <c r="O710" s="110"/>
      <c r="P710" s="15"/>
      <c r="Q710" s="110"/>
      <c r="R710" s="15"/>
      <c r="S710" s="110"/>
      <c r="T710" s="15"/>
    </row>
    <row r="711" spans="8:20" x14ac:dyDescent="0.2">
      <c r="H711" s="15"/>
      <c r="I711" s="110"/>
      <c r="J711" s="15"/>
      <c r="K711" s="110"/>
      <c r="L711" s="15"/>
      <c r="M711" s="110"/>
      <c r="N711" s="15"/>
      <c r="O711" s="110"/>
      <c r="P711" s="15"/>
      <c r="Q711" s="110"/>
      <c r="R711" s="15"/>
      <c r="S711" s="110"/>
      <c r="T711" s="15"/>
    </row>
    <row r="712" spans="8:20" x14ac:dyDescent="0.2">
      <c r="H712" s="15"/>
      <c r="I712" s="110"/>
      <c r="J712" s="15"/>
      <c r="K712" s="110"/>
      <c r="L712" s="15"/>
      <c r="M712" s="110"/>
      <c r="N712" s="15"/>
      <c r="O712" s="110"/>
      <c r="P712" s="15"/>
      <c r="Q712" s="110"/>
      <c r="R712" s="15"/>
      <c r="S712" s="110"/>
      <c r="T712" s="15"/>
    </row>
    <row r="713" spans="8:20" x14ac:dyDescent="0.2">
      <c r="H713" s="15"/>
      <c r="I713" s="110"/>
      <c r="J713" s="15"/>
      <c r="K713" s="110"/>
      <c r="L713" s="15"/>
      <c r="M713" s="110"/>
      <c r="N713" s="15"/>
      <c r="O713" s="110"/>
      <c r="P713" s="15"/>
      <c r="Q713" s="110"/>
      <c r="R713" s="15"/>
      <c r="S713" s="110"/>
      <c r="T713" s="15"/>
    </row>
    <row r="714" spans="8:20" x14ac:dyDescent="0.2">
      <c r="H714" s="15"/>
      <c r="I714" s="110"/>
      <c r="J714" s="15"/>
      <c r="K714" s="110"/>
      <c r="L714" s="15"/>
      <c r="M714" s="110"/>
      <c r="N714" s="15"/>
      <c r="O714" s="110"/>
      <c r="P714" s="15"/>
      <c r="Q714" s="110"/>
      <c r="R714" s="15"/>
      <c r="S714" s="110"/>
      <c r="T714" s="15"/>
    </row>
    <row r="715" spans="8:20" x14ac:dyDescent="0.2">
      <c r="H715" s="15"/>
      <c r="I715" s="110"/>
      <c r="J715" s="15"/>
      <c r="K715" s="110"/>
      <c r="L715" s="15"/>
      <c r="M715" s="110"/>
      <c r="N715" s="15"/>
      <c r="O715" s="110"/>
      <c r="P715" s="15"/>
      <c r="Q715" s="110"/>
      <c r="R715" s="15"/>
      <c r="S715" s="110"/>
      <c r="T715" s="15"/>
    </row>
    <row r="716" spans="8:20" x14ac:dyDescent="0.2">
      <c r="H716" s="15"/>
      <c r="I716" s="110"/>
      <c r="J716" s="15"/>
      <c r="K716" s="110"/>
      <c r="L716" s="15"/>
      <c r="M716" s="110"/>
      <c r="N716" s="15"/>
      <c r="O716" s="110"/>
      <c r="P716" s="15"/>
      <c r="Q716" s="110"/>
      <c r="R716" s="15"/>
      <c r="S716" s="110"/>
      <c r="T716" s="15"/>
    </row>
    <row r="717" spans="8:20" x14ac:dyDescent="0.2">
      <c r="H717" s="15"/>
      <c r="I717" s="110"/>
      <c r="J717" s="15"/>
      <c r="K717" s="110"/>
      <c r="L717" s="15"/>
      <c r="M717" s="110"/>
      <c r="N717" s="15"/>
      <c r="O717" s="110"/>
      <c r="P717" s="15"/>
      <c r="Q717" s="110"/>
      <c r="R717" s="15"/>
      <c r="S717" s="110"/>
      <c r="T717" s="15"/>
    </row>
    <row r="718" spans="8:20" x14ac:dyDescent="0.2">
      <c r="H718" s="15"/>
      <c r="I718" s="110"/>
      <c r="J718" s="15"/>
      <c r="K718" s="110"/>
      <c r="L718" s="15"/>
      <c r="M718" s="110"/>
      <c r="N718" s="15"/>
      <c r="O718" s="110"/>
      <c r="P718" s="15"/>
      <c r="Q718" s="110"/>
      <c r="R718" s="15"/>
      <c r="S718" s="110"/>
      <c r="T718" s="15"/>
    </row>
    <row r="719" spans="8:20" x14ac:dyDescent="0.2">
      <c r="H719" s="15"/>
      <c r="I719" s="110"/>
      <c r="J719" s="15"/>
      <c r="K719" s="110"/>
      <c r="L719" s="15"/>
      <c r="M719" s="110"/>
      <c r="N719" s="15"/>
      <c r="O719" s="110"/>
      <c r="P719" s="15"/>
      <c r="Q719" s="110"/>
      <c r="R719" s="15"/>
      <c r="S719" s="110"/>
      <c r="T719" s="15"/>
    </row>
    <row r="720" spans="8:20" x14ac:dyDescent="0.2">
      <c r="H720" s="15"/>
      <c r="I720" s="110"/>
      <c r="J720" s="15"/>
      <c r="K720" s="110"/>
      <c r="L720" s="15"/>
      <c r="M720" s="110"/>
      <c r="N720" s="15"/>
      <c r="O720" s="110"/>
      <c r="P720" s="15"/>
      <c r="Q720" s="110"/>
      <c r="R720" s="15"/>
      <c r="S720" s="110"/>
      <c r="T720" s="15"/>
    </row>
    <row r="721" spans="8:20" x14ac:dyDescent="0.2">
      <c r="H721" s="15"/>
      <c r="I721" s="110"/>
      <c r="J721" s="15"/>
      <c r="K721" s="110"/>
      <c r="L721" s="15"/>
      <c r="M721" s="110"/>
      <c r="N721" s="15"/>
      <c r="O721" s="110"/>
      <c r="P721" s="15"/>
      <c r="Q721" s="110"/>
      <c r="R721" s="15"/>
      <c r="S721" s="110"/>
      <c r="T721" s="15"/>
    </row>
    <row r="722" spans="8:20" x14ac:dyDescent="0.2">
      <c r="H722" s="15"/>
      <c r="I722" s="110"/>
      <c r="J722" s="15"/>
      <c r="K722" s="110"/>
      <c r="L722" s="15"/>
      <c r="M722" s="110"/>
      <c r="N722" s="15"/>
      <c r="O722" s="110"/>
      <c r="P722" s="15"/>
      <c r="Q722" s="110"/>
      <c r="R722" s="15"/>
      <c r="S722" s="110"/>
      <c r="T722" s="15"/>
    </row>
    <row r="723" spans="8:20" x14ac:dyDescent="0.2">
      <c r="H723" s="15"/>
      <c r="I723" s="110"/>
      <c r="J723" s="15"/>
      <c r="K723" s="110"/>
      <c r="L723" s="15"/>
      <c r="M723" s="110"/>
      <c r="N723" s="15"/>
      <c r="O723" s="110"/>
      <c r="P723" s="15"/>
      <c r="Q723" s="110"/>
      <c r="R723" s="15"/>
      <c r="S723" s="110"/>
      <c r="T723" s="15"/>
    </row>
    <row r="724" spans="8:20" x14ac:dyDescent="0.2">
      <c r="H724" s="15"/>
      <c r="I724" s="110"/>
      <c r="J724" s="15"/>
      <c r="K724" s="110"/>
      <c r="L724" s="15"/>
      <c r="M724" s="110"/>
      <c r="N724" s="15"/>
      <c r="O724" s="110"/>
      <c r="P724" s="15"/>
      <c r="Q724" s="110"/>
      <c r="R724" s="15"/>
      <c r="S724" s="110"/>
      <c r="T724" s="15"/>
    </row>
    <row r="725" spans="8:20" x14ac:dyDescent="0.2">
      <c r="H725" s="15"/>
      <c r="I725" s="110"/>
      <c r="J725" s="15"/>
      <c r="K725" s="110"/>
      <c r="L725" s="15"/>
      <c r="M725" s="110"/>
      <c r="N725" s="15"/>
      <c r="O725" s="110"/>
      <c r="P725" s="15"/>
      <c r="Q725" s="110"/>
      <c r="R725" s="15"/>
      <c r="S725" s="110"/>
      <c r="T725" s="15"/>
    </row>
    <row r="726" spans="8:20" x14ac:dyDescent="0.2">
      <c r="H726" s="15"/>
      <c r="I726" s="110"/>
      <c r="J726" s="15"/>
      <c r="K726" s="110"/>
      <c r="L726" s="15"/>
      <c r="M726" s="110"/>
      <c r="N726" s="15"/>
      <c r="O726" s="110"/>
      <c r="P726" s="15"/>
      <c r="Q726" s="110"/>
      <c r="R726" s="15"/>
      <c r="S726" s="110"/>
      <c r="T726" s="15"/>
    </row>
    <row r="727" spans="8:20" x14ac:dyDescent="0.2">
      <c r="H727" s="15"/>
      <c r="I727" s="110"/>
      <c r="J727" s="15"/>
      <c r="K727" s="110"/>
      <c r="L727" s="15"/>
      <c r="M727" s="110"/>
      <c r="N727" s="15"/>
      <c r="O727" s="110"/>
      <c r="P727" s="15"/>
      <c r="Q727" s="110"/>
      <c r="R727" s="15"/>
      <c r="S727" s="110"/>
      <c r="T727" s="15"/>
    </row>
    <row r="728" spans="8:20" x14ac:dyDescent="0.2">
      <c r="H728" s="15"/>
      <c r="I728" s="110"/>
      <c r="J728" s="15"/>
      <c r="K728" s="110"/>
      <c r="L728" s="15"/>
      <c r="M728" s="110"/>
      <c r="N728" s="15"/>
      <c r="O728" s="110"/>
      <c r="P728" s="15"/>
      <c r="Q728" s="110"/>
      <c r="R728" s="15"/>
      <c r="S728" s="110"/>
      <c r="T728" s="15"/>
    </row>
    <row r="729" spans="8:20" x14ac:dyDescent="0.2">
      <c r="H729" s="15"/>
      <c r="I729" s="110"/>
      <c r="J729" s="15"/>
      <c r="K729" s="110"/>
      <c r="L729" s="15"/>
      <c r="M729" s="110"/>
      <c r="N729" s="15"/>
      <c r="O729" s="110"/>
      <c r="P729" s="15"/>
      <c r="Q729" s="110"/>
      <c r="R729" s="15"/>
      <c r="S729" s="110"/>
      <c r="T729" s="15"/>
    </row>
    <row r="730" spans="8:20" x14ac:dyDescent="0.2">
      <c r="H730" s="15"/>
      <c r="I730" s="110"/>
      <c r="J730" s="15"/>
      <c r="K730" s="110"/>
      <c r="L730" s="15"/>
      <c r="M730" s="110"/>
      <c r="N730" s="15"/>
      <c r="O730" s="110"/>
      <c r="P730" s="15"/>
      <c r="Q730" s="110"/>
      <c r="R730" s="15"/>
      <c r="S730" s="110"/>
      <c r="T730" s="15"/>
    </row>
    <row r="731" spans="8:20" x14ac:dyDescent="0.2">
      <c r="H731" s="15"/>
      <c r="I731" s="110"/>
      <c r="J731" s="15"/>
      <c r="K731" s="110"/>
      <c r="L731" s="15"/>
      <c r="M731" s="110"/>
      <c r="N731" s="15"/>
      <c r="O731" s="110"/>
      <c r="P731" s="15"/>
      <c r="Q731" s="110"/>
      <c r="R731" s="15"/>
      <c r="S731" s="110"/>
      <c r="T731" s="15"/>
    </row>
    <row r="732" spans="8:20" x14ac:dyDescent="0.2">
      <c r="H732" s="15"/>
      <c r="I732" s="110"/>
      <c r="J732" s="15"/>
      <c r="K732" s="110"/>
      <c r="L732" s="15"/>
      <c r="M732" s="110"/>
      <c r="N732" s="15"/>
      <c r="O732" s="110"/>
      <c r="P732" s="15"/>
      <c r="Q732" s="110"/>
      <c r="R732" s="15"/>
      <c r="S732" s="110"/>
      <c r="T732" s="15"/>
    </row>
    <row r="733" spans="8:20" x14ac:dyDescent="0.2">
      <c r="H733" s="15"/>
      <c r="I733" s="110"/>
      <c r="J733" s="15"/>
      <c r="K733" s="110"/>
      <c r="L733" s="15"/>
      <c r="M733" s="110"/>
      <c r="N733" s="15"/>
      <c r="O733" s="110"/>
      <c r="P733" s="15"/>
      <c r="Q733" s="110"/>
      <c r="R733" s="15"/>
      <c r="S733" s="110"/>
      <c r="T733" s="15"/>
    </row>
    <row r="734" spans="8:20" x14ac:dyDescent="0.2">
      <c r="H734" s="15"/>
      <c r="I734" s="110"/>
      <c r="J734" s="15"/>
      <c r="K734" s="110"/>
      <c r="L734" s="15"/>
      <c r="M734" s="110"/>
      <c r="N734" s="15"/>
      <c r="O734" s="110"/>
      <c r="P734" s="15"/>
      <c r="Q734" s="110"/>
      <c r="R734" s="15"/>
      <c r="S734" s="110"/>
      <c r="T734" s="15"/>
    </row>
    <row r="735" spans="8:20" x14ac:dyDescent="0.2">
      <c r="H735" s="15"/>
      <c r="I735" s="110"/>
      <c r="J735" s="15"/>
      <c r="K735" s="110"/>
      <c r="L735" s="15"/>
      <c r="M735" s="110"/>
      <c r="N735" s="15"/>
      <c r="O735" s="110"/>
      <c r="P735" s="15"/>
      <c r="Q735" s="110"/>
      <c r="R735" s="15"/>
      <c r="S735" s="110"/>
      <c r="T735" s="15"/>
    </row>
    <row r="736" spans="8:20" x14ac:dyDescent="0.2">
      <c r="H736" s="15"/>
      <c r="I736" s="110"/>
      <c r="J736" s="15"/>
      <c r="K736" s="110"/>
      <c r="L736" s="15"/>
      <c r="M736" s="110"/>
      <c r="N736" s="15"/>
      <c r="O736" s="110"/>
      <c r="P736" s="15"/>
      <c r="Q736" s="110"/>
      <c r="R736" s="15"/>
      <c r="S736" s="110"/>
      <c r="T736" s="15"/>
    </row>
    <row r="737" spans="8:20" x14ac:dyDescent="0.2">
      <c r="H737" s="15"/>
      <c r="I737" s="110"/>
      <c r="J737" s="15"/>
      <c r="K737" s="110"/>
      <c r="L737" s="15"/>
      <c r="M737" s="110"/>
      <c r="N737" s="15"/>
      <c r="O737" s="110"/>
      <c r="P737" s="15"/>
      <c r="Q737" s="110"/>
      <c r="R737" s="15"/>
      <c r="S737" s="110"/>
      <c r="T737" s="15"/>
    </row>
    <row r="738" spans="8:20" x14ac:dyDescent="0.2">
      <c r="H738" s="15"/>
      <c r="I738" s="110"/>
      <c r="J738" s="15"/>
      <c r="K738" s="110"/>
      <c r="L738" s="15"/>
      <c r="M738" s="110"/>
      <c r="N738" s="15"/>
      <c r="O738" s="110"/>
      <c r="P738" s="15"/>
      <c r="Q738" s="110"/>
      <c r="R738" s="15"/>
      <c r="S738" s="110"/>
      <c r="T738" s="15"/>
    </row>
    <row r="739" spans="8:20" x14ac:dyDescent="0.2">
      <c r="H739" s="15"/>
      <c r="I739" s="110"/>
      <c r="J739" s="15"/>
      <c r="K739" s="110"/>
      <c r="L739" s="15"/>
      <c r="M739" s="110"/>
      <c r="N739" s="15"/>
      <c r="O739" s="110"/>
      <c r="P739" s="15"/>
      <c r="Q739" s="110"/>
      <c r="R739" s="15"/>
      <c r="S739" s="110"/>
      <c r="T739" s="15"/>
    </row>
    <row r="740" spans="8:20" x14ac:dyDescent="0.2">
      <c r="H740" s="15"/>
      <c r="I740" s="110"/>
      <c r="J740" s="15"/>
      <c r="K740" s="110"/>
      <c r="L740" s="15"/>
      <c r="M740" s="110"/>
      <c r="N740" s="15"/>
      <c r="O740" s="110"/>
      <c r="P740" s="15"/>
      <c r="Q740" s="110"/>
      <c r="R740" s="15"/>
      <c r="S740" s="110"/>
      <c r="T740" s="15"/>
    </row>
    <row r="741" spans="8:20" x14ac:dyDescent="0.2">
      <c r="H741" s="15"/>
      <c r="I741" s="110"/>
      <c r="J741" s="15"/>
      <c r="K741" s="110"/>
      <c r="L741" s="15"/>
      <c r="M741" s="110"/>
      <c r="N741" s="15"/>
      <c r="O741" s="110"/>
      <c r="P741" s="15"/>
      <c r="Q741" s="110"/>
      <c r="R741" s="15"/>
      <c r="S741" s="110"/>
      <c r="T741" s="15"/>
    </row>
    <row r="742" spans="8:20" x14ac:dyDescent="0.2">
      <c r="H742" s="15"/>
      <c r="I742" s="110"/>
      <c r="J742" s="15"/>
      <c r="K742" s="110"/>
      <c r="L742" s="15"/>
      <c r="M742" s="110"/>
      <c r="N742" s="15"/>
      <c r="O742" s="110"/>
      <c r="P742" s="15"/>
      <c r="Q742" s="110"/>
      <c r="R742" s="15"/>
      <c r="S742" s="110"/>
      <c r="T742" s="15"/>
    </row>
    <row r="743" spans="8:20" x14ac:dyDescent="0.2">
      <c r="H743" s="15"/>
      <c r="I743" s="110"/>
      <c r="J743" s="15"/>
      <c r="K743" s="110"/>
      <c r="L743" s="15"/>
      <c r="M743" s="110"/>
      <c r="N743" s="15"/>
      <c r="O743" s="110"/>
      <c r="P743" s="15"/>
      <c r="Q743" s="110"/>
      <c r="R743" s="15"/>
      <c r="S743" s="110"/>
      <c r="T743" s="15"/>
    </row>
    <row r="744" spans="8:20" x14ac:dyDescent="0.2">
      <c r="H744" s="15"/>
      <c r="I744" s="110"/>
      <c r="J744" s="15"/>
      <c r="K744" s="110"/>
      <c r="L744" s="15"/>
      <c r="M744" s="110"/>
      <c r="N744" s="15"/>
      <c r="O744" s="110"/>
      <c r="P744" s="15"/>
      <c r="Q744" s="110"/>
      <c r="R744" s="15"/>
      <c r="S744" s="110"/>
      <c r="T744" s="15"/>
    </row>
    <row r="745" spans="8:20" x14ac:dyDescent="0.2">
      <c r="H745" s="15"/>
      <c r="I745" s="110"/>
      <c r="J745" s="15"/>
      <c r="K745" s="110"/>
      <c r="L745" s="15"/>
      <c r="M745" s="110"/>
      <c r="N745" s="15"/>
      <c r="O745" s="110"/>
      <c r="P745" s="15"/>
      <c r="Q745" s="110"/>
      <c r="R745" s="15"/>
      <c r="S745" s="110"/>
      <c r="T745" s="15"/>
    </row>
    <row r="746" spans="8:20" x14ac:dyDescent="0.2">
      <c r="H746" s="15"/>
      <c r="I746" s="110"/>
      <c r="J746" s="15"/>
      <c r="K746" s="110"/>
      <c r="L746" s="15"/>
      <c r="M746" s="110"/>
      <c r="N746" s="15"/>
      <c r="O746" s="110"/>
      <c r="P746" s="15"/>
      <c r="Q746" s="110"/>
      <c r="R746" s="15"/>
      <c r="S746" s="110"/>
      <c r="T746" s="15"/>
    </row>
    <row r="747" spans="8:20" x14ac:dyDescent="0.2">
      <c r="H747" s="15"/>
      <c r="I747" s="110"/>
      <c r="J747" s="15"/>
      <c r="K747" s="110"/>
      <c r="L747" s="15"/>
      <c r="M747" s="110"/>
      <c r="N747" s="15"/>
      <c r="O747" s="110"/>
      <c r="P747" s="15"/>
      <c r="Q747" s="110"/>
      <c r="R747" s="15"/>
      <c r="S747" s="110"/>
      <c r="T747" s="15"/>
    </row>
    <row r="748" spans="8:20" x14ac:dyDescent="0.2">
      <c r="H748" s="15"/>
      <c r="I748" s="110"/>
      <c r="J748" s="15"/>
      <c r="K748" s="110"/>
      <c r="L748" s="15"/>
      <c r="M748" s="110"/>
      <c r="N748" s="15"/>
      <c r="O748" s="110"/>
      <c r="P748" s="15"/>
      <c r="Q748" s="110"/>
      <c r="R748" s="15"/>
      <c r="S748" s="110"/>
      <c r="T748" s="15"/>
    </row>
    <row r="749" spans="8:20" x14ac:dyDescent="0.2">
      <c r="H749" s="15"/>
      <c r="I749" s="110"/>
      <c r="J749" s="15"/>
      <c r="K749" s="110"/>
      <c r="L749" s="15"/>
      <c r="M749" s="110"/>
      <c r="N749" s="15"/>
      <c r="O749" s="110"/>
      <c r="P749" s="15"/>
      <c r="Q749" s="110"/>
      <c r="R749" s="15"/>
      <c r="S749" s="110"/>
      <c r="T749" s="15"/>
    </row>
    <row r="750" spans="8:20" x14ac:dyDescent="0.2">
      <c r="H750" s="15"/>
      <c r="I750" s="110"/>
      <c r="J750" s="15"/>
      <c r="K750" s="110"/>
      <c r="L750" s="15"/>
      <c r="M750" s="110"/>
      <c r="N750" s="15"/>
      <c r="O750" s="110"/>
      <c r="P750" s="15"/>
      <c r="Q750" s="110"/>
      <c r="R750" s="15"/>
      <c r="S750" s="110"/>
      <c r="T750" s="15"/>
    </row>
    <row r="751" spans="8:20" x14ac:dyDescent="0.2">
      <c r="H751" s="15"/>
      <c r="I751" s="110"/>
      <c r="J751" s="15"/>
      <c r="K751" s="110"/>
      <c r="L751" s="15"/>
      <c r="M751" s="110"/>
      <c r="N751" s="15"/>
      <c r="O751" s="110"/>
      <c r="P751" s="15"/>
      <c r="Q751" s="110"/>
      <c r="R751" s="15"/>
      <c r="S751" s="110"/>
      <c r="T751" s="15"/>
    </row>
    <row r="752" spans="8:20" x14ac:dyDescent="0.2">
      <c r="H752" s="15"/>
      <c r="I752" s="110"/>
      <c r="J752" s="15"/>
      <c r="K752" s="110"/>
      <c r="L752" s="15"/>
      <c r="M752" s="110"/>
      <c r="N752" s="15"/>
      <c r="O752" s="110"/>
      <c r="P752" s="15"/>
      <c r="Q752" s="110"/>
      <c r="R752" s="15"/>
      <c r="S752" s="110"/>
      <c r="T752" s="15"/>
    </row>
    <row r="753" spans="8:20" x14ac:dyDescent="0.2">
      <c r="H753" s="15"/>
      <c r="I753" s="110"/>
      <c r="J753" s="15"/>
      <c r="K753" s="110"/>
      <c r="L753" s="15"/>
      <c r="M753" s="110"/>
      <c r="N753" s="15"/>
      <c r="O753" s="110"/>
      <c r="P753" s="15"/>
      <c r="Q753" s="110"/>
      <c r="R753" s="15"/>
      <c r="S753" s="110"/>
      <c r="T753" s="15"/>
    </row>
    <row r="754" spans="8:20" x14ac:dyDescent="0.2">
      <c r="H754" s="15"/>
      <c r="I754" s="110"/>
      <c r="J754" s="15"/>
      <c r="K754" s="110"/>
      <c r="L754" s="15"/>
      <c r="M754" s="110"/>
      <c r="N754" s="15"/>
      <c r="O754" s="110"/>
      <c r="P754" s="15"/>
      <c r="Q754" s="110"/>
      <c r="R754" s="15"/>
      <c r="S754" s="110"/>
      <c r="T754" s="15"/>
    </row>
    <row r="755" spans="8:20" x14ac:dyDescent="0.2">
      <c r="H755" s="15"/>
      <c r="I755" s="110"/>
      <c r="J755" s="15"/>
      <c r="K755" s="110"/>
      <c r="L755" s="15"/>
      <c r="M755" s="110"/>
      <c r="N755" s="15"/>
      <c r="O755" s="110"/>
      <c r="P755" s="15"/>
      <c r="Q755" s="110"/>
      <c r="R755" s="15"/>
      <c r="S755" s="110"/>
      <c r="T755" s="15"/>
    </row>
    <row r="756" spans="8:20" x14ac:dyDescent="0.2">
      <c r="H756" s="15"/>
      <c r="I756" s="110"/>
      <c r="J756" s="15"/>
      <c r="K756" s="110"/>
      <c r="L756" s="15"/>
      <c r="M756" s="110"/>
      <c r="N756" s="15"/>
      <c r="O756" s="110"/>
      <c r="P756" s="15"/>
      <c r="Q756" s="110"/>
      <c r="R756" s="15"/>
      <c r="S756" s="110"/>
      <c r="T756" s="15"/>
    </row>
    <row r="757" spans="8:20" x14ac:dyDescent="0.2">
      <c r="H757" s="15"/>
      <c r="I757" s="110"/>
      <c r="J757" s="15"/>
      <c r="K757" s="110"/>
      <c r="L757" s="15"/>
      <c r="M757" s="110"/>
      <c r="N757" s="15"/>
      <c r="O757" s="110"/>
      <c r="P757" s="15"/>
      <c r="Q757" s="110"/>
      <c r="R757" s="15"/>
      <c r="S757" s="110"/>
      <c r="T757" s="15"/>
    </row>
    <row r="758" spans="8:20" x14ac:dyDescent="0.2">
      <c r="H758" s="15"/>
      <c r="I758" s="110"/>
      <c r="J758" s="15"/>
      <c r="K758" s="110"/>
      <c r="L758" s="15"/>
      <c r="M758" s="110"/>
      <c r="N758" s="15"/>
      <c r="O758" s="110"/>
      <c r="P758" s="15"/>
      <c r="Q758" s="110"/>
      <c r="R758" s="15"/>
      <c r="S758" s="110"/>
      <c r="T758" s="15"/>
    </row>
    <row r="759" spans="8:20" x14ac:dyDescent="0.2">
      <c r="H759" s="15"/>
      <c r="I759" s="110"/>
      <c r="J759" s="15"/>
      <c r="K759" s="110"/>
      <c r="L759" s="15"/>
      <c r="M759" s="110"/>
      <c r="N759" s="15"/>
      <c r="O759" s="110"/>
      <c r="P759" s="15"/>
      <c r="Q759" s="110"/>
      <c r="R759" s="15"/>
      <c r="S759" s="110"/>
      <c r="T759" s="15"/>
    </row>
    <row r="760" spans="8:20" x14ac:dyDescent="0.2">
      <c r="H760" s="15"/>
      <c r="I760" s="110"/>
      <c r="J760" s="15"/>
      <c r="K760" s="110"/>
      <c r="L760" s="15"/>
      <c r="M760" s="110"/>
      <c r="N760" s="15"/>
      <c r="O760" s="110"/>
      <c r="P760" s="15"/>
      <c r="Q760" s="110"/>
      <c r="R760" s="15"/>
      <c r="S760" s="110"/>
      <c r="T760" s="15"/>
    </row>
    <row r="761" spans="8:20" x14ac:dyDescent="0.2">
      <c r="H761" s="15"/>
      <c r="I761" s="110"/>
      <c r="J761" s="15"/>
      <c r="K761" s="110"/>
      <c r="L761" s="15"/>
      <c r="M761" s="110"/>
      <c r="N761" s="15"/>
      <c r="O761" s="110"/>
      <c r="P761" s="15"/>
      <c r="Q761" s="110"/>
      <c r="R761" s="15"/>
      <c r="S761" s="110"/>
      <c r="T761" s="15"/>
    </row>
    <row r="762" spans="8:20" x14ac:dyDescent="0.2">
      <c r="H762" s="15"/>
      <c r="I762" s="110"/>
      <c r="J762" s="15"/>
      <c r="K762" s="110"/>
      <c r="L762" s="15"/>
      <c r="M762" s="110"/>
      <c r="N762" s="15"/>
      <c r="O762" s="110"/>
      <c r="P762" s="15"/>
      <c r="Q762" s="110"/>
      <c r="R762" s="15"/>
      <c r="S762" s="110"/>
      <c r="T762" s="15"/>
    </row>
    <row r="763" spans="8:20" x14ac:dyDescent="0.2">
      <c r="H763" s="15"/>
      <c r="I763" s="110"/>
      <c r="J763" s="15"/>
      <c r="K763" s="110"/>
      <c r="L763" s="15"/>
      <c r="M763" s="110"/>
      <c r="N763" s="15"/>
      <c r="O763" s="110"/>
      <c r="P763" s="15"/>
      <c r="Q763" s="110"/>
      <c r="R763" s="15"/>
      <c r="S763" s="110"/>
      <c r="T763" s="15"/>
    </row>
    <row r="764" spans="8:20" x14ac:dyDescent="0.2">
      <c r="H764" s="15"/>
      <c r="I764" s="110"/>
      <c r="J764" s="15"/>
      <c r="K764" s="110"/>
      <c r="L764" s="15"/>
      <c r="M764" s="110"/>
      <c r="N764" s="15"/>
      <c r="O764" s="110"/>
      <c r="P764" s="15"/>
      <c r="Q764" s="110"/>
      <c r="R764" s="15"/>
      <c r="S764" s="110"/>
      <c r="T764" s="15"/>
    </row>
    <row r="765" spans="8:20" x14ac:dyDescent="0.2">
      <c r="H765" s="15"/>
      <c r="I765" s="110"/>
      <c r="J765" s="15"/>
      <c r="K765" s="110"/>
      <c r="L765" s="15"/>
      <c r="M765" s="110"/>
      <c r="N765" s="15"/>
      <c r="O765" s="110"/>
      <c r="P765" s="15"/>
      <c r="Q765" s="110"/>
      <c r="R765" s="15"/>
      <c r="S765" s="110"/>
      <c r="T765" s="15"/>
    </row>
    <row r="766" spans="8:20" x14ac:dyDescent="0.2">
      <c r="H766" s="15"/>
      <c r="I766" s="110"/>
      <c r="J766" s="15"/>
      <c r="K766" s="110"/>
      <c r="L766" s="15"/>
      <c r="M766" s="110"/>
      <c r="N766" s="15"/>
      <c r="O766" s="110"/>
      <c r="P766" s="15"/>
      <c r="Q766" s="110"/>
      <c r="R766" s="15"/>
      <c r="S766" s="110"/>
      <c r="T766" s="15"/>
    </row>
    <row r="767" spans="8:20" x14ac:dyDescent="0.2">
      <c r="H767" s="15"/>
      <c r="I767" s="110"/>
      <c r="J767" s="15"/>
      <c r="K767" s="110"/>
      <c r="L767" s="15"/>
      <c r="M767" s="110"/>
      <c r="N767" s="15"/>
      <c r="O767" s="110"/>
      <c r="P767" s="15"/>
      <c r="Q767" s="110"/>
      <c r="R767" s="15"/>
      <c r="S767" s="110"/>
      <c r="T767" s="15"/>
    </row>
    <row r="768" spans="8:20" x14ac:dyDescent="0.2">
      <c r="H768" s="15"/>
      <c r="I768" s="110"/>
      <c r="J768" s="15"/>
      <c r="K768" s="110"/>
      <c r="L768" s="15"/>
      <c r="M768" s="110"/>
      <c r="N768" s="15"/>
      <c r="O768" s="110"/>
      <c r="P768" s="15"/>
      <c r="Q768" s="110"/>
      <c r="R768" s="15"/>
      <c r="S768" s="110"/>
      <c r="T768" s="15"/>
    </row>
    <row r="769" spans="8:20" x14ac:dyDescent="0.2">
      <c r="H769" s="15"/>
      <c r="I769" s="110"/>
      <c r="J769" s="15"/>
      <c r="K769" s="110"/>
      <c r="L769" s="15"/>
      <c r="M769" s="110"/>
      <c r="N769" s="15"/>
      <c r="O769" s="110"/>
      <c r="P769" s="15"/>
      <c r="Q769" s="110"/>
      <c r="R769" s="15"/>
      <c r="S769" s="110"/>
      <c r="T769" s="15"/>
    </row>
    <row r="770" spans="8:20" x14ac:dyDescent="0.2">
      <c r="H770" s="15"/>
      <c r="I770" s="110"/>
      <c r="J770" s="15"/>
      <c r="K770" s="110"/>
      <c r="L770" s="15"/>
      <c r="M770" s="110"/>
      <c r="N770" s="15"/>
      <c r="O770" s="110"/>
      <c r="P770" s="15"/>
      <c r="Q770" s="110"/>
      <c r="R770" s="15"/>
      <c r="S770" s="110"/>
      <c r="T770" s="15"/>
    </row>
    <row r="771" spans="8:20" x14ac:dyDescent="0.2">
      <c r="H771" s="15"/>
      <c r="I771" s="110"/>
      <c r="J771" s="15"/>
      <c r="K771" s="110"/>
      <c r="L771" s="15"/>
      <c r="M771" s="110"/>
      <c r="N771" s="15"/>
      <c r="O771" s="110"/>
      <c r="P771" s="15"/>
      <c r="Q771" s="110"/>
      <c r="R771" s="15"/>
      <c r="S771" s="110"/>
      <c r="T771" s="15"/>
    </row>
    <row r="772" spans="8:20" x14ac:dyDescent="0.2">
      <c r="H772" s="15"/>
      <c r="I772" s="110"/>
      <c r="J772" s="15"/>
      <c r="K772" s="110"/>
      <c r="L772" s="15"/>
      <c r="M772" s="110"/>
      <c r="N772" s="15"/>
      <c r="O772" s="110"/>
      <c r="P772" s="15"/>
      <c r="Q772" s="110"/>
      <c r="R772" s="15"/>
      <c r="S772" s="110"/>
      <c r="T772" s="15"/>
    </row>
    <row r="773" spans="8:20" x14ac:dyDescent="0.2">
      <c r="H773" s="15"/>
      <c r="I773" s="110"/>
      <c r="J773" s="15"/>
      <c r="K773" s="110"/>
      <c r="L773" s="15"/>
      <c r="M773" s="110"/>
      <c r="N773" s="15"/>
      <c r="O773" s="110"/>
      <c r="P773" s="15"/>
      <c r="Q773" s="110"/>
      <c r="R773" s="15"/>
      <c r="S773" s="110"/>
      <c r="T773" s="15"/>
    </row>
    <row r="774" spans="8:20" x14ac:dyDescent="0.2">
      <c r="H774" s="15"/>
      <c r="I774" s="110"/>
      <c r="J774" s="15"/>
      <c r="K774" s="110"/>
      <c r="L774" s="15"/>
      <c r="M774" s="110"/>
      <c r="N774" s="15"/>
      <c r="O774" s="110"/>
      <c r="P774" s="15"/>
      <c r="Q774" s="110"/>
      <c r="R774" s="15"/>
      <c r="S774" s="110"/>
      <c r="T774" s="15"/>
    </row>
    <row r="775" spans="8:20" x14ac:dyDescent="0.2">
      <c r="H775" s="15"/>
      <c r="I775" s="110"/>
      <c r="J775" s="15"/>
      <c r="K775" s="110"/>
      <c r="L775" s="15"/>
      <c r="M775" s="110"/>
      <c r="N775" s="15"/>
      <c r="O775" s="110"/>
      <c r="P775" s="15"/>
      <c r="Q775" s="110"/>
      <c r="R775" s="15"/>
      <c r="S775" s="110"/>
      <c r="T775" s="15"/>
    </row>
    <row r="776" spans="8:20" x14ac:dyDescent="0.2">
      <c r="H776" s="15"/>
      <c r="I776" s="110"/>
      <c r="J776" s="15"/>
      <c r="K776" s="110"/>
      <c r="L776" s="15"/>
      <c r="M776" s="110"/>
      <c r="N776" s="15"/>
      <c r="O776" s="110"/>
      <c r="P776" s="15"/>
      <c r="Q776" s="110"/>
      <c r="R776" s="15"/>
      <c r="S776" s="110"/>
      <c r="T776" s="15"/>
    </row>
    <row r="777" spans="8:20" x14ac:dyDescent="0.2">
      <c r="H777" s="15"/>
      <c r="I777" s="110"/>
      <c r="J777" s="15"/>
      <c r="K777" s="110"/>
      <c r="L777" s="15"/>
      <c r="M777" s="110"/>
      <c r="N777" s="15"/>
      <c r="O777" s="110"/>
      <c r="P777" s="15"/>
      <c r="Q777" s="110"/>
      <c r="R777" s="15"/>
      <c r="S777" s="110"/>
      <c r="T777" s="15"/>
    </row>
    <row r="778" spans="8:20" x14ac:dyDescent="0.2">
      <c r="H778" s="15"/>
      <c r="I778" s="110"/>
      <c r="J778" s="15"/>
      <c r="K778" s="110"/>
      <c r="L778" s="15"/>
      <c r="M778" s="110"/>
      <c r="N778" s="15"/>
      <c r="O778" s="110"/>
      <c r="P778" s="15"/>
      <c r="Q778" s="110"/>
      <c r="R778" s="15"/>
      <c r="S778" s="110"/>
      <c r="T778" s="15"/>
    </row>
    <row r="779" spans="8:20" x14ac:dyDescent="0.2">
      <c r="H779" s="15"/>
      <c r="I779" s="110"/>
      <c r="J779" s="15"/>
      <c r="K779" s="110"/>
      <c r="L779" s="15"/>
      <c r="M779" s="110"/>
      <c r="N779" s="15"/>
      <c r="O779" s="110"/>
      <c r="P779" s="15"/>
      <c r="Q779" s="110"/>
      <c r="R779" s="15"/>
      <c r="S779" s="110"/>
      <c r="T779" s="15"/>
    </row>
    <row r="780" spans="8:20" x14ac:dyDescent="0.2">
      <c r="H780" s="15"/>
      <c r="I780" s="110"/>
      <c r="J780" s="15"/>
      <c r="K780" s="110"/>
      <c r="L780" s="15"/>
      <c r="M780" s="110"/>
      <c r="N780" s="15"/>
      <c r="O780" s="110"/>
      <c r="P780" s="15"/>
      <c r="Q780" s="110"/>
      <c r="R780" s="15"/>
      <c r="S780" s="110"/>
      <c r="T780" s="15"/>
    </row>
    <row r="781" spans="8:20" x14ac:dyDescent="0.2">
      <c r="H781" s="15"/>
      <c r="I781" s="110"/>
      <c r="J781" s="15"/>
      <c r="K781" s="110"/>
      <c r="L781" s="15"/>
      <c r="M781" s="110"/>
      <c r="N781" s="15"/>
      <c r="O781" s="110"/>
      <c r="P781" s="15"/>
      <c r="Q781" s="110"/>
      <c r="R781" s="15"/>
      <c r="S781" s="110"/>
      <c r="T781" s="15"/>
    </row>
    <row r="782" spans="8:20" x14ac:dyDescent="0.2">
      <c r="H782" s="15"/>
      <c r="I782" s="110"/>
      <c r="J782" s="15"/>
      <c r="K782" s="110"/>
      <c r="L782" s="15"/>
      <c r="M782" s="110"/>
      <c r="N782" s="15"/>
      <c r="O782" s="110"/>
      <c r="P782" s="15"/>
      <c r="Q782" s="110"/>
      <c r="R782" s="15"/>
      <c r="S782" s="110"/>
      <c r="T782" s="15"/>
    </row>
    <row r="783" spans="8:20" x14ac:dyDescent="0.2">
      <c r="H783" s="15"/>
      <c r="I783" s="110"/>
      <c r="J783" s="15"/>
      <c r="K783" s="110"/>
      <c r="L783" s="15"/>
      <c r="M783" s="110"/>
      <c r="N783" s="15"/>
      <c r="O783" s="110"/>
      <c r="P783" s="15"/>
      <c r="Q783" s="110"/>
      <c r="R783" s="15"/>
      <c r="S783" s="110"/>
      <c r="T783" s="15"/>
    </row>
    <row r="784" spans="8:20" x14ac:dyDescent="0.2">
      <c r="H784" s="15"/>
      <c r="I784" s="110"/>
      <c r="J784" s="15"/>
      <c r="K784" s="110"/>
      <c r="L784" s="15"/>
      <c r="M784" s="110"/>
      <c r="N784" s="15"/>
      <c r="O784" s="110"/>
      <c r="P784" s="15"/>
      <c r="Q784" s="110"/>
      <c r="R784" s="15"/>
      <c r="S784" s="110"/>
      <c r="T784" s="15"/>
    </row>
    <row r="785" spans="8:20" x14ac:dyDescent="0.2">
      <c r="H785" s="15"/>
      <c r="I785" s="110"/>
      <c r="J785" s="15"/>
      <c r="K785" s="110"/>
      <c r="L785" s="15"/>
      <c r="M785" s="110"/>
      <c r="N785" s="15"/>
      <c r="O785" s="110"/>
      <c r="P785" s="15"/>
      <c r="Q785" s="110"/>
      <c r="R785" s="15"/>
      <c r="S785" s="110"/>
      <c r="T785" s="15"/>
    </row>
    <row r="786" spans="8:20" x14ac:dyDescent="0.2">
      <c r="H786" s="15"/>
      <c r="I786" s="110"/>
      <c r="J786" s="15"/>
      <c r="K786" s="110"/>
      <c r="L786" s="15"/>
      <c r="M786" s="110"/>
      <c r="N786" s="15"/>
      <c r="O786" s="110"/>
      <c r="P786" s="15"/>
      <c r="Q786" s="110"/>
      <c r="R786" s="15"/>
      <c r="S786" s="110"/>
      <c r="T786" s="15"/>
    </row>
    <row r="787" spans="8:20" x14ac:dyDescent="0.2">
      <c r="H787" s="15"/>
      <c r="I787" s="110"/>
      <c r="J787" s="15"/>
      <c r="K787" s="110"/>
      <c r="L787" s="15"/>
      <c r="M787" s="110"/>
      <c r="N787" s="15"/>
      <c r="O787" s="110"/>
      <c r="P787" s="15"/>
      <c r="Q787" s="110"/>
      <c r="R787" s="15"/>
      <c r="S787" s="110"/>
      <c r="T787" s="15"/>
    </row>
    <row r="788" spans="8:20" x14ac:dyDescent="0.2">
      <c r="H788" s="15"/>
      <c r="I788" s="110"/>
      <c r="J788" s="15"/>
      <c r="K788" s="110"/>
      <c r="L788" s="15"/>
      <c r="M788" s="110"/>
      <c r="N788" s="15"/>
      <c r="O788" s="110"/>
      <c r="P788" s="15"/>
      <c r="Q788" s="110"/>
      <c r="R788" s="15"/>
      <c r="S788" s="110"/>
      <c r="T788" s="15"/>
    </row>
    <row r="789" spans="8:20" x14ac:dyDescent="0.2">
      <c r="H789" s="15"/>
      <c r="I789" s="110"/>
      <c r="J789" s="15"/>
      <c r="K789" s="110"/>
      <c r="L789" s="15"/>
      <c r="M789" s="110"/>
      <c r="N789" s="15"/>
      <c r="O789" s="110"/>
      <c r="P789" s="15"/>
      <c r="Q789" s="110"/>
      <c r="R789" s="15"/>
      <c r="S789" s="110"/>
      <c r="T789" s="15"/>
    </row>
    <row r="790" spans="8:20" x14ac:dyDescent="0.2">
      <c r="H790" s="15"/>
      <c r="I790" s="110"/>
      <c r="J790" s="15"/>
      <c r="K790" s="110"/>
      <c r="L790" s="15"/>
      <c r="M790" s="110"/>
      <c r="N790" s="15"/>
      <c r="O790" s="110"/>
      <c r="P790" s="15"/>
      <c r="Q790" s="110"/>
      <c r="R790" s="15"/>
      <c r="S790" s="110"/>
      <c r="T790" s="15"/>
    </row>
    <row r="791" spans="8:20" x14ac:dyDescent="0.2">
      <c r="H791" s="15"/>
      <c r="I791" s="110"/>
      <c r="J791" s="15"/>
      <c r="K791" s="110"/>
      <c r="L791" s="15"/>
      <c r="M791" s="110"/>
      <c r="N791" s="15"/>
      <c r="O791" s="110"/>
      <c r="P791" s="15"/>
      <c r="Q791" s="110"/>
      <c r="R791" s="15"/>
      <c r="S791" s="110"/>
      <c r="T791" s="15"/>
    </row>
    <row r="792" spans="8:20" x14ac:dyDescent="0.2">
      <c r="H792" s="15"/>
      <c r="I792" s="110"/>
      <c r="J792" s="15"/>
      <c r="K792" s="110"/>
      <c r="L792" s="15"/>
      <c r="M792" s="110"/>
      <c r="N792" s="15"/>
      <c r="O792" s="110"/>
      <c r="P792" s="15"/>
      <c r="Q792" s="110"/>
      <c r="R792" s="15"/>
      <c r="S792" s="110"/>
      <c r="T792" s="15"/>
    </row>
    <row r="793" spans="8:20" x14ac:dyDescent="0.2">
      <c r="H793" s="15"/>
      <c r="I793" s="110"/>
      <c r="J793" s="15"/>
      <c r="K793" s="110"/>
      <c r="L793" s="15"/>
      <c r="M793" s="110"/>
      <c r="N793" s="15"/>
      <c r="O793" s="110"/>
      <c r="P793" s="15"/>
      <c r="Q793" s="110"/>
      <c r="R793" s="15"/>
      <c r="S793" s="110"/>
      <c r="T793" s="15"/>
    </row>
    <row r="794" spans="8:20" x14ac:dyDescent="0.2">
      <c r="H794" s="15"/>
      <c r="I794" s="110"/>
      <c r="J794" s="15"/>
      <c r="K794" s="110"/>
      <c r="L794" s="15"/>
      <c r="M794" s="110"/>
      <c r="N794" s="15"/>
      <c r="O794" s="110"/>
      <c r="P794" s="15"/>
      <c r="Q794" s="110"/>
      <c r="R794" s="15"/>
      <c r="S794" s="110"/>
      <c r="T794" s="15"/>
    </row>
    <row r="795" spans="8:20" x14ac:dyDescent="0.2">
      <c r="H795" s="15"/>
      <c r="I795" s="110"/>
      <c r="J795" s="15"/>
      <c r="K795" s="110"/>
      <c r="L795" s="15"/>
      <c r="M795" s="110"/>
      <c r="N795" s="15"/>
      <c r="O795" s="110"/>
      <c r="P795" s="15"/>
      <c r="Q795" s="110"/>
      <c r="R795" s="15"/>
      <c r="S795" s="110"/>
      <c r="T795" s="15"/>
    </row>
    <row r="796" spans="8:20" x14ac:dyDescent="0.2">
      <c r="H796" s="15"/>
      <c r="I796" s="110"/>
      <c r="J796" s="15"/>
      <c r="K796" s="110"/>
      <c r="L796" s="15"/>
      <c r="M796" s="110"/>
      <c r="N796" s="15"/>
      <c r="O796" s="110"/>
      <c r="P796" s="15"/>
      <c r="Q796" s="110"/>
      <c r="R796" s="15"/>
      <c r="S796" s="110"/>
      <c r="T796" s="15"/>
    </row>
    <row r="797" spans="8:20" x14ac:dyDescent="0.2">
      <c r="H797" s="15"/>
      <c r="I797" s="110"/>
      <c r="J797" s="15"/>
      <c r="K797" s="110"/>
      <c r="L797" s="15"/>
      <c r="M797" s="110"/>
      <c r="N797" s="15"/>
      <c r="O797" s="110"/>
      <c r="P797" s="15"/>
      <c r="Q797" s="110"/>
      <c r="R797" s="15"/>
      <c r="S797" s="110"/>
      <c r="T797" s="15"/>
    </row>
    <row r="798" spans="8:20" x14ac:dyDescent="0.2">
      <c r="H798" s="15"/>
      <c r="I798" s="110"/>
      <c r="J798" s="15"/>
      <c r="K798" s="110"/>
      <c r="L798" s="15"/>
      <c r="M798" s="110"/>
      <c r="N798" s="15"/>
      <c r="O798" s="110"/>
      <c r="P798" s="15"/>
      <c r="Q798" s="110"/>
      <c r="R798" s="15"/>
      <c r="S798" s="110"/>
      <c r="T798" s="15"/>
    </row>
    <row r="799" spans="8:20" x14ac:dyDescent="0.2">
      <c r="H799" s="15"/>
      <c r="I799" s="110"/>
      <c r="J799" s="15"/>
      <c r="K799" s="110"/>
      <c r="L799" s="15"/>
      <c r="M799" s="110"/>
      <c r="N799" s="15"/>
      <c r="O799" s="110"/>
      <c r="P799" s="15"/>
      <c r="Q799" s="110"/>
      <c r="R799" s="15"/>
      <c r="S799" s="110"/>
      <c r="T799" s="15"/>
    </row>
    <row r="800" spans="8:20" x14ac:dyDescent="0.2">
      <c r="H800" s="15"/>
      <c r="I800" s="110"/>
      <c r="J800" s="15"/>
      <c r="K800" s="110"/>
      <c r="L800" s="15"/>
      <c r="M800" s="110"/>
      <c r="N800" s="15"/>
      <c r="O800" s="110"/>
      <c r="P800" s="15"/>
      <c r="Q800" s="110"/>
      <c r="R800" s="15"/>
      <c r="S800" s="110"/>
      <c r="T800" s="15"/>
    </row>
    <row r="801" spans="8:20" x14ac:dyDescent="0.2">
      <c r="H801" s="15"/>
      <c r="I801" s="110"/>
      <c r="J801" s="15"/>
      <c r="K801" s="110"/>
      <c r="L801" s="15"/>
      <c r="M801" s="110"/>
      <c r="N801" s="15"/>
      <c r="O801" s="110"/>
      <c r="P801" s="15"/>
      <c r="Q801" s="110"/>
      <c r="R801" s="15"/>
      <c r="S801" s="110"/>
      <c r="T801" s="15"/>
    </row>
    <row r="802" spans="8:20" x14ac:dyDescent="0.2">
      <c r="H802" s="15"/>
      <c r="I802" s="110"/>
      <c r="J802" s="15"/>
      <c r="K802" s="110"/>
      <c r="L802" s="15"/>
      <c r="M802" s="110"/>
      <c r="N802" s="15"/>
      <c r="O802" s="110"/>
      <c r="P802" s="15"/>
      <c r="Q802" s="110"/>
      <c r="R802" s="15"/>
      <c r="S802" s="110"/>
      <c r="T802" s="15"/>
    </row>
    <row r="803" spans="8:20" x14ac:dyDescent="0.2">
      <c r="H803" s="15"/>
      <c r="I803" s="110"/>
      <c r="J803" s="15"/>
      <c r="K803" s="110"/>
      <c r="L803" s="15"/>
      <c r="M803" s="110"/>
      <c r="N803" s="15"/>
      <c r="O803" s="110"/>
      <c r="P803" s="15"/>
      <c r="Q803" s="110"/>
      <c r="R803" s="15"/>
      <c r="S803" s="110"/>
      <c r="T803" s="15"/>
    </row>
    <row r="804" spans="8:20" x14ac:dyDescent="0.2">
      <c r="H804" s="15"/>
      <c r="I804" s="110"/>
      <c r="J804" s="15"/>
      <c r="K804" s="110"/>
      <c r="L804" s="15"/>
      <c r="M804" s="110"/>
      <c r="N804" s="15"/>
      <c r="O804" s="110"/>
      <c r="P804" s="15"/>
      <c r="Q804" s="110"/>
      <c r="R804" s="15"/>
      <c r="S804" s="110"/>
      <c r="T804" s="15"/>
    </row>
    <row r="805" spans="8:20" x14ac:dyDescent="0.2">
      <c r="H805" s="15"/>
      <c r="I805" s="110"/>
      <c r="J805" s="15"/>
      <c r="K805" s="110"/>
      <c r="L805" s="15"/>
      <c r="M805" s="110"/>
      <c r="N805" s="15"/>
      <c r="O805" s="110"/>
      <c r="P805" s="15"/>
      <c r="Q805" s="110"/>
      <c r="R805" s="15"/>
      <c r="S805" s="110"/>
      <c r="T805" s="15"/>
    </row>
    <row r="806" spans="8:20" x14ac:dyDescent="0.2">
      <c r="H806" s="15"/>
      <c r="I806" s="110"/>
      <c r="J806" s="15"/>
      <c r="K806" s="110"/>
      <c r="L806" s="15"/>
      <c r="M806" s="110"/>
      <c r="N806" s="15"/>
      <c r="O806" s="110"/>
      <c r="P806" s="15"/>
      <c r="Q806" s="110"/>
      <c r="R806" s="15"/>
      <c r="S806" s="110"/>
      <c r="T806" s="15"/>
    </row>
    <row r="807" spans="8:20" x14ac:dyDescent="0.2">
      <c r="H807" s="15"/>
      <c r="I807" s="110"/>
      <c r="J807" s="15"/>
      <c r="K807" s="110"/>
      <c r="L807" s="15"/>
      <c r="M807" s="110"/>
      <c r="N807" s="15"/>
      <c r="O807" s="110"/>
      <c r="P807" s="15"/>
      <c r="Q807" s="110"/>
      <c r="R807" s="15"/>
      <c r="S807" s="110"/>
      <c r="T807" s="15"/>
    </row>
    <row r="808" spans="8:20" x14ac:dyDescent="0.2">
      <c r="H808" s="15"/>
      <c r="I808" s="110"/>
      <c r="J808" s="15"/>
      <c r="K808" s="110"/>
      <c r="L808" s="15"/>
      <c r="M808" s="110"/>
      <c r="N808" s="15"/>
      <c r="O808" s="110"/>
      <c r="P808" s="15"/>
      <c r="Q808" s="110"/>
      <c r="R808" s="15"/>
      <c r="S808" s="110"/>
      <c r="T808" s="15"/>
    </row>
    <row r="809" spans="8:20" x14ac:dyDescent="0.2">
      <c r="H809" s="15"/>
      <c r="I809" s="110"/>
      <c r="J809" s="15"/>
      <c r="K809" s="110"/>
      <c r="L809" s="15"/>
      <c r="M809" s="110"/>
      <c r="N809" s="15"/>
      <c r="O809" s="110"/>
      <c r="P809" s="15"/>
      <c r="Q809" s="110"/>
      <c r="R809" s="15"/>
      <c r="S809" s="110"/>
      <c r="T809" s="15"/>
    </row>
    <row r="810" spans="8:20" x14ac:dyDescent="0.2">
      <c r="H810" s="15"/>
      <c r="I810" s="110"/>
      <c r="J810" s="15"/>
      <c r="K810" s="110"/>
      <c r="L810" s="15"/>
      <c r="M810" s="110"/>
      <c r="N810" s="15"/>
      <c r="O810" s="110"/>
      <c r="P810" s="15"/>
      <c r="Q810" s="110"/>
      <c r="R810" s="15"/>
      <c r="S810" s="110"/>
      <c r="T810" s="15"/>
    </row>
    <row r="811" spans="8:20" x14ac:dyDescent="0.2">
      <c r="H811" s="15"/>
      <c r="I811" s="110"/>
      <c r="J811" s="15"/>
      <c r="K811" s="110"/>
      <c r="L811" s="15"/>
      <c r="M811" s="110"/>
      <c r="N811" s="15"/>
      <c r="O811" s="110"/>
      <c r="P811" s="15"/>
      <c r="Q811" s="110"/>
      <c r="R811" s="15"/>
      <c r="S811" s="110"/>
      <c r="T811" s="15"/>
    </row>
    <row r="812" spans="8:20" x14ac:dyDescent="0.2">
      <c r="H812" s="15"/>
      <c r="I812" s="110"/>
      <c r="J812" s="15"/>
      <c r="K812" s="110"/>
      <c r="L812" s="15"/>
      <c r="M812" s="110"/>
      <c r="N812" s="15"/>
      <c r="O812" s="110"/>
      <c r="P812" s="15"/>
      <c r="Q812" s="110"/>
      <c r="R812" s="15"/>
      <c r="S812" s="110"/>
      <c r="T812" s="15"/>
    </row>
    <row r="813" spans="8:20" x14ac:dyDescent="0.2">
      <c r="H813" s="15"/>
      <c r="I813" s="110"/>
      <c r="J813" s="15"/>
      <c r="K813" s="110"/>
      <c r="L813" s="15"/>
      <c r="M813" s="110"/>
      <c r="N813" s="15"/>
      <c r="O813" s="110"/>
      <c r="P813" s="15"/>
      <c r="Q813" s="110"/>
      <c r="R813" s="15"/>
      <c r="S813" s="110"/>
      <c r="T813" s="15"/>
    </row>
    <row r="814" spans="8:20" x14ac:dyDescent="0.2">
      <c r="H814" s="15"/>
      <c r="I814" s="110"/>
      <c r="J814" s="15"/>
      <c r="K814" s="110"/>
      <c r="L814" s="15"/>
      <c r="M814" s="110"/>
      <c r="N814" s="15"/>
      <c r="O814" s="110"/>
      <c r="P814" s="15"/>
      <c r="Q814" s="110"/>
      <c r="R814" s="15"/>
      <c r="S814" s="110"/>
      <c r="T814" s="15"/>
    </row>
    <row r="815" spans="8:20" x14ac:dyDescent="0.2">
      <c r="H815" s="15"/>
      <c r="I815" s="110"/>
      <c r="J815" s="15"/>
      <c r="K815" s="110"/>
      <c r="L815" s="15"/>
      <c r="M815" s="110"/>
      <c r="N815" s="15"/>
      <c r="O815" s="110"/>
      <c r="P815" s="15"/>
      <c r="Q815" s="110"/>
      <c r="R815" s="15"/>
      <c r="S815" s="110"/>
      <c r="T815" s="15"/>
    </row>
    <row r="816" spans="8:20" x14ac:dyDescent="0.2">
      <c r="H816" s="15"/>
      <c r="I816" s="110"/>
      <c r="J816" s="15"/>
      <c r="K816" s="110"/>
      <c r="L816" s="15"/>
      <c r="M816" s="110"/>
      <c r="N816" s="15"/>
      <c r="O816" s="110"/>
      <c r="P816" s="15"/>
      <c r="Q816" s="110"/>
      <c r="R816" s="15"/>
      <c r="S816" s="110"/>
      <c r="T816" s="15"/>
    </row>
    <row r="817" spans="8:20" x14ac:dyDescent="0.2">
      <c r="H817" s="15"/>
      <c r="I817" s="110"/>
      <c r="J817" s="15"/>
      <c r="K817" s="110"/>
      <c r="L817" s="15"/>
      <c r="M817" s="110"/>
      <c r="N817" s="15"/>
      <c r="O817" s="110"/>
      <c r="P817" s="15"/>
      <c r="Q817" s="110"/>
      <c r="R817" s="15"/>
      <c r="S817" s="110"/>
      <c r="T817" s="15"/>
    </row>
    <row r="818" spans="8:20" x14ac:dyDescent="0.2">
      <c r="H818" s="15"/>
      <c r="I818" s="110"/>
      <c r="J818" s="15"/>
      <c r="K818" s="110"/>
      <c r="L818" s="15"/>
      <c r="M818" s="110"/>
      <c r="N818" s="15"/>
      <c r="O818" s="110"/>
      <c r="P818" s="15"/>
      <c r="Q818" s="110"/>
      <c r="R818" s="15"/>
      <c r="S818" s="110"/>
      <c r="T818" s="15"/>
    </row>
    <row r="819" spans="8:20" x14ac:dyDescent="0.2">
      <c r="H819" s="15"/>
      <c r="I819" s="110"/>
      <c r="J819" s="15"/>
      <c r="K819" s="110"/>
      <c r="L819" s="15"/>
      <c r="M819" s="110"/>
      <c r="N819" s="15"/>
      <c r="O819" s="110"/>
      <c r="P819" s="15"/>
      <c r="Q819" s="110"/>
      <c r="R819" s="15"/>
      <c r="S819" s="110"/>
      <c r="T819" s="15"/>
    </row>
    <row r="820" spans="8:20" x14ac:dyDescent="0.2">
      <c r="H820" s="15"/>
      <c r="I820" s="110"/>
      <c r="J820" s="15"/>
      <c r="K820" s="110"/>
      <c r="L820" s="15"/>
      <c r="M820" s="110"/>
      <c r="N820" s="15"/>
      <c r="O820" s="110"/>
      <c r="P820" s="15"/>
      <c r="Q820" s="110"/>
      <c r="R820" s="15"/>
      <c r="S820" s="110"/>
      <c r="T820" s="15"/>
    </row>
    <row r="821" spans="8:20" x14ac:dyDescent="0.2">
      <c r="H821" s="15"/>
      <c r="I821" s="110"/>
      <c r="J821" s="15"/>
      <c r="K821" s="110"/>
      <c r="L821" s="15"/>
      <c r="M821" s="110"/>
      <c r="N821" s="15"/>
      <c r="O821" s="110"/>
      <c r="P821" s="15"/>
      <c r="Q821" s="110"/>
      <c r="R821" s="15"/>
      <c r="S821" s="110"/>
      <c r="T821" s="15"/>
    </row>
    <row r="822" spans="8:20" x14ac:dyDescent="0.2">
      <c r="H822" s="15"/>
      <c r="I822" s="110"/>
      <c r="J822" s="15"/>
      <c r="K822" s="110"/>
      <c r="L822" s="15"/>
      <c r="M822" s="110"/>
      <c r="N822" s="15"/>
      <c r="O822" s="110"/>
      <c r="P822" s="15"/>
      <c r="Q822" s="110"/>
      <c r="R822" s="15"/>
      <c r="S822" s="110"/>
      <c r="T822" s="15"/>
    </row>
    <row r="823" spans="8:20" x14ac:dyDescent="0.2">
      <c r="H823" s="15"/>
      <c r="I823" s="110"/>
      <c r="J823" s="15"/>
      <c r="K823" s="110"/>
      <c r="L823" s="15"/>
      <c r="M823" s="110"/>
      <c r="N823" s="15"/>
      <c r="O823" s="110"/>
      <c r="P823" s="15"/>
      <c r="Q823" s="110"/>
      <c r="R823" s="15"/>
      <c r="S823" s="110"/>
      <c r="T823" s="15"/>
    </row>
    <row r="824" spans="8:20" x14ac:dyDescent="0.2">
      <c r="H824" s="15"/>
      <c r="I824" s="110"/>
      <c r="J824" s="15"/>
      <c r="K824" s="110"/>
      <c r="L824" s="15"/>
      <c r="M824" s="110"/>
      <c r="N824" s="15"/>
      <c r="O824" s="110"/>
      <c r="P824" s="15"/>
      <c r="Q824" s="110"/>
      <c r="R824" s="15"/>
      <c r="S824" s="110"/>
      <c r="T824" s="15"/>
    </row>
    <row r="825" spans="8:20" x14ac:dyDescent="0.2">
      <c r="H825" s="15"/>
      <c r="I825" s="110"/>
      <c r="J825" s="15"/>
      <c r="K825" s="110"/>
      <c r="L825" s="15"/>
      <c r="M825" s="110"/>
      <c r="N825" s="15"/>
      <c r="O825" s="110"/>
      <c r="P825" s="15"/>
      <c r="Q825" s="110"/>
      <c r="R825" s="15"/>
      <c r="S825" s="110"/>
      <c r="T825" s="15"/>
    </row>
    <row r="826" spans="8:20" x14ac:dyDescent="0.2">
      <c r="H826" s="15"/>
      <c r="I826" s="110"/>
      <c r="J826" s="15"/>
      <c r="K826" s="110"/>
      <c r="L826" s="15"/>
      <c r="M826" s="110"/>
      <c r="N826" s="15"/>
      <c r="O826" s="110"/>
      <c r="P826" s="15"/>
      <c r="Q826" s="110"/>
      <c r="R826" s="15"/>
      <c r="S826" s="110"/>
      <c r="T826" s="15"/>
    </row>
    <row r="827" spans="8:20" x14ac:dyDescent="0.2">
      <c r="H827" s="15"/>
      <c r="I827" s="110"/>
      <c r="J827" s="15"/>
      <c r="K827" s="110"/>
      <c r="L827" s="15"/>
      <c r="M827" s="110"/>
      <c r="N827" s="15"/>
      <c r="O827" s="110"/>
      <c r="P827" s="15"/>
      <c r="Q827" s="110"/>
      <c r="R827" s="15"/>
      <c r="S827" s="110"/>
      <c r="T827" s="15"/>
    </row>
    <row r="828" spans="8:20" x14ac:dyDescent="0.2">
      <c r="H828" s="15"/>
      <c r="I828" s="110"/>
      <c r="J828" s="15"/>
      <c r="K828" s="110"/>
      <c r="L828" s="15"/>
      <c r="M828" s="110"/>
      <c r="N828" s="15"/>
      <c r="O828" s="110"/>
      <c r="P828" s="15"/>
      <c r="Q828" s="110"/>
      <c r="R828" s="15"/>
      <c r="S828" s="110"/>
      <c r="T828" s="15"/>
    </row>
    <row r="829" spans="8:20" x14ac:dyDescent="0.2">
      <c r="H829" s="15"/>
      <c r="I829" s="110"/>
      <c r="J829" s="15"/>
      <c r="K829" s="110"/>
      <c r="L829" s="15"/>
      <c r="M829" s="110"/>
      <c r="N829" s="15"/>
      <c r="O829" s="110"/>
      <c r="P829" s="15"/>
      <c r="Q829" s="110"/>
      <c r="R829" s="15"/>
      <c r="S829" s="110"/>
      <c r="T829" s="15"/>
    </row>
    <row r="830" spans="8:20" x14ac:dyDescent="0.2">
      <c r="H830" s="15"/>
      <c r="I830" s="110"/>
      <c r="J830" s="15"/>
      <c r="K830" s="110"/>
      <c r="L830" s="15"/>
      <c r="M830" s="110"/>
      <c r="N830" s="15"/>
      <c r="O830" s="110"/>
      <c r="P830" s="15"/>
      <c r="Q830" s="110"/>
      <c r="R830" s="15"/>
      <c r="S830" s="110"/>
      <c r="T830" s="15"/>
    </row>
    <row r="831" spans="8:20" x14ac:dyDescent="0.2">
      <c r="H831" s="15"/>
      <c r="I831" s="110"/>
      <c r="J831" s="15"/>
      <c r="K831" s="110"/>
      <c r="L831" s="15"/>
      <c r="M831" s="110"/>
      <c r="N831" s="15"/>
      <c r="O831" s="110"/>
      <c r="P831" s="15"/>
      <c r="Q831" s="110"/>
      <c r="R831" s="15"/>
      <c r="S831" s="110"/>
      <c r="T831" s="15"/>
    </row>
    <row r="832" spans="8:20" x14ac:dyDescent="0.2">
      <c r="H832" s="15"/>
      <c r="I832" s="110"/>
      <c r="J832" s="15"/>
      <c r="K832" s="110"/>
      <c r="L832" s="15"/>
      <c r="M832" s="110"/>
      <c r="N832" s="15"/>
      <c r="O832" s="110"/>
      <c r="P832" s="15"/>
      <c r="Q832" s="110"/>
      <c r="R832" s="15"/>
      <c r="S832" s="110"/>
      <c r="T832" s="15"/>
    </row>
    <row r="833" spans="8:20" x14ac:dyDescent="0.2">
      <c r="H833" s="15"/>
      <c r="I833" s="110"/>
      <c r="J833" s="15"/>
      <c r="K833" s="110"/>
      <c r="L833" s="15"/>
      <c r="M833" s="110"/>
      <c r="N833" s="15"/>
      <c r="O833" s="110"/>
      <c r="P833" s="15"/>
      <c r="Q833" s="110"/>
      <c r="R833" s="15"/>
      <c r="S833" s="110"/>
      <c r="T833" s="15"/>
    </row>
    <row r="834" spans="8:20" x14ac:dyDescent="0.2">
      <c r="H834" s="15"/>
      <c r="I834" s="110"/>
      <c r="J834" s="15"/>
      <c r="K834" s="110"/>
      <c r="L834" s="15"/>
      <c r="M834" s="110"/>
      <c r="N834" s="15"/>
      <c r="O834" s="110"/>
      <c r="P834" s="15"/>
      <c r="Q834" s="110"/>
      <c r="R834" s="15"/>
      <c r="S834" s="110"/>
      <c r="T834" s="15"/>
    </row>
    <row r="835" spans="8:20" x14ac:dyDescent="0.2">
      <c r="H835" s="15"/>
      <c r="I835" s="110"/>
      <c r="J835" s="15"/>
      <c r="K835" s="110"/>
      <c r="L835" s="15"/>
      <c r="M835" s="110"/>
      <c r="N835" s="15"/>
      <c r="O835" s="110"/>
      <c r="P835" s="15"/>
      <c r="Q835" s="110"/>
      <c r="R835" s="15"/>
      <c r="S835" s="110"/>
      <c r="T835" s="15"/>
    </row>
    <row r="836" spans="8:20" x14ac:dyDescent="0.2">
      <c r="H836" s="15"/>
      <c r="I836" s="110"/>
      <c r="J836" s="15"/>
      <c r="K836" s="110"/>
      <c r="L836" s="15"/>
      <c r="M836" s="110"/>
      <c r="N836" s="15"/>
      <c r="O836" s="110"/>
      <c r="P836" s="15"/>
      <c r="Q836" s="110"/>
      <c r="R836" s="15"/>
      <c r="S836" s="110"/>
      <c r="T836" s="15"/>
    </row>
    <row r="837" spans="8:20" x14ac:dyDescent="0.2">
      <c r="H837" s="15"/>
      <c r="I837" s="110"/>
      <c r="J837" s="15"/>
      <c r="K837" s="110"/>
      <c r="L837" s="15"/>
      <c r="M837" s="110"/>
      <c r="N837" s="15"/>
      <c r="O837" s="110"/>
      <c r="P837" s="15"/>
      <c r="Q837" s="110"/>
      <c r="R837" s="15"/>
      <c r="S837" s="110"/>
      <c r="T837" s="15"/>
    </row>
    <row r="838" spans="8:20" x14ac:dyDescent="0.2">
      <c r="H838" s="15"/>
      <c r="I838" s="110"/>
      <c r="J838" s="15"/>
      <c r="K838" s="110"/>
      <c r="L838" s="15"/>
      <c r="M838" s="110"/>
      <c r="N838" s="15"/>
      <c r="O838" s="110"/>
      <c r="P838" s="15"/>
      <c r="Q838" s="110"/>
      <c r="R838" s="15"/>
      <c r="S838" s="110"/>
      <c r="T838" s="15"/>
    </row>
    <row r="839" spans="8:20" x14ac:dyDescent="0.2">
      <c r="H839" s="15"/>
      <c r="I839" s="110"/>
      <c r="J839" s="15"/>
      <c r="K839" s="110"/>
      <c r="L839" s="15"/>
      <c r="M839" s="110"/>
      <c r="N839" s="15"/>
      <c r="O839" s="110"/>
      <c r="P839" s="15"/>
      <c r="Q839" s="110"/>
      <c r="R839" s="15"/>
      <c r="S839" s="110"/>
      <c r="T839" s="15"/>
    </row>
    <row r="840" spans="8:20" x14ac:dyDescent="0.2">
      <c r="H840" s="15"/>
      <c r="I840" s="110"/>
      <c r="J840" s="15"/>
      <c r="K840" s="110"/>
      <c r="L840" s="15"/>
      <c r="M840" s="110"/>
      <c r="N840" s="15"/>
      <c r="O840" s="110"/>
      <c r="P840" s="15"/>
      <c r="Q840" s="110"/>
      <c r="R840" s="15"/>
      <c r="S840" s="110"/>
      <c r="T840" s="15"/>
    </row>
    <row r="841" spans="8:20" x14ac:dyDescent="0.2">
      <c r="H841" s="15"/>
      <c r="I841" s="110"/>
      <c r="J841" s="15"/>
      <c r="K841" s="110"/>
      <c r="L841" s="15"/>
      <c r="M841" s="110"/>
      <c r="N841" s="15"/>
      <c r="O841" s="110"/>
      <c r="P841" s="15"/>
      <c r="Q841" s="110"/>
      <c r="R841" s="15"/>
      <c r="S841" s="110"/>
      <c r="T841" s="15"/>
    </row>
    <row r="842" spans="8:20" x14ac:dyDescent="0.2">
      <c r="H842" s="15"/>
      <c r="I842" s="110"/>
      <c r="J842" s="15"/>
      <c r="K842" s="110"/>
      <c r="L842" s="15"/>
      <c r="M842" s="110"/>
      <c r="N842" s="15"/>
      <c r="O842" s="110"/>
      <c r="P842" s="15"/>
      <c r="Q842" s="110"/>
      <c r="R842" s="15"/>
      <c r="S842" s="110"/>
      <c r="T842" s="15"/>
    </row>
    <row r="843" spans="8:20" x14ac:dyDescent="0.2">
      <c r="H843" s="15"/>
      <c r="I843" s="110"/>
      <c r="J843" s="15"/>
      <c r="K843" s="110"/>
      <c r="L843" s="15"/>
      <c r="M843" s="110"/>
      <c r="N843" s="15"/>
      <c r="O843" s="110"/>
      <c r="P843" s="15"/>
      <c r="Q843" s="110"/>
      <c r="R843" s="15"/>
      <c r="S843" s="110"/>
      <c r="T843" s="15"/>
    </row>
    <row r="844" spans="8:20" x14ac:dyDescent="0.2">
      <c r="H844" s="15"/>
      <c r="I844" s="110"/>
      <c r="J844" s="15"/>
      <c r="K844" s="110"/>
      <c r="L844" s="15"/>
      <c r="M844" s="110"/>
      <c r="N844" s="15"/>
      <c r="O844" s="110"/>
      <c r="P844" s="15"/>
      <c r="Q844" s="110"/>
      <c r="R844" s="15"/>
      <c r="S844" s="110"/>
      <c r="T844" s="15"/>
    </row>
    <row r="845" spans="8:20" x14ac:dyDescent="0.2">
      <c r="H845" s="15"/>
      <c r="I845" s="110"/>
      <c r="J845" s="15"/>
      <c r="K845" s="110"/>
      <c r="L845" s="15"/>
      <c r="M845" s="110"/>
      <c r="N845" s="15"/>
      <c r="O845" s="110"/>
      <c r="P845" s="15"/>
      <c r="Q845" s="110"/>
      <c r="R845" s="15"/>
      <c r="S845" s="110"/>
      <c r="T845" s="15"/>
    </row>
    <row r="846" spans="8:20" x14ac:dyDescent="0.2">
      <c r="H846" s="15"/>
      <c r="I846" s="110"/>
      <c r="J846" s="15"/>
      <c r="K846" s="110"/>
      <c r="L846" s="15"/>
      <c r="M846" s="110"/>
      <c r="N846" s="15"/>
      <c r="O846" s="110"/>
      <c r="P846" s="15"/>
      <c r="Q846" s="110"/>
      <c r="R846" s="15"/>
      <c r="S846" s="110"/>
      <c r="T846" s="15"/>
    </row>
    <row r="847" spans="8:20" x14ac:dyDescent="0.2">
      <c r="H847" s="15"/>
      <c r="I847" s="110"/>
      <c r="J847" s="15"/>
      <c r="K847" s="110"/>
      <c r="L847" s="15"/>
      <c r="M847" s="110"/>
      <c r="N847" s="15"/>
      <c r="O847" s="110"/>
      <c r="P847" s="15"/>
      <c r="Q847" s="110"/>
      <c r="R847" s="15"/>
      <c r="S847" s="110"/>
      <c r="T847" s="15"/>
    </row>
    <row r="848" spans="8:20" x14ac:dyDescent="0.2">
      <c r="H848" s="15"/>
      <c r="I848" s="110"/>
      <c r="J848" s="15"/>
      <c r="K848" s="110"/>
      <c r="L848" s="15"/>
      <c r="M848" s="110"/>
      <c r="N848" s="15"/>
      <c r="O848" s="110"/>
      <c r="P848" s="15"/>
      <c r="Q848" s="110"/>
      <c r="R848" s="15"/>
      <c r="S848" s="110"/>
      <c r="T848" s="15"/>
    </row>
    <row r="849" spans="8:20" x14ac:dyDescent="0.2">
      <c r="H849" s="15"/>
      <c r="I849" s="110"/>
      <c r="J849" s="15"/>
      <c r="K849" s="110"/>
      <c r="L849" s="15"/>
      <c r="M849" s="110"/>
      <c r="N849" s="15"/>
      <c r="O849" s="110"/>
      <c r="P849" s="15"/>
      <c r="Q849" s="110"/>
      <c r="R849" s="15"/>
      <c r="S849" s="110"/>
      <c r="T849" s="15"/>
    </row>
    <row r="850" spans="8:20" x14ac:dyDescent="0.2">
      <c r="H850" s="15"/>
      <c r="I850" s="110"/>
      <c r="J850" s="15"/>
      <c r="K850" s="110"/>
      <c r="L850" s="15"/>
      <c r="M850" s="110"/>
      <c r="N850" s="15"/>
      <c r="O850" s="110"/>
      <c r="P850" s="15"/>
      <c r="Q850" s="110"/>
      <c r="R850" s="15"/>
      <c r="S850" s="110"/>
      <c r="T850" s="15"/>
    </row>
    <row r="851" spans="8:20" x14ac:dyDescent="0.2">
      <c r="H851" s="15"/>
      <c r="I851" s="110"/>
      <c r="J851" s="15"/>
      <c r="K851" s="110"/>
      <c r="L851" s="15"/>
      <c r="M851" s="110"/>
      <c r="N851" s="15"/>
      <c r="O851" s="110"/>
      <c r="P851" s="15"/>
      <c r="Q851" s="110"/>
      <c r="R851" s="15"/>
      <c r="S851" s="110"/>
      <c r="T851" s="15"/>
    </row>
    <row r="852" spans="8:20" x14ac:dyDescent="0.2">
      <c r="H852" s="15"/>
      <c r="I852" s="110"/>
      <c r="J852" s="15"/>
      <c r="K852" s="110"/>
      <c r="L852" s="15"/>
      <c r="M852" s="110"/>
      <c r="N852" s="15"/>
      <c r="O852" s="110"/>
      <c r="P852" s="15"/>
      <c r="Q852" s="110"/>
      <c r="R852" s="15"/>
      <c r="S852" s="110"/>
      <c r="T852" s="15"/>
    </row>
    <row r="853" spans="8:20" x14ac:dyDescent="0.2">
      <c r="H853" s="15"/>
      <c r="I853" s="110"/>
      <c r="J853" s="15"/>
      <c r="K853" s="110"/>
      <c r="L853" s="15"/>
      <c r="M853" s="110"/>
      <c r="N853" s="15"/>
      <c r="O853" s="110"/>
      <c r="P853" s="15"/>
      <c r="Q853" s="110"/>
      <c r="R853" s="15"/>
      <c r="S853" s="110"/>
      <c r="T853" s="15"/>
    </row>
    <row r="854" spans="8:20" x14ac:dyDescent="0.2">
      <c r="H854" s="15"/>
      <c r="I854" s="110"/>
      <c r="J854" s="15"/>
      <c r="K854" s="110"/>
      <c r="L854" s="15"/>
      <c r="M854" s="110"/>
      <c r="N854" s="15"/>
      <c r="O854" s="110"/>
      <c r="P854" s="15"/>
      <c r="Q854" s="110"/>
      <c r="R854" s="15"/>
      <c r="S854" s="110"/>
      <c r="T854" s="15"/>
    </row>
    <row r="855" spans="8:20" x14ac:dyDescent="0.2">
      <c r="H855" s="15"/>
      <c r="I855" s="110"/>
      <c r="J855" s="15"/>
      <c r="K855" s="110"/>
      <c r="L855" s="15"/>
      <c r="M855" s="110"/>
      <c r="N855" s="15"/>
      <c r="O855" s="110"/>
      <c r="P855" s="15"/>
      <c r="Q855" s="110"/>
      <c r="R855" s="15"/>
      <c r="S855" s="110"/>
      <c r="T855" s="15"/>
    </row>
    <row r="856" spans="8:20" x14ac:dyDescent="0.2">
      <c r="H856" s="15"/>
      <c r="I856" s="110"/>
      <c r="J856" s="15"/>
      <c r="K856" s="110"/>
      <c r="L856" s="15"/>
      <c r="M856" s="110"/>
      <c r="N856" s="15"/>
      <c r="O856" s="110"/>
      <c r="P856" s="15"/>
      <c r="Q856" s="110"/>
      <c r="R856" s="15"/>
      <c r="S856" s="110"/>
      <c r="T856" s="15"/>
    </row>
    <row r="857" spans="8:20" x14ac:dyDescent="0.2">
      <c r="H857" s="15"/>
      <c r="I857" s="110"/>
      <c r="J857" s="15"/>
      <c r="K857" s="110"/>
      <c r="L857" s="15"/>
      <c r="M857" s="110"/>
      <c r="N857" s="15"/>
      <c r="O857" s="110"/>
      <c r="P857" s="15"/>
      <c r="Q857" s="110"/>
      <c r="R857" s="15"/>
      <c r="S857" s="110"/>
      <c r="T857" s="15"/>
    </row>
    <row r="858" spans="8:20" x14ac:dyDescent="0.2">
      <c r="H858" s="15"/>
      <c r="I858" s="110"/>
      <c r="J858" s="15"/>
      <c r="K858" s="110"/>
      <c r="L858" s="15"/>
      <c r="M858" s="110"/>
      <c r="N858" s="15"/>
      <c r="O858" s="110"/>
      <c r="P858" s="15"/>
      <c r="Q858" s="110"/>
      <c r="R858" s="15"/>
      <c r="S858" s="110"/>
      <c r="T858" s="15"/>
    </row>
    <row r="859" spans="8:20" x14ac:dyDescent="0.2">
      <c r="H859" s="15"/>
      <c r="I859" s="110"/>
      <c r="J859" s="15"/>
      <c r="K859" s="110"/>
      <c r="L859" s="15"/>
      <c r="M859" s="110"/>
      <c r="N859" s="15"/>
      <c r="O859" s="110"/>
      <c r="P859" s="15"/>
      <c r="Q859" s="110"/>
      <c r="R859" s="15"/>
      <c r="S859" s="110"/>
      <c r="T859" s="15"/>
    </row>
    <row r="860" spans="8:20" x14ac:dyDescent="0.2">
      <c r="H860" s="15"/>
      <c r="I860" s="110"/>
      <c r="J860" s="15"/>
      <c r="K860" s="110"/>
      <c r="L860" s="15"/>
      <c r="M860" s="110"/>
      <c r="N860" s="15"/>
      <c r="O860" s="110"/>
      <c r="P860" s="15"/>
      <c r="Q860" s="110"/>
      <c r="R860" s="15"/>
      <c r="S860" s="110"/>
      <c r="T860" s="15"/>
    </row>
    <row r="861" spans="8:20" x14ac:dyDescent="0.2">
      <c r="H861" s="15"/>
      <c r="I861" s="110"/>
      <c r="J861" s="15"/>
      <c r="K861" s="110"/>
      <c r="L861" s="15"/>
      <c r="M861" s="110"/>
      <c r="N861" s="15"/>
      <c r="O861" s="110"/>
      <c r="P861" s="15"/>
      <c r="Q861" s="110"/>
      <c r="R861" s="15"/>
      <c r="S861" s="110"/>
      <c r="T861" s="15"/>
    </row>
    <row r="862" spans="8:20" x14ac:dyDescent="0.2">
      <c r="H862" s="15"/>
      <c r="I862" s="110"/>
      <c r="J862" s="15"/>
      <c r="K862" s="110"/>
      <c r="L862" s="15"/>
      <c r="M862" s="110"/>
      <c r="N862" s="15"/>
      <c r="O862" s="110"/>
      <c r="P862" s="15"/>
      <c r="Q862" s="110"/>
      <c r="R862" s="15"/>
      <c r="S862" s="110"/>
      <c r="T862" s="15"/>
    </row>
    <row r="863" spans="8:20" x14ac:dyDescent="0.2">
      <c r="H863" s="15"/>
      <c r="I863" s="110"/>
      <c r="J863" s="15"/>
      <c r="K863" s="110"/>
      <c r="L863" s="15"/>
      <c r="M863" s="110"/>
      <c r="N863" s="15"/>
      <c r="O863" s="110"/>
      <c r="P863" s="15"/>
      <c r="Q863" s="110"/>
      <c r="R863" s="15"/>
      <c r="S863" s="110"/>
      <c r="T863" s="15"/>
    </row>
    <row r="864" spans="8:20" x14ac:dyDescent="0.2">
      <c r="H864" s="15"/>
      <c r="I864" s="110"/>
      <c r="J864" s="15"/>
      <c r="K864" s="110"/>
      <c r="L864" s="15"/>
      <c r="M864" s="110"/>
      <c r="N864" s="15"/>
      <c r="O864" s="110"/>
      <c r="P864" s="15"/>
      <c r="Q864" s="110"/>
      <c r="R864" s="15"/>
      <c r="S864" s="110"/>
      <c r="T864" s="15"/>
    </row>
    <row r="865" spans="8:20" x14ac:dyDescent="0.2">
      <c r="H865" s="15"/>
      <c r="I865" s="110"/>
      <c r="J865" s="15"/>
      <c r="K865" s="110"/>
      <c r="L865" s="15"/>
      <c r="M865" s="110"/>
      <c r="N865" s="15"/>
      <c r="O865" s="110"/>
      <c r="P865" s="15"/>
      <c r="Q865" s="110"/>
      <c r="R865" s="15"/>
      <c r="S865" s="110"/>
      <c r="T865" s="15"/>
    </row>
    <row r="866" spans="8:20" x14ac:dyDescent="0.2">
      <c r="H866" s="15"/>
      <c r="I866" s="110"/>
      <c r="J866" s="15"/>
      <c r="K866" s="110"/>
      <c r="L866" s="15"/>
      <c r="M866" s="110"/>
      <c r="N866" s="15"/>
      <c r="O866" s="110"/>
      <c r="P866" s="15"/>
      <c r="Q866" s="110"/>
      <c r="R866" s="15"/>
      <c r="S866" s="110"/>
      <c r="T866" s="15"/>
    </row>
    <row r="867" spans="8:20" x14ac:dyDescent="0.2">
      <c r="H867" s="15"/>
      <c r="I867" s="110"/>
      <c r="J867" s="15"/>
      <c r="K867" s="110"/>
      <c r="L867" s="15"/>
      <c r="M867" s="110"/>
      <c r="N867" s="15"/>
      <c r="O867" s="110"/>
      <c r="P867" s="15"/>
      <c r="Q867" s="110"/>
      <c r="R867" s="15"/>
      <c r="S867" s="110"/>
      <c r="T867" s="15"/>
    </row>
    <row r="868" spans="8:20" x14ac:dyDescent="0.2">
      <c r="H868" s="15"/>
      <c r="I868" s="110"/>
      <c r="J868" s="15"/>
      <c r="K868" s="110"/>
      <c r="L868" s="15"/>
      <c r="M868" s="110"/>
      <c r="N868" s="15"/>
      <c r="O868" s="110"/>
      <c r="P868" s="15"/>
      <c r="Q868" s="110"/>
      <c r="R868" s="15"/>
      <c r="S868" s="110"/>
      <c r="T868" s="15"/>
    </row>
    <row r="869" spans="8:20" x14ac:dyDescent="0.2">
      <c r="H869" s="15"/>
      <c r="I869" s="110"/>
      <c r="J869" s="15"/>
      <c r="K869" s="110"/>
      <c r="L869" s="15"/>
      <c r="M869" s="110"/>
      <c r="N869" s="15"/>
      <c r="O869" s="110"/>
      <c r="P869" s="15"/>
      <c r="Q869" s="110"/>
      <c r="R869" s="15"/>
      <c r="S869" s="110"/>
      <c r="T869" s="15"/>
    </row>
    <row r="870" spans="8:20" x14ac:dyDescent="0.2">
      <c r="H870" s="15"/>
      <c r="I870" s="110"/>
      <c r="J870" s="15"/>
      <c r="K870" s="110"/>
      <c r="L870" s="15"/>
      <c r="M870" s="110"/>
      <c r="N870" s="15"/>
      <c r="O870" s="110"/>
      <c r="P870" s="15"/>
      <c r="Q870" s="110"/>
      <c r="R870" s="15"/>
      <c r="S870" s="110"/>
      <c r="T870" s="15"/>
    </row>
    <row r="871" spans="8:20" x14ac:dyDescent="0.2">
      <c r="H871" s="15"/>
      <c r="I871" s="110"/>
      <c r="J871" s="15"/>
      <c r="K871" s="110"/>
      <c r="L871" s="15"/>
      <c r="M871" s="110"/>
      <c r="N871" s="15"/>
      <c r="O871" s="110"/>
      <c r="P871" s="15"/>
      <c r="Q871" s="110"/>
      <c r="R871" s="15"/>
      <c r="S871" s="110"/>
      <c r="T871" s="15"/>
    </row>
    <row r="872" spans="8:20" x14ac:dyDescent="0.2">
      <c r="H872" s="15"/>
      <c r="I872" s="110"/>
      <c r="J872" s="15"/>
      <c r="K872" s="110"/>
      <c r="L872" s="15"/>
      <c r="M872" s="110"/>
      <c r="N872" s="15"/>
      <c r="O872" s="110"/>
      <c r="P872" s="15"/>
      <c r="Q872" s="110"/>
      <c r="R872" s="15"/>
      <c r="S872" s="110"/>
      <c r="T872" s="15"/>
    </row>
    <row r="873" spans="8:20" x14ac:dyDescent="0.2">
      <c r="H873" s="15"/>
      <c r="I873" s="110"/>
      <c r="J873" s="15"/>
      <c r="K873" s="110"/>
      <c r="L873" s="15"/>
      <c r="M873" s="110"/>
      <c r="N873" s="15"/>
      <c r="O873" s="110"/>
      <c r="P873" s="15"/>
      <c r="Q873" s="110"/>
      <c r="R873" s="15"/>
      <c r="S873" s="110"/>
      <c r="T873" s="15"/>
    </row>
    <row r="874" spans="8:20" x14ac:dyDescent="0.2">
      <c r="H874" s="15"/>
      <c r="I874" s="110"/>
      <c r="J874" s="15"/>
      <c r="K874" s="110"/>
      <c r="L874" s="15"/>
      <c r="M874" s="110"/>
      <c r="N874" s="15"/>
      <c r="O874" s="110"/>
      <c r="P874" s="15"/>
      <c r="Q874" s="110"/>
      <c r="R874" s="15"/>
      <c r="S874" s="110"/>
      <c r="T874" s="15"/>
    </row>
    <row r="875" spans="8:20" x14ac:dyDescent="0.2">
      <c r="H875" s="15"/>
      <c r="I875" s="110"/>
      <c r="J875" s="15"/>
      <c r="K875" s="110"/>
      <c r="L875" s="15"/>
      <c r="M875" s="110"/>
      <c r="N875" s="15"/>
      <c r="O875" s="110"/>
      <c r="P875" s="15"/>
      <c r="Q875" s="110"/>
      <c r="R875" s="15"/>
      <c r="S875" s="110"/>
      <c r="T875" s="15"/>
    </row>
    <row r="876" spans="8:20" x14ac:dyDescent="0.2">
      <c r="H876" s="15"/>
      <c r="I876" s="110"/>
      <c r="J876" s="15"/>
      <c r="K876" s="110"/>
      <c r="L876" s="15"/>
      <c r="M876" s="110"/>
      <c r="N876" s="15"/>
      <c r="O876" s="110"/>
      <c r="P876" s="15"/>
      <c r="Q876" s="110"/>
      <c r="R876" s="15"/>
      <c r="S876" s="110"/>
      <c r="T876" s="15"/>
    </row>
    <row r="877" spans="8:20" x14ac:dyDescent="0.2">
      <c r="H877" s="15"/>
      <c r="I877" s="110"/>
      <c r="J877" s="15"/>
      <c r="K877" s="110"/>
      <c r="L877" s="15"/>
      <c r="M877" s="110"/>
      <c r="N877" s="15"/>
      <c r="O877" s="110"/>
      <c r="P877" s="15"/>
      <c r="Q877" s="110"/>
      <c r="R877" s="15"/>
      <c r="S877" s="110"/>
      <c r="T877" s="15"/>
    </row>
    <row r="878" spans="8:20" x14ac:dyDescent="0.2">
      <c r="H878" s="15"/>
      <c r="I878" s="110"/>
      <c r="J878" s="15"/>
      <c r="K878" s="110"/>
      <c r="L878" s="15"/>
      <c r="M878" s="110"/>
      <c r="N878" s="15"/>
      <c r="O878" s="110"/>
      <c r="P878" s="15"/>
      <c r="Q878" s="110"/>
      <c r="R878" s="15"/>
      <c r="S878" s="110"/>
      <c r="T878" s="15"/>
    </row>
    <row r="879" spans="8:20" x14ac:dyDescent="0.2">
      <c r="H879" s="15"/>
      <c r="I879" s="110"/>
      <c r="J879" s="15"/>
      <c r="K879" s="110"/>
      <c r="L879" s="15"/>
      <c r="M879" s="110"/>
      <c r="N879" s="15"/>
      <c r="O879" s="110"/>
      <c r="P879" s="15"/>
      <c r="Q879" s="110"/>
      <c r="R879" s="15"/>
      <c r="S879" s="110"/>
      <c r="T879" s="15"/>
    </row>
    <row r="880" spans="8:20" x14ac:dyDescent="0.2">
      <c r="H880" s="15"/>
      <c r="I880" s="110"/>
      <c r="J880" s="15"/>
      <c r="K880" s="110"/>
      <c r="L880" s="15"/>
      <c r="M880" s="110"/>
      <c r="N880" s="15"/>
      <c r="O880" s="110"/>
      <c r="P880" s="15"/>
      <c r="Q880" s="110"/>
      <c r="R880" s="15"/>
      <c r="S880" s="110"/>
      <c r="T880" s="15"/>
    </row>
    <row r="881" spans="8:20" x14ac:dyDescent="0.2">
      <c r="H881" s="15"/>
      <c r="I881" s="110"/>
      <c r="J881" s="15"/>
      <c r="K881" s="110"/>
      <c r="L881" s="15"/>
      <c r="M881" s="110"/>
      <c r="N881" s="15"/>
      <c r="O881" s="110"/>
      <c r="P881" s="15"/>
      <c r="Q881" s="110"/>
      <c r="R881" s="15"/>
      <c r="S881" s="110"/>
      <c r="T881" s="15"/>
    </row>
    <row r="882" spans="8:20" x14ac:dyDescent="0.2">
      <c r="H882" s="15"/>
      <c r="I882" s="110"/>
      <c r="J882" s="15"/>
      <c r="K882" s="110"/>
      <c r="L882" s="15"/>
      <c r="M882" s="110"/>
      <c r="N882" s="15"/>
      <c r="O882" s="110"/>
      <c r="P882" s="15"/>
      <c r="Q882" s="110"/>
      <c r="R882" s="15"/>
      <c r="S882" s="110"/>
      <c r="T882" s="15"/>
    </row>
    <row r="883" spans="8:20" x14ac:dyDescent="0.2">
      <c r="H883" s="15"/>
      <c r="I883" s="110"/>
      <c r="J883" s="15"/>
      <c r="K883" s="110"/>
      <c r="L883" s="15"/>
      <c r="M883" s="110"/>
      <c r="N883" s="15"/>
      <c r="O883" s="110"/>
      <c r="P883" s="15"/>
      <c r="Q883" s="110"/>
      <c r="R883" s="15"/>
      <c r="S883" s="110"/>
      <c r="T883" s="15"/>
    </row>
    <row r="884" spans="8:20" x14ac:dyDescent="0.2">
      <c r="H884" s="15"/>
      <c r="I884" s="110"/>
      <c r="J884" s="15"/>
      <c r="K884" s="110"/>
      <c r="L884" s="15"/>
      <c r="M884" s="110"/>
      <c r="N884" s="15"/>
      <c r="O884" s="110"/>
      <c r="P884" s="15"/>
      <c r="Q884" s="110"/>
      <c r="R884" s="15"/>
      <c r="S884" s="110"/>
      <c r="T884" s="15"/>
    </row>
    <row r="885" spans="8:20" x14ac:dyDescent="0.2">
      <c r="H885" s="15"/>
      <c r="I885" s="110"/>
      <c r="J885" s="15"/>
      <c r="K885" s="110"/>
      <c r="L885" s="15"/>
      <c r="M885" s="110"/>
      <c r="N885" s="15"/>
      <c r="O885" s="110"/>
      <c r="P885" s="15"/>
      <c r="Q885" s="110"/>
      <c r="R885" s="15"/>
      <c r="S885" s="110"/>
      <c r="T885" s="15"/>
    </row>
    <row r="886" spans="8:20" x14ac:dyDescent="0.2">
      <c r="H886" s="15"/>
      <c r="I886" s="110"/>
      <c r="J886" s="15"/>
      <c r="K886" s="110"/>
      <c r="L886" s="15"/>
      <c r="M886" s="110"/>
      <c r="N886" s="15"/>
      <c r="O886" s="110"/>
      <c r="P886" s="15"/>
      <c r="Q886" s="110"/>
      <c r="R886" s="15"/>
      <c r="S886" s="110"/>
      <c r="T886" s="15"/>
    </row>
    <row r="887" spans="8:20" x14ac:dyDescent="0.2">
      <c r="H887" s="15"/>
      <c r="I887" s="110"/>
      <c r="J887" s="15"/>
      <c r="K887" s="110"/>
      <c r="L887" s="15"/>
      <c r="M887" s="110"/>
      <c r="N887" s="15"/>
      <c r="O887" s="110"/>
      <c r="P887" s="15"/>
      <c r="Q887" s="110"/>
      <c r="R887" s="15"/>
      <c r="S887" s="110"/>
      <c r="T887" s="15"/>
    </row>
    <row r="888" spans="8:20" x14ac:dyDescent="0.2">
      <c r="H888" s="15"/>
      <c r="I888" s="110"/>
      <c r="J888" s="15"/>
      <c r="K888" s="110"/>
      <c r="L888" s="15"/>
      <c r="M888" s="110"/>
      <c r="N888" s="15"/>
      <c r="O888" s="110"/>
      <c r="P888" s="15"/>
      <c r="Q888" s="110"/>
      <c r="R888" s="15"/>
      <c r="S888" s="110"/>
      <c r="T888" s="15"/>
    </row>
    <row r="889" spans="8:20" x14ac:dyDescent="0.2">
      <c r="H889" s="15"/>
      <c r="I889" s="110"/>
      <c r="J889" s="15"/>
      <c r="K889" s="110"/>
      <c r="L889" s="15"/>
      <c r="M889" s="110"/>
      <c r="N889" s="15"/>
      <c r="O889" s="110"/>
      <c r="P889" s="15"/>
      <c r="Q889" s="110"/>
      <c r="R889" s="15"/>
      <c r="S889" s="110"/>
      <c r="T889" s="15"/>
    </row>
    <row r="890" spans="8:20" x14ac:dyDescent="0.2">
      <c r="H890" s="15"/>
      <c r="I890" s="110"/>
      <c r="J890" s="15"/>
      <c r="K890" s="110"/>
      <c r="L890" s="15"/>
      <c r="M890" s="110"/>
      <c r="N890" s="15"/>
      <c r="O890" s="110"/>
      <c r="P890" s="15"/>
      <c r="Q890" s="110"/>
      <c r="R890" s="15"/>
      <c r="S890" s="110"/>
      <c r="T890" s="15"/>
    </row>
    <row r="891" spans="8:20" x14ac:dyDescent="0.2">
      <c r="H891" s="15"/>
      <c r="I891" s="110"/>
      <c r="J891" s="15"/>
      <c r="K891" s="110"/>
      <c r="L891" s="15"/>
      <c r="M891" s="110"/>
      <c r="N891" s="15"/>
      <c r="O891" s="110"/>
      <c r="P891" s="15"/>
      <c r="Q891" s="110"/>
      <c r="R891" s="15"/>
      <c r="S891" s="110"/>
      <c r="T891" s="15"/>
    </row>
    <row r="892" spans="8:20" x14ac:dyDescent="0.2">
      <c r="H892" s="15"/>
      <c r="I892" s="110"/>
      <c r="J892" s="15"/>
      <c r="K892" s="110"/>
      <c r="L892" s="15"/>
      <c r="M892" s="110"/>
      <c r="N892" s="15"/>
      <c r="O892" s="110"/>
      <c r="P892" s="15"/>
      <c r="Q892" s="110"/>
      <c r="R892" s="15"/>
      <c r="S892" s="110"/>
      <c r="T892" s="15"/>
    </row>
    <row r="893" spans="8:20" x14ac:dyDescent="0.2">
      <c r="H893" s="15"/>
      <c r="I893" s="110"/>
      <c r="J893" s="15"/>
      <c r="K893" s="110"/>
      <c r="L893" s="15"/>
      <c r="M893" s="110"/>
      <c r="N893" s="15"/>
      <c r="O893" s="110"/>
      <c r="P893" s="15"/>
      <c r="Q893" s="110"/>
      <c r="R893" s="15"/>
      <c r="S893" s="110"/>
      <c r="T893" s="15"/>
    </row>
    <row r="894" spans="8:20" x14ac:dyDescent="0.2">
      <c r="H894" s="15"/>
      <c r="I894" s="110"/>
      <c r="J894" s="15"/>
      <c r="K894" s="110"/>
      <c r="L894" s="15"/>
      <c r="M894" s="110"/>
      <c r="N894" s="15"/>
      <c r="O894" s="110"/>
      <c r="P894" s="15"/>
      <c r="Q894" s="110"/>
      <c r="R894" s="15"/>
      <c r="S894" s="110"/>
      <c r="T894" s="15"/>
    </row>
    <row r="895" spans="8:20" x14ac:dyDescent="0.2">
      <c r="H895" s="15"/>
      <c r="I895" s="110"/>
      <c r="J895" s="15"/>
      <c r="K895" s="110"/>
      <c r="L895" s="15"/>
      <c r="M895" s="110"/>
      <c r="N895" s="15"/>
      <c r="O895" s="110"/>
      <c r="P895" s="15"/>
      <c r="Q895" s="110"/>
      <c r="R895" s="15"/>
      <c r="S895" s="110"/>
      <c r="T895" s="15"/>
    </row>
    <row r="896" spans="8:20" x14ac:dyDescent="0.2">
      <c r="H896" s="15"/>
      <c r="I896" s="110"/>
      <c r="J896" s="15"/>
      <c r="K896" s="110"/>
      <c r="L896" s="15"/>
      <c r="M896" s="110"/>
      <c r="N896" s="15"/>
      <c r="O896" s="110"/>
      <c r="P896" s="15"/>
      <c r="Q896" s="110"/>
      <c r="R896" s="15"/>
      <c r="S896" s="110"/>
      <c r="T896" s="15"/>
    </row>
    <row r="897" spans="8:20" x14ac:dyDescent="0.2">
      <c r="H897" s="15"/>
      <c r="I897" s="110"/>
      <c r="J897" s="15"/>
      <c r="K897" s="110"/>
      <c r="L897" s="15"/>
      <c r="M897" s="110"/>
      <c r="N897" s="15"/>
      <c r="O897" s="110"/>
      <c r="P897" s="15"/>
      <c r="Q897" s="110"/>
      <c r="R897" s="15"/>
      <c r="S897" s="110"/>
      <c r="T897" s="15"/>
    </row>
    <row r="898" spans="8:20" x14ac:dyDescent="0.2">
      <c r="H898" s="15"/>
      <c r="I898" s="110"/>
      <c r="J898" s="15"/>
      <c r="K898" s="110"/>
      <c r="L898" s="15"/>
      <c r="M898" s="110"/>
      <c r="N898" s="15"/>
      <c r="O898" s="110"/>
      <c r="P898" s="15"/>
      <c r="Q898" s="110"/>
      <c r="R898" s="15"/>
      <c r="S898" s="110"/>
      <c r="T898" s="15"/>
    </row>
    <row r="899" spans="8:20" x14ac:dyDescent="0.2">
      <c r="H899" s="15"/>
      <c r="I899" s="110"/>
      <c r="J899" s="15"/>
      <c r="K899" s="110"/>
      <c r="L899" s="15"/>
      <c r="M899" s="110"/>
      <c r="N899" s="15"/>
      <c r="O899" s="110"/>
      <c r="P899" s="15"/>
      <c r="Q899" s="110"/>
      <c r="R899" s="15"/>
      <c r="S899" s="110"/>
      <c r="T899" s="15"/>
    </row>
    <row r="900" spans="8:20" x14ac:dyDescent="0.2">
      <c r="H900" s="15"/>
      <c r="I900" s="110"/>
      <c r="J900" s="15"/>
      <c r="K900" s="110"/>
      <c r="L900" s="15"/>
      <c r="M900" s="110"/>
      <c r="N900" s="15"/>
      <c r="O900" s="110"/>
      <c r="P900" s="15"/>
      <c r="Q900" s="110"/>
      <c r="R900" s="15"/>
      <c r="S900" s="110"/>
      <c r="T900" s="15"/>
    </row>
    <row r="901" spans="8:20" x14ac:dyDescent="0.2">
      <c r="H901" s="15"/>
      <c r="I901" s="110"/>
      <c r="J901" s="15"/>
      <c r="K901" s="110"/>
      <c r="L901" s="15"/>
      <c r="M901" s="110"/>
      <c r="N901" s="15"/>
      <c r="O901" s="110"/>
      <c r="P901" s="15"/>
      <c r="Q901" s="110"/>
      <c r="R901" s="15"/>
      <c r="S901" s="110"/>
      <c r="T901" s="15"/>
    </row>
    <row r="902" spans="8:20" x14ac:dyDescent="0.2">
      <c r="H902" s="15"/>
      <c r="I902" s="110"/>
      <c r="J902" s="15"/>
      <c r="K902" s="110"/>
      <c r="L902" s="15"/>
      <c r="M902" s="110"/>
      <c r="N902" s="15"/>
      <c r="O902" s="110"/>
      <c r="P902" s="15"/>
      <c r="Q902" s="110"/>
      <c r="R902" s="15"/>
      <c r="S902" s="110"/>
      <c r="T902" s="15"/>
    </row>
    <row r="903" spans="8:20" x14ac:dyDescent="0.2">
      <c r="H903" s="15"/>
      <c r="I903" s="110"/>
      <c r="J903" s="15"/>
      <c r="K903" s="110"/>
      <c r="L903" s="15"/>
      <c r="M903" s="110"/>
      <c r="N903" s="15"/>
      <c r="O903" s="110"/>
      <c r="P903" s="15"/>
      <c r="Q903" s="110"/>
      <c r="R903" s="15"/>
      <c r="S903" s="110"/>
      <c r="T903" s="15"/>
    </row>
    <row r="904" spans="8:20" x14ac:dyDescent="0.2">
      <c r="H904" s="15"/>
      <c r="I904" s="110"/>
      <c r="J904" s="15"/>
      <c r="K904" s="110"/>
      <c r="L904" s="15"/>
      <c r="M904" s="110"/>
      <c r="N904" s="15"/>
      <c r="O904" s="110"/>
      <c r="P904" s="15"/>
      <c r="Q904" s="110"/>
      <c r="R904" s="15"/>
      <c r="S904" s="110"/>
      <c r="T904" s="15"/>
    </row>
    <row r="905" spans="8:20" x14ac:dyDescent="0.2">
      <c r="H905" s="15"/>
      <c r="I905" s="110"/>
      <c r="J905" s="15"/>
      <c r="K905" s="110"/>
      <c r="L905" s="15"/>
      <c r="M905" s="110"/>
      <c r="N905" s="15"/>
      <c r="O905" s="110"/>
      <c r="P905" s="15"/>
      <c r="Q905" s="110"/>
      <c r="R905" s="15"/>
      <c r="S905" s="110"/>
      <c r="T905" s="15"/>
    </row>
    <row r="906" spans="8:20" x14ac:dyDescent="0.2">
      <c r="H906" s="15"/>
      <c r="I906" s="110"/>
      <c r="J906" s="15"/>
      <c r="K906" s="110"/>
      <c r="L906" s="15"/>
      <c r="M906" s="110"/>
      <c r="N906" s="15"/>
      <c r="O906" s="110"/>
      <c r="P906" s="15"/>
      <c r="Q906" s="110"/>
      <c r="R906" s="15"/>
      <c r="S906" s="110"/>
      <c r="T906" s="15"/>
    </row>
    <row r="907" spans="8:20" x14ac:dyDescent="0.2">
      <c r="H907" s="15"/>
      <c r="I907" s="110"/>
      <c r="J907" s="15"/>
      <c r="K907" s="110"/>
      <c r="L907" s="15"/>
      <c r="M907" s="110"/>
      <c r="N907" s="15"/>
      <c r="O907" s="110"/>
      <c r="P907" s="15"/>
      <c r="Q907" s="110"/>
      <c r="R907" s="15"/>
      <c r="S907" s="110"/>
      <c r="T907" s="15"/>
    </row>
    <row r="908" spans="8:20" x14ac:dyDescent="0.2">
      <c r="H908" s="15"/>
      <c r="I908" s="110"/>
      <c r="J908" s="15"/>
      <c r="K908" s="110"/>
      <c r="L908" s="15"/>
      <c r="M908" s="110"/>
      <c r="N908" s="15"/>
      <c r="O908" s="110"/>
      <c r="P908" s="15"/>
      <c r="Q908" s="110"/>
      <c r="R908" s="15"/>
      <c r="S908" s="110"/>
      <c r="T908" s="15"/>
    </row>
    <row r="909" spans="8:20" x14ac:dyDescent="0.2">
      <c r="H909" s="15"/>
      <c r="I909" s="110"/>
      <c r="J909" s="15"/>
      <c r="K909" s="110"/>
      <c r="L909" s="15"/>
      <c r="M909" s="110"/>
      <c r="N909" s="15"/>
      <c r="O909" s="110"/>
      <c r="P909" s="15"/>
      <c r="Q909" s="110"/>
      <c r="R909" s="15"/>
      <c r="S909" s="110"/>
      <c r="T909" s="15"/>
    </row>
    <row r="910" spans="8:20" x14ac:dyDescent="0.2">
      <c r="H910" s="15"/>
      <c r="I910" s="110"/>
      <c r="J910" s="15"/>
      <c r="K910" s="110"/>
      <c r="L910" s="15"/>
      <c r="M910" s="110"/>
      <c r="N910" s="15"/>
      <c r="O910" s="110"/>
      <c r="P910" s="15"/>
      <c r="Q910" s="110"/>
      <c r="R910" s="15"/>
      <c r="S910" s="110"/>
      <c r="T910" s="15"/>
    </row>
    <row r="911" spans="8:20" x14ac:dyDescent="0.2">
      <c r="H911" s="15"/>
      <c r="I911" s="110"/>
      <c r="J911" s="15"/>
      <c r="K911" s="110"/>
      <c r="L911" s="15"/>
      <c r="M911" s="110"/>
      <c r="N911" s="15"/>
      <c r="O911" s="110"/>
      <c r="P911" s="15"/>
      <c r="Q911" s="110"/>
      <c r="R911" s="15"/>
      <c r="S911" s="110"/>
      <c r="T911" s="15"/>
    </row>
    <row r="912" spans="8:20" x14ac:dyDescent="0.2">
      <c r="H912" s="15"/>
      <c r="I912" s="110"/>
      <c r="J912" s="15"/>
      <c r="K912" s="110"/>
      <c r="L912" s="15"/>
      <c r="M912" s="110"/>
      <c r="N912" s="15"/>
      <c r="O912" s="110"/>
      <c r="P912" s="15"/>
      <c r="Q912" s="110"/>
      <c r="R912" s="15"/>
      <c r="S912" s="110"/>
      <c r="T912" s="15"/>
    </row>
    <row r="913" spans="8:20" x14ac:dyDescent="0.2">
      <c r="H913" s="15"/>
      <c r="I913" s="110"/>
      <c r="J913" s="15"/>
      <c r="K913" s="110"/>
      <c r="L913" s="15"/>
      <c r="M913" s="110"/>
      <c r="N913" s="15"/>
      <c r="O913" s="110"/>
      <c r="P913" s="15"/>
      <c r="Q913" s="110"/>
      <c r="R913" s="15"/>
      <c r="S913" s="110"/>
      <c r="T913" s="15"/>
    </row>
    <row r="914" spans="8:20" x14ac:dyDescent="0.2">
      <c r="H914" s="15"/>
      <c r="I914" s="110"/>
      <c r="J914" s="15"/>
      <c r="K914" s="110"/>
      <c r="L914" s="15"/>
      <c r="M914" s="110"/>
      <c r="N914" s="15"/>
      <c r="O914" s="110"/>
      <c r="P914" s="15"/>
      <c r="Q914" s="110"/>
      <c r="R914" s="15"/>
      <c r="S914" s="110"/>
      <c r="T914" s="15"/>
    </row>
    <row r="915" spans="8:20" x14ac:dyDescent="0.2">
      <c r="H915" s="15"/>
      <c r="I915" s="110"/>
      <c r="J915" s="15"/>
      <c r="K915" s="110"/>
      <c r="L915" s="15"/>
      <c r="M915" s="110"/>
      <c r="N915" s="15"/>
      <c r="O915" s="110"/>
      <c r="P915" s="15"/>
      <c r="Q915" s="110"/>
      <c r="R915" s="15"/>
      <c r="S915" s="110"/>
      <c r="T915" s="15"/>
    </row>
    <row r="916" spans="8:20" x14ac:dyDescent="0.2">
      <c r="H916" s="15"/>
      <c r="I916" s="110"/>
      <c r="J916" s="15"/>
      <c r="K916" s="110"/>
      <c r="L916" s="15"/>
      <c r="M916" s="110"/>
      <c r="N916" s="15"/>
      <c r="O916" s="110"/>
      <c r="P916" s="15"/>
      <c r="Q916" s="110"/>
      <c r="R916" s="15"/>
      <c r="S916" s="110"/>
      <c r="T916" s="15"/>
    </row>
    <row r="917" spans="8:20" x14ac:dyDescent="0.2">
      <c r="H917" s="15"/>
      <c r="I917" s="110"/>
      <c r="J917" s="15"/>
      <c r="K917" s="110"/>
      <c r="L917" s="15"/>
      <c r="M917" s="110"/>
      <c r="N917" s="15"/>
      <c r="O917" s="110"/>
      <c r="P917" s="15"/>
      <c r="Q917" s="110"/>
      <c r="R917" s="15"/>
      <c r="S917" s="110"/>
      <c r="T917" s="15"/>
    </row>
    <row r="918" spans="8:20" x14ac:dyDescent="0.2">
      <c r="H918" s="15"/>
      <c r="I918" s="110"/>
      <c r="J918" s="15"/>
      <c r="K918" s="110"/>
      <c r="L918" s="15"/>
      <c r="M918" s="110"/>
      <c r="N918" s="15"/>
      <c r="O918" s="110"/>
      <c r="P918" s="15"/>
      <c r="Q918" s="110"/>
      <c r="R918" s="15"/>
      <c r="S918" s="110"/>
      <c r="T918" s="15"/>
    </row>
    <row r="919" spans="8:20" x14ac:dyDescent="0.2">
      <c r="H919" s="15"/>
      <c r="I919" s="110"/>
      <c r="J919" s="15"/>
      <c r="K919" s="110"/>
      <c r="L919" s="15"/>
      <c r="M919" s="110"/>
      <c r="N919" s="15"/>
      <c r="O919" s="110"/>
      <c r="P919" s="15"/>
      <c r="Q919" s="110"/>
      <c r="R919" s="15"/>
      <c r="S919" s="110"/>
      <c r="T919" s="15"/>
    </row>
    <row r="920" spans="8:20" x14ac:dyDescent="0.2">
      <c r="H920" s="15"/>
      <c r="I920" s="110"/>
      <c r="J920" s="15"/>
      <c r="K920" s="110"/>
      <c r="L920" s="15"/>
      <c r="M920" s="110"/>
      <c r="N920" s="15"/>
      <c r="O920" s="110"/>
      <c r="P920" s="15"/>
      <c r="Q920" s="110"/>
      <c r="R920" s="15"/>
      <c r="S920" s="110"/>
      <c r="T920" s="15"/>
    </row>
    <row r="921" spans="8:20" x14ac:dyDescent="0.2">
      <c r="H921" s="15"/>
      <c r="I921" s="110"/>
      <c r="J921" s="15"/>
      <c r="K921" s="110"/>
      <c r="L921" s="15"/>
      <c r="M921" s="110"/>
      <c r="N921" s="15"/>
      <c r="O921" s="110"/>
      <c r="P921" s="15"/>
      <c r="Q921" s="110"/>
      <c r="R921" s="15"/>
      <c r="S921" s="110"/>
      <c r="T921" s="15"/>
    </row>
    <row r="922" spans="8:20" x14ac:dyDescent="0.2">
      <c r="H922" s="15"/>
      <c r="I922" s="110"/>
      <c r="J922" s="15"/>
      <c r="K922" s="110"/>
      <c r="L922" s="15"/>
      <c r="M922" s="110"/>
      <c r="N922" s="15"/>
      <c r="O922" s="110"/>
      <c r="P922" s="15"/>
      <c r="Q922" s="110"/>
      <c r="R922" s="15"/>
      <c r="S922" s="110"/>
      <c r="T922" s="15"/>
    </row>
    <row r="923" spans="8:20" x14ac:dyDescent="0.2">
      <c r="H923" s="15"/>
      <c r="I923" s="110"/>
      <c r="J923" s="15"/>
      <c r="K923" s="110"/>
      <c r="L923" s="15"/>
      <c r="M923" s="110"/>
      <c r="N923" s="15"/>
      <c r="O923" s="110"/>
      <c r="P923" s="15"/>
      <c r="Q923" s="110"/>
      <c r="R923" s="15"/>
      <c r="S923" s="110"/>
      <c r="T923" s="15"/>
    </row>
    <row r="924" spans="8:20" x14ac:dyDescent="0.2">
      <c r="H924" s="15"/>
      <c r="I924" s="110"/>
      <c r="J924" s="15"/>
      <c r="K924" s="110"/>
      <c r="L924" s="15"/>
      <c r="M924" s="110"/>
      <c r="N924" s="15"/>
      <c r="O924" s="110"/>
      <c r="P924" s="15"/>
      <c r="Q924" s="110"/>
      <c r="R924" s="15"/>
      <c r="S924" s="110"/>
      <c r="T924" s="15"/>
    </row>
    <row r="925" spans="8:20" x14ac:dyDescent="0.2">
      <c r="H925" s="15"/>
      <c r="I925" s="110"/>
      <c r="J925" s="15"/>
      <c r="K925" s="110"/>
      <c r="L925" s="15"/>
      <c r="M925" s="110"/>
      <c r="N925" s="15"/>
      <c r="O925" s="110"/>
      <c r="P925" s="15"/>
      <c r="Q925" s="110"/>
      <c r="R925" s="15"/>
      <c r="S925" s="110"/>
      <c r="T925" s="15"/>
    </row>
    <row r="926" spans="8:20" x14ac:dyDescent="0.2">
      <c r="H926" s="15"/>
      <c r="I926" s="110"/>
      <c r="J926" s="15"/>
      <c r="K926" s="110"/>
      <c r="L926" s="15"/>
      <c r="M926" s="110"/>
      <c r="N926" s="15"/>
      <c r="O926" s="110"/>
      <c r="P926" s="15"/>
      <c r="Q926" s="110"/>
      <c r="R926" s="15"/>
      <c r="S926" s="110"/>
      <c r="T926" s="15"/>
    </row>
    <row r="927" spans="8:20" x14ac:dyDescent="0.2">
      <c r="H927" s="15"/>
      <c r="I927" s="110"/>
      <c r="J927" s="15"/>
      <c r="K927" s="110"/>
      <c r="L927" s="15"/>
      <c r="M927" s="110"/>
      <c r="N927" s="15"/>
      <c r="O927" s="110"/>
      <c r="P927" s="15"/>
      <c r="Q927" s="110"/>
      <c r="R927" s="15"/>
      <c r="S927" s="110"/>
      <c r="T927" s="15"/>
    </row>
    <row r="928" spans="8:20" x14ac:dyDescent="0.2">
      <c r="H928" s="15"/>
      <c r="I928" s="110"/>
      <c r="J928" s="15"/>
      <c r="K928" s="110"/>
      <c r="L928" s="15"/>
      <c r="M928" s="110"/>
      <c r="N928" s="15"/>
      <c r="O928" s="110"/>
      <c r="P928" s="15"/>
      <c r="Q928" s="110"/>
      <c r="R928" s="15"/>
      <c r="S928" s="110"/>
      <c r="T928" s="15"/>
    </row>
    <row r="929" spans="8:20" x14ac:dyDescent="0.2">
      <c r="H929" s="15"/>
      <c r="I929" s="110"/>
      <c r="J929" s="15"/>
      <c r="K929" s="110"/>
      <c r="L929" s="15"/>
      <c r="M929" s="110"/>
      <c r="N929" s="15"/>
      <c r="O929" s="110"/>
      <c r="P929" s="15"/>
      <c r="Q929" s="110"/>
      <c r="R929" s="15"/>
      <c r="S929" s="110"/>
      <c r="T929" s="15"/>
    </row>
    <row r="930" spans="8:20" x14ac:dyDescent="0.2">
      <c r="H930" s="15"/>
      <c r="I930" s="110"/>
      <c r="J930" s="15"/>
      <c r="K930" s="110"/>
      <c r="L930" s="15"/>
      <c r="M930" s="110"/>
      <c r="N930" s="15"/>
      <c r="O930" s="110"/>
      <c r="P930" s="15"/>
      <c r="Q930" s="110"/>
      <c r="R930" s="15"/>
      <c r="S930" s="110"/>
      <c r="T930" s="15"/>
    </row>
    <row r="931" spans="8:20" x14ac:dyDescent="0.2">
      <c r="H931" s="15"/>
      <c r="I931" s="110"/>
      <c r="J931" s="15"/>
      <c r="K931" s="110"/>
      <c r="L931" s="15"/>
      <c r="M931" s="110"/>
      <c r="N931" s="15"/>
      <c r="O931" s="110"/>
      <c r="P931" s="15"/>
      <c r="Q931" s="110"/>
      <c r="R931" s="15"/>
      <c r="S931" s="110"/>
      <c r="T931" s="15"/>
    </row>
    <row r="932" spans="8:20" x14ac:dyDescent="0.2">
      <c r="H932" s="15"/>
      <c r="I932" s="110"/>
      <c r="J932" s="15"/>
      <c r="K932" s="110"/>
      <c r="L932" s="15"/>
      <c r="M932" s="110"/>
      <c r="N932" s="15"/>
      <c r="O932" s="110"/>
      <c r="P932" s="15"/>
      <c r="Q932" s="110"/>
      <c r="R932" s="15"/>
      <c r="S932" s="110"/>
      <c r="T932" s="15"/>
    </row>
    <row r="933" spans="8:20" x14ac:dyDescent="0.2">
      <c r="H933" s="15"/>
      <c r="I933" s="110"/>
      <c r="J933" s="15"/>
      <c r="K933" s="110"/>
      <c r="L933" s="15"/>
      <c r="M933" s="110"/>
      <c r="N933" s="15"/>
      <c r="O933" s="110"/>
      <c r="P933" s="15"/>
      <c r="Q933" s="110"/>
      <c r="R933" s="15"/>
      <c r="S933" s="110"/>
      <c r="T933" s="15"/>
    </row>
    <row r="934" spans="8:20" x14ac:dyDescent="0.2">
      <c r="H934" s="15"/>
      <c r="I934" s="110"/>
      <c r="J934" s="15"/>
      <c r="K934" s="110"/>
      <c r="L934" s="15"/>
      <c r="M934" s="110"/>
      <c r="N934" s="15"/>
      <c r="O934" s="110"/>
      <c r="P934" s="15"/>
      <c r="Q934" s="110"/>
      <c r="R934" s="15"/>
      <c r="S934" s="110"/>
      <c r="T934" s="15"/>
    </row>
    <row r="935" spans="8:20" x14ac:dyDescent="0.2">
      <c r="H935" s="15"/>
      <c r="I935" s="110"/>
      <c r="J935" s="15"/>
      <c r="K935" s="110"/>
      <c r="L935" s="15"/>
      <c r="M935" s="110"/>
      <c r="N935" s="15"/>
      <c r="O935" s="110"/>
      <c r="P935" s="15"/>
      <c r="Q935" s="110"/>
      <c r="R935" s="15"/>
      <c r="S935" s="110"/>
      <c r="T935" s="15"/>
    </row>
    <row r="936" spans="8:20" x14ac:dyDescent="0.2">
      <c r="H936" s="15"/>
      <c r="I936" s="110"/>
      <c r="J936" s="15"/>
      <c r="K936" s="110"/>
      <c r="L936" s="15"/>
      <c r="M936" s="110"/>
      <c r="N936" s="15"/>
      <c r="O936" s="110"/>
      <c r="P936" s="15"/>
      <c r="Q936" s="110"/>
      <c r="R936" s="15"/>
      <c r="S936" s="110"/>
      <c r="T936" s="15"/>
    </row>
    <row r="937" spans="8:20" x14ac:dyDescent="0.2">
      <c r="H937" s="15"/>
      <c r="I937" s="110"/>
      <c r="J937" s="15"/>
      <c r="K937" s="110"/>
      <c r="L937" s="15"/>
      <c r="M937" s="110"/>
      <c r="N937" s="15"/>
      <c r="O937" s="110"/>
      <c r="P937" s="15"/>
      <c r="Q937" s="110"/>
      <c r="R937" s="15"/>
      <c r="S937" s="110"/>
      <c r="T937" s="15"/>
    </row>
    <row r="938" spans="8:20" x14ac:dyDescent="0.2">
      <c r="H938" s="15"/>
      <c r="I938" s="110"/>
      <c r="J938" s="15"/>
      <c r="K938" s="110"/>
      <c r="L938" s="15"/>
      <c r="M938" s="110"/>
      <c r="N938" s="15"/>
      <c r="O938" s="110"/>
      <c r="P938" s="15"/>
      <c r="Q938" s="110"/>
      <c r="R938" s="15"/>
      <c r="S938" s="110"/>
      <c r="T938" s="15"/>
    </row>
    <row r="939" spans="8:20" x14ac:dyDescent="0.2">
      <c r="H939" s="15"/>
      <c r="I939" s="110"/>
      <c r="J939" s="15"/>
      <c r="K939" s="110"/>
      <c r="L939" s="15"/>
      <c r="M939" s="110"/>
      <c r="N939" s="15"/>
      <c r="O939" s="110"/>
      <c r="P939" s="15"/>
      <c r="Q939" s="110"/>
      <c r="R939" s="15"/>
      <c r="S939" s="110"/>
      <c r="T939" s="15"/>
    </row>
    <row r="940" spans="8:20" x14ac:dyDescent="0.2">
      <c r="H940" s="15"/>
      <c r="I940" s="110"/>
      <c r="J940" s="15"/>
      <c r="K940" s="110"/>
      <c r="L940" s="15"/>
      <c r="M940" s="110"/>
      <c r="N940" s="15"/>
      <c r="O940" s="110"/>
      <c r="P940" s="15"/>
      <c r="Q940" s="110"/>
      <c r="R940" s="15"/>
      <c r="S940" s="110"/>
      <c r="T940" s="15"/>
    </row>
    <row r="941" spans="8:20" x14ac:dyDescent="0.2">
      <c r="H941" s="15"/>
      <c r="I941" s="110"/>
      <c r="J941" s="15"/>
      <c r="K941" s="110"/>
      <c r="L941" s="15"/>
      <c r="M941" s="110"/>
      <c r="N941" s="15"/>
      <c r="O941" s="110"/>
      <c r="P941" s="15"/>
      <c r="Q941" s="110"/>
      <c r="R941" s="15"/>
      <c r="S941" s="110"/>
      <c r="T941" s="15"/>
    </row>
    <row r="942" spans="8:20" x14ac:dyDescent="0.2">
      <c r="H942" s="15"/>
      <c r="I942" s="110"/>
      <c r="J942" s="15"/>
      <c r="K942" s="110"/>
      <c r="L942" s="15"/>
      <c r="M942" s="110"/>
      <c r="N942" s="15"/>
      <c r="O942" s="110"/>
      <c r="P942" s="15"/>
      <c r="Q942" s="110"/>
      <c r="R942" s="15"/>
      <c r="S942" s="110"/>
      <c r="T942" s="15"/>
    </row>
    <row r="943" spans="8:20" x14ac:dyDescent="0.2">
      <c r="H943" s="15"/>
      <c r="I943" s="110"/>
      <c r="J943" s="15"/>
      <c r="K943" s="110"/>
      <c r="L943" s="15"/>
      <c r="M943" s="110"/>
      <c r="N943" s="15"/>
      <c r="O943" s="110"/>
      <c r="P943" s="15"/>
      <c r="Q943" s="110"/>
      <c r="R943" s="15"/>
      <c r="S943" s="110"/>
      <c r="T943" s="15"/>
    </row>
    <row r="944" spans="8:20" x14ac:dyDescent="0.2">
      <c r="H944" s="15"/>
      <c r="I944" s="110"/>
      <c r="J944" s="15"/>
      <c r="K944" s="110"/>
      <c r="L944" s="15"/>
      <c r="M944" s="110"/>
      <c r="N944" s="15"/>
      <c r="O944" s="110"/>
      <c r="P944" s="15"/>
      <c r="Q944" s="110"/>
      <c r="R944" s="15"/>
      <c r="S944" s="110"/>
      <c r="T944" s="15"/>
    </row>
    <row r="945" spans="8:20" x14ac:dyDescent="0.2">
      <c r="H945" s="15"/>
      <c r="I945" s="110"/>
      <c r="J945" s="15"/>
      <c r="K945" s="110"/>
      <c r="L945" s="15"/>
      <c r="M945" s="110"/>
      <c r="N945" s="15"/>
      <c r="O945" s="110"/>
      <c r="P945" s="15"/>
      <c r="Q945" s="110"/>
      <c r="R945" s="15"/>
      <c r="S945" s="110"/>
      <c r="T945" s="15"/>
    </row>
    <row r="946" spans="8:20" x14ac:dyDescent="0.2">
      <c r="H946" s="15"/>
      <c r="I946" s="110"/>
      <c r="J946" s="15"/>
      <c r="K946" s="110"/>
      <c r="L946" s="15"/>
      <c r="M946" s="110"/>
      <c r="N946" s="15"/>
      <c r="O946" s="110"/>
      <c r="P946" s="15"/>
      <c r="Q946" s="110"/>
      <c r="R946" s="15"/>
      <c r="S946" s="110"/>
      <c r="T946" s="15"/>
    </row>
    <row r="947" spans="8:20" x14ac:dyDescent="0.2">
      <c r="H947" s="15"/>
      <c r="I947" s="110"/>
      <c r="J947" s="15"/>
      <c r="K947" s="110"/>
      <c r="L947" s="15"/>
      <c r="M947" s="110"/>
      <c r="N947" s="15"/>
      <c r="O947" s="110"/>
      <c r="P947" s="15"/>
      <c r="Q947" s="110"/>
      <c r="R947" s="15"/>
      <c r="S947" s="110"/>
      <c r="T947" s="15"/>
    </row>
    <row r="948" spans="8:20" x14ac:dyDescent="0.2">
      <c r="H948" s="15"/>
      <c r="I948" s="110"/>
      <c r="J948" s="15"/>
      <c r="K948" s="110"/>
      <c r="L948" s="15"/>
      <c r="M948" s="110"/>
      <c r="N948" s="15"/>
      <c r="O948" s="110"/>
      <c r="P948" s="15"/>
      <c r="Q948" s="110"/>
      <c r="R948" s="15"/>
      <c r="S948" s="110"/>
      <c r="T948" s="15"/>
    </row>
    <row r="949" spans="8:20" x14ac:dyDescent="0.2">
      <c r="H949" s="15"/>
      <c r="I949" s="110"/>
      <c r="J949" s="15"/>
      <c r="K949" s="110"/>
      <c r="L949" s="15"/>
      <c r="M949" s="110"/>
      <c r="N949" s="15"/>
      <c r="O949" s="110"/>
      <c r="P949" s="15"/>
      <c r="Q949" s="110"/>
      <c r="R949" s="15"/>
      <c r="S949" s="110"/>
      <c r="T949" s="15"/>
    </row>
    <row r="950" spans="8:20" x14ac:dyDescent="0.2">
      <c r="H950" s="15"/>
      <c r="I950" s="110"/>
      <c r="J950" s="15"/>
      <c r="K950" s="110"/>
      <c r="L950" s="15"/>
      <c r="M950" s="110"/>
      <c r="N950" s="15"/>
      <c r="O950" s="110"/>
      <c r="P950" s="15"/>
      <c r="Q950" s="110"/>
      <c r="R950" s="15"/>
      <c r="S950" s="110"/>
      <c r="T950" s="15"/>
    </row>
    <row r="951" spans="8:20" x14ac:dyDescent="0.2">
      <c r="H951" s="15"/>
      <c r="I951" s="110"/>
      <c r="J951" s="15"/>
      <c r="K951" s="110"/>
      <c r="L951" s="15"/>
      <c r="M951" s="110"/>
      <c r="N951" s="15"/>
      <c r="O951" s="110"/>
      <c r="P951" s="15"/>
      <c r="Q951" s="110"/>
      <c r="R951" s="15"/>
      <c r="S951" s="110"/>
      <c r="T951" s="15"/>
    </row>
    <row r="952" spans="8:20" x14ac:dyDescent="0.2">
      <c r="H952" s="15"/>
      <c r="I952" s="110"/>
      <c r="J952" s="15"/>
      <c r="K952" s="110"/>
      <c r="L952" s="15"/>
      <c r="M952" s="110"/>
      <c r="N952" s="15"/>
      <c r="O952" s="110"/>
      <c r="P952" s="15"/>
      <c r="Q952" s="110"/>
      <c r="R952" s="15"/>
      <c r="S952" s="110"/>
      <c r="T952" s="15"/>
    </row>
    <row r="953" spans="8:20" x14ac:dyDescent="0.2">
      <c r="H953" s="15"/>
      <c r="I953" s="110"/>
      <c r="J953" s="15"/>
      <c r="K953" s="110"/>
      <c r="L953" s="15"/>
      <c r="M953" s="110"/>
      <c r="N953" s="15"/>
      <c r="O953" s="110"/>
      <c r="P953" s="15"/>
      <c r="Q953" s="110"/>
      <c r="R953" s="15"/>
      <c r="S953" s="110"/>
      <c r="T953" s="15"/>
    </row>
    <row r="954" spans="8:20" x14ac:dyDescent="0.2">
      <c r="H954" s="15"/>
      <c r="I954" s="110"/>
      <c r="J954" s="15"/>
      <c r="K954" s="110"/>
      <c r="L954" s="15"/>
      <c r="M954" s="110"/>
      <c r="N954" s="15"/>
      <c r="O954" s="110"/>
      <c r="P954" s="15"/>
      <c r="Q954" s="110"/>
      <c r="R954" s="15"/>
      <c r="S954" s="110"/>
      <c r="T954" s="15"/>
    </row>
    <row r="955" spans="8:20" x14ac:dyDescent="0.2">
      <c r="H955" s="15"/>
      <c r="I955" s="110"/>
      <c r="J955" s="15"/>
      <c r="K955" s="110"/>
      <c r="L955" s="15"/>
      <c r="M955" s="110"/>
      <c r="N955" s="15"/>
      <c r="O955" s="110"/>
      <c r="P955" s="15"/>
      <c r="Q955" s="110"/>
      <c r="R955" s="15"/>
      <c r="S955" s="110"/>
      <c r="T955" s="15"/>
    </row>
    <row r="956" spans="8:20" x14ac:dyDescent="0.2">
      <c r="H956" s="15"/>
      <c r="I956" s="110"/>
      <c r="J956" s="15"/>
      <c r="K956" s="110"/>
      <c r="L956" s="15"/>
      <c r="M956" s="110"/>
      <c r="N956" s="15"/>
      <c r="O956" s="110"/>
      <c r="P956" s="15"/>
      <c r="Q956" s="110"/>
      <c r="R956" s="15"/>
      <c r="S956" s="110"/>
      <c r="T956" s="15"/>
    </row>
    <row r="957" spans="8:20" x14ac:dyDescent="0.2">
      <c r="H957" s="15"/>
      <c r="I957" s="110"/>
      <c r="J957" s="15"/>
      <c r="K957" s="110"/>
      <c r="L957" s="15"/>
      <c r="M957" s="110"/>
      <c r="N957" s="15"/>
      <c r="O957" s="110"/>
      <c r="P957" s="15"/>
      <c r="Q957" s="110"/>
      <c r="R957" s="15"/>
      <c r="S957" s="110"/>
      <c r="T957" s="15"/>
    </row>
    <row r="958" spans="8:20" x14ac:dyDescent="0.2">
      <c r="H958" s="15"/>
      <c r="I958" s="110"/>
      <c r="J958" s="15"/>
      <c r="K958" s="110"/>
      <c r="L958" s="15"/>
      <c r="M958" s="110"/>
      <c r="N958" s="15"/>
      <c r="O958" s="110"/>
      <c r="P958" s="15"/>
      <c r="Q958" s="110"/>
      <c r="R958" s="15"/>
      <c r="S958" s="110"/>
      <c r="T958" s="15"/>
    </row>
    <row r="959" spans="8:20" x14ac:dyDescent="0.2">
      <c r="H959" s="15"/>
      <c r="I959" s="110"/>
      <c r="J959" s="15"/>
      <c r="K959" s="110"/>
      <c r="L959" s="15"/>
      <c r="M959" s="110"/>
      <c r="N959" s="15"/>
      <c r="O959" s="110"/>
      <c r="P959" s="15"/>
      <c r="Q959" s="110"/>
      <c r="R959" s="15"/>
      <c r="S959" s="110"/>
      <c r="T959" s="15"/>
    </row>
    <row r="960" spans="8:20" x14ac:dyDescent="0.2">
      <c r="H960" s="15"/>
      <c r="I960" s="110"/>
      <c r="J960" s="15"/>
      <c r="K960" s="110"/>
      <c r="L960" s="15"/>
      <c r="M960" s="110"/>
      <c r="N960" s="15"/>
      <c r="O960" s="110"/>
      <c r="P960" s="15"/>
      <c r="Q960" s="110"/>
      <c r="R960" s="15"/>
      <c r="S960" s="110"/>
      <c r="T960" s="15"/>
    </row>
    <row r="961" spans="8:20" x14ac:dyDescent="0.2">
      <c r="H961" s="15"/>
      <c r="I961" s="110"/>
      <c r="J961" s="15"/>
      <c r="K961" s="110"/>
      <c r="L961" s="15"/>
      <c r="M961" s="110"/>
      <c r="N961" s="15"/>
      <c r="O961" s="110"/>
      <c r="P961" s="15"/>
      <c r="Q961" s="110"/>
      <c r="R961" s="15"/>
      <c r="S961" s="110"/>
      <c r="T961" s="15"/>
    </row>
    <row r="962" spans="8:20" x14ac:dyDescent="0.2">
      <c r="H962" s="15"/>
      <c r="I962" s="110"/>
      <c r="J962" s="15"/>
      <c r="K962" s="110"/>
      <c r="L962" s="15"/>
      <c r="M962" s="110"/>
      <c r="N962" s="15"/>
      <c r="O962" s="110"/>
      <c r="P962" s="15"/>
      <c r="Q962" s="110"/>
      <c r="R962" s="15"/>
      <c r="S962" s="110"/>
      <c r="T962" s="15"/>
    </row>
    <row r="963" spans="8:20" x14ac:dyDescent="0.2">
      <c r="H963" s="15"/>
      <c r="I963" s="110"/>
      <c r="J963" s="15"/>
      <c r="K963" s="110"/>
      <c r="L963" s="15"/>
      <c r="M963" s="110"/>
      <c r="N963" s="15"/>
      <c r="O963" s="110"/>
      <c r="P963" s="15"/>
      <c r="Q963" s="110"/>
      <c r="R963" s="15"/>
      <c r="S963" s="110"/>
      <c r="T963" s="15"/>
    </row>
    <row r="964" spans="8:20" x14ac:dyDescent="0.2">
      <c r="H964" s="15"/>
      <c r="I964" s="110"/>
      <c r="J964" s="15"/>
      <c r="K964" s="110"/>
      <c r="L964" s="15"/>
      <c r="M964" s="110"/>
      <c r="N964" s="15"/>
      <c r="O964" s="110"/>
      <c r="P964" s="15"/>
      <c r="Q964" s="110"/>
      <c r="R964" s="15"/>
      <c r="S964" s="110"/>
      <c r="T964" s="15"/>
    </row>
    <row r="965" spans="8:20" x14ac:dyDescent="0.2">
      <c r="H965" s="15"/>
      <c r="I965" s="110"/>
      <c r="J965" s="15"/>
      <c r="K965" s="110"/>
      <c r="L965" s="15"/>
      <c r="M965" s="110"/>
      <c r="N965" s="15"/>
      <c r="O965" s="110"/>
      <c r="P965" s="15"/>
      <c r="Q965" s="110"/>
      <c r="R965" s="15"/>
      <c r="S965" s="110"/>
      <c r="T965" s="15"/>
    </row>
    <row r="966" spans="8:20" x14ac:dyDescent="0.2">
      <c r="H966" s="15"/>
      <c r="I966" s="110"/>
      <c r="J966" s="15"/>
      <c r="K966" s="110"/>
      <c r="L966" s="15"/>
      <c r="M966" s="110"/>
      <c r="N966" s="15"/>
      <c r="O966" s="110"/>
      <c r="P966" s="15"/>
      <c r="Q966" s="110"/>
      <c r="R966" s="15"/>
      <c r="S966" s="110"/>
      <c r="T966" s="15"/>
    </row>
    <row r="967" spans="8:20" x14ac:dyDescent="0.2">
      <c r="H967" s="15"/>
      <c r="I967" s="110"/>
      <c r="J967" s="15"/>
      <c r="K967" s="110"/>
      <c r="L967" s="15"/>
      <c r="M967" s="110"/>
      <c r="N967" s="15"/>
      <c r="O967" s="110"/>
      <c r="P967" s="15"/>
      <c r="Q967" s="110"/>
      <c r="R967" s="15"/>
      <c r="S967" s="110"/>
      <c r="T967" s="15"/>
    </row>
    <row r="968" spans="8:20" x14ac:dyDescent="0.2">
      <c r="H968" s="15"/>
      <c r="I968" s="110"/>
      <c r="J968" s="15"/>
      <c r="K968" s="110"/>
      <c r="L968" s="15"/>
      <c r="M968" s="110"/>
      <c r="N968" s="15"/>
      <c r="O968" s="110"/>
      <c r="P968" s="15"/>
      <c r="Q968" s="110"/>
      <c r="R968" s="15"/>
      <c r="S968" s="110"/>
      <c r="T968" s="15"/>
    </row>
    <row r="969" spans="8:20" x14ac:dyDescent="0.2">
      <c r="H969" s="15"/>
      <c r="I969" s="110"/>
      <c r="J969" s="15"/>
      <c r="K969" s="110"/>
      <c r="L969" s="15"/>
      <c r="M969" s="110"/>
      <c r="N969" s="15"/>
      <c r="O969" s="110"/>
      <c r="P969" s="15"/>
      <c r="Q969" s="110"/>
      <c r="R969" s="15"/>
      <c r="S969" s="110"/>
      <c r="T969" s="15"/>
    </row>
    <row r="970" spans="8:20" x14ac:dyDescent="0.2">
      <c r="H970" s="15"/>
      <c r="I970" s="110"/>
      <c r="J970" s="15"/>
      <c r="K970" s="110"/>
      <c r="L970" s="15"/>
      <c r="M970" s="110"/>
      <c r="N970" s="15"/>
      <c r="O970" s="110"/>
      <c r="P970" s="15"/>
      <c r="Q970" s="110"/>
      <c r="R970" s="15"/>
      <c r="S970" s="110"/>
      <c r="T970" s="15"/>
    </row>
    <row r="971" spans="8:20" x14ac:dyDescent="0.2">
      <c r="H971" s="15"/>
      <c r="I971" s="110"/>
      <c r="J971" s="15"/>
      <c r="K971" s="110"/>
      <c r="L971" s="15"/>
      <c r="M971" s="110"/>
      <c r="N971" s="15"/>
      <c r="O971" s="110"/>
      <c r="P971" s="15"/>
      <c r="Q971" s="110"/>
      <c r="R971" s="15"/>
      <c r="S971" s="110"/>
      <c r="T971" s="15"/>
    </row>
    <row r="972" spans="8:20" x14ac:dyDescent="0.2">
      <c r="H972" s="15"/>
      <c r="I972" s="110"/>
      <c r="J972" s="15"/>
      <c r="K972" s="110"/>
      <c r="L972" s="15"/>
      <c r="M972" s="110"/>
      <c r="N972" s="15"/>
      <c r="O972" s="110"/>
      <c r="P972" s="15"/>
      <c r="Q972" s="110"/>
      <c r="R972" s="15"/>
      <c r="S972" s="110"/>
      <c r="T972" s="15"/>
    </row>
    <row r="973" spans="8:20" x14ac:dyDescent="0.2">
      <c r="H973" s="15"/>
      <c r="I973" s="110"/>
      <c r="J973" s="15"/>
      <c r="K973" s="110"/>
      <c r="L973" s="15"/>
      <c r="M973" s="110"/>
      <c r="N973" s="15"/>
      <c r="O973" s="110"/>
      <c r="P973" s="15"/>
      <c r="Q973" s="110"/>
      <c r="R973" s="15"/>
      <c r="S973" s="110"/>
      <c r="T973" s="15"/>
    </row>
    <row r="974" spans="8:20" x14ac:dyDescent="0.2">
      <c r="H974" s="15"/>
      <c r="I974" s="110"/>
      <c r="J974" s="15"/>
      <c r="K974" s="110"/>
      <c r="L974" s="15"/>
      <c r="M974" s="110"/>
      <c r="N974" s="15"/>
      <c r="O974" s="110"/>
      <c r="P974" s="15"/>
      <c r="Q974" s="110"/>
      <c r="R974" s="15"/>
      <c r="S974" s="110"/>
      <c r="T974" s="15"/>
    </row>
    <row r="975" spans="8:20" x14ac:dyDescent="0.2">
      <c r="H975" s="15"/>
      <c r="I975" s="110"/>
      <c r="J975" s="15"/>
      <c r="K975" s="110"/>
      <c r="L975" s="15"/>
      <c r="M975" s="110"/>
      <c r="N975" s="15"/>
      <c r="O975" s="110"/>
      <c r="P975" s="15"/>
      <c r="Q975" s="110"/>
      <c r="R975" s="15"/>
      <c r="S975" s="110"/>
      <c r="T975" s="15"/>
    </row>
    <row r="976" spans="8:20" x14ac:dyDescent="0.2">
      <c r="H976" s="15"/>
      <c r="I976" s="110"/>
      <c r="J976" s="15"/>
      <c r="K976" s="110"/>
      <c r="L976" s="15"/>
      <c r="M976" s="110"/>
      <c r="N976" s="15"/>
      <c r="O976" s="110"/>
      <c r="P976" s="15"/>
      <c r="Q976" s="110"/>
      <c r="R976" s="15"/>
      <c r="S976" s="110"/>
      <c r="T976" s="15"/>
    </row>
    <row r="977" spans="8:20" x14ac:dyDescent="0.2">
      <c r="H977" s="15"/>
      <c r="I977" s="110"/>
      <c r="J977" s="15"/>
      <c r="K977" s="110"/>
      <c r="L977" s="15"/>
      <c r="M977" s="110"/>
      <c r="N977" s="15"/>
      <c r="O977" s="110"/>
      <c r="P977" s="15"/>
      <c r="Q977" s="110"/>
      <c r="R977" s="15"/>
      <c r="S977" s="110"/>
      <c r="T977" s="15"/>
    </row>
    <row r="978" spans="8:20" x14ac:dyDescent="0.2">
      <c r="H978" s="15"/>
      <c r="I978" s="110"/>
      <c r="J978" s="15"/>
      <c r="K978" s="110"/>
      <c r="L978" s="15"/>
      <c r="M978" s="110"/>
      <c r="N978" s="15"/>
      <c r="O978" s="110"/>
      <c r="P978" s="15"/>
      <c r="Q978" s="110"/>
      <c r="R978" s="15"/>
      <c r="S978" s="110"/>
      <c r="T978" s="15"/>
    </row>
    <row r="979" spans="8:20" x14ac:dyDescent="0.2">
      <c r="H979" s="15"/>
      <c r="I979" s="110"/>
      <c r="J979" s="15"/>
      <c r="K979" s="110"/>
      <c r="L979" s="15"/>
      <c r="M979" s="110"/>
      <c r="N979" s="15"/>
      <c r="O979" s="110"/>
      <c r="P979" s="15"/>
      <c r="Q979" s="110"/>
      <c r="R979" s="15"/>
      <c r="S979" s="110"/>
      <c r="T979" s="15"/>
    </row>
    <row r="980" spans="8:20" x14ac:dyDescent="0.2">
      <c r="H980" s="15"/>
      <c r="I980" s="110"/>
      <c r="J980" s="15"/>
      <c r="K980" s="110"/>
      <c r="L980" s="15"/>
      <c r="M980" s="110"/>
      <c r="N980" s="15"/>
      <c r="O980" s="110"/>
      <c r="P980" s="15"/>
      <c r="Q980" s="110"/>
      <c r="R980" s="15"/>
      <c r="S980" s="110"/>
      <c r="T980" s="15"/>
    </row>
    <row r="981" spans="8:20" x14ac:dyDescent="0.2">
      <c r="H981" s="15"/>
      <c r="I981" s="110"/>
      <c r="J981" s="15"/>
      <c r="K981" s="110"/>
      <c r="L981" s="15"/>
      <c r="M981" s="110"/>
      <c r="N981" s="15"/>
      <c r="O981" s="110"/>
      <c r="P981" s="15"/>
      <c r="Q981" s="110"/>
      <c r="R981" s="15"/>
      <c r="S981" s="110"/>
      <c r="T981" s="15"/>
    </row>
    <row r="982" spans="8:20" x14ac:dyDescent="0.2">
      <c r="H982" s="15"/>
      <c r="I982" s="110"/>
      <c r="J982" s="15"/>
      <c r="K982" s="110"/>
      <c r="L982" s="15"/>
      <c r="M982" s="110"/>
      <c r="N982" s="15"/>
      <c r="O982" s="110"/>
      <c r="P982" s="15"/>
      <c r="Q982" s="110"/>
      <c r="R982" s="15"/>
      <c r="S982" s="110"/>
      <c r="T982" s="15"/>
    </row>
    <row r="983" spans="8:20" x14ac:dyDescent="0.2">
      <c r="H983" s="15"/>
      <c r="I983" s="110"/>
      <c r="J983" s="15"/>
      <c r="K983" s="110"/>
      <c r="L983" s="15"/>
      <c r="M983" s="110"/>
      <c r="N983" s="15"/>
      <c r="O983" s="110"/>
      <c r="P983" s="15"/>
      <c r="Q983" s="110"/>
      <c r="R983" s="15"/>
      <c r="S983" s="110"/>
      <c r="T983" s="15"/>
    </row>
    <row r="984" spans="8:20" x14ac:dyDescent="0.2">
      <c r="H984" s="15"/>
      <c r="I984" s="110"/>
      <c r="J984" s="15"/>
      <c r="K984" s="110"/>
      <c r="L984" s="15"/>
      <c r="M984" s="110"/>
      <c r="N984" s="15"/>
      <c r="O984" s="110"/>
      <c r="P984" s="15"/>
      <c r="Q984" s="110"/>
      <c r="R984" s="15"/>
      <c r="S984" s="110"/>
      <c r="T984" s="15"/>
    </row>
    <row r="985" spans="8:20" x14ac:dyDescent="0.2">
      <c r="H985" s="15"/>
      <c r="I985" s="110"/>
      <c r="J985" s="15"/>
      <c r="K985" s="110"/>
      <c r="L985" s="15"/>
      <c r="M985" s="110"/>
      <c r="N985" s="15"/>
      <c r="O985" s="110"/>
      <c r="P985" s="15"/>
      <c r="Q985" s="110"/>
      <c r="R985" s="15"/>
      <c r="S985" s="110"/>
      <c r="T985" s="15"/>
    </row>
    <row r="986" spans="8:20" x14ac:dyDescent="0.2">
      <c r="H986" s="15"/>
      <c r="I986" s="110"/>
      <c r="J986" s="15"/>
      <c r="K986" s="110"/>
      <c r="L986" s="15"/>
      <c r="M986" s="110"/>
      <c r="N986" s="15"/>
      <c r="O986" s="110"/>
      <c r="P986" s="15"/>
      <c r="Q986" s="110"/>
      <c r="R986" s="15"/>
      <c r="S986" s="110"/>
      <c r="T986" s="15"/>
    </row>
    <row r="987" spans="8:20" x14ac:dyDescent="0.2">
      <c r="H987" s="15"/>
      <c r="I987" s="110"/>
      <c r="J987" s="15"/>
      <c r="K987" s="110"/>
      <c r="L987" s="15"/>
      <c r="M987" s="110"/>
      <c r="N987" s="15"/>
      <c r="O987" s="110"/>
      <c r="P987" s="15"/>
      <c r="Q987" s="110"/>
      <c r="R987" s="15"/>
      <c r="S987" s="110"/>
      <c r="T987" s="15"/>
    </row>
    <row r="988" spans="8:20" x14ac:dyDescent="0.2">
      <c r="H988" s="15"/>
      <c r="I988" s="110"/>
      <c r="J988" s="15"/>
      <c r="K988" s="110"/>
      <c r="L988" s="15"/>
      <c r="M988" s="110"/>
      <c r="N988" s="15"/>
      <c r="O988" s="110"/>
      <c r="P988" s="15"/>
      <c r="Q988" s="110"/>
      <c r="R988" s="15"/>
      <c r="S988" s="110"/>
      <c r="T988" s="15"/>
    </row>
    <row r="989" spans="8:20" x14ac:dyDescent="0.2">
      <c r="H989" s="15"/>
      <c r="I989" s="110"/>
      <c r="J989" s="15"/>
      <c r="K989" s="110"/>
      <c r="L989" s="15"/>
      <c r="M989" s="110"/>
      <c r="N989" s="15"/>
      <c r="O989" s="110"/>
      <c r="P989" s="15"/>
      <c r="Q989" s="110"/>
      <c r="R989" s="15"/>
      <c r="S989" s="110"/>
      <c r="T989" s="15"/>
    </row>
    <row r="990" spans="8:20" x14ac:dyDescent="0.2">
      <c r="H990" s="15"/>
      <c r="I990" s="110"/>
      <c r="J990" s="15"/>
      <c r="K990" s="110"/>
      <c r="L990" s="15"/>
      <c r="M990" s="110"/>
      <c r="N990" s="15"/>
      <c r="O990" s="110"/>
      <c r="P990" s="15"/>
      <c r="Q990" s="110"/>
      <c r="R990" s="15"/>
      <c r="S990" s="110"/>
      <c r="T990" s="15"/>
    </row>
    <row r="991" spans="8:20" x14ac:dyDescent="0.2">
      <c r="H991" s="15"/>
      <c r="I991" s="110"/>
      <c r="J991" s="15"/>
      <c r="K991" s="110"/>
      <c r="L991" s="15"/>
      <c r="M991" s="110"/>
      <c r="N991" s="15"/>
      <c r="O991" s="110"/>
      <c r="P991" s="15"/>
      <c r="Q991" s="110"/>
      <c r="R991" s="15"/>
      <c r="S991" s="110"/>
      <c r="T991" s="15"/>
    </row>
    <row r="992" spans="8:20" x14ac:dyDescent="0.2">
      <c r="H992" s="15"/>
      <c r="I992" s="110"/>
      <c r="J992" s="15"/>
      <c r="K992" s="110"/>
      <c r="L992" s="15"/>
      <c r="M992" s="110"/>
      <c r="N992" s="15"/>
      <c r="O992" s="110"/>
      <c r="P992" s="15"/>
      <c r="Q992" s="110"/>
      <c r="R992" s="15"/>
      <c r="S992" s="110"/>
      <c r="T992" s="15"/>
    </row>
    <row r="993" spans="8:20" x14ac:dyDescent="0.2">
      <c r="H993" s="15"/>
      <c r="I993" s="110"/>
      <c r="J993" s="15"/>
      <c r="K993" s="110"/>
      <c r="L993" s="15"/>
      <c r="M993" s="110"/>
      <c r="N993" s="15"/>
      <c r="O993" s="110"/>
      <c r="P993" s="15"/>
      <c r="Q993" s="110"/>
      <c r="R993" s="15"/>
      <c r="S993" s="110"/>
      <c r="T993" s="15"/>
    </row>
    <row r="994" spans="8:20" x14ac:dyDescent="0.2">
      <c r="H994" s="15"/>
      <c r="I994" s="110"/>
      <c r="J994" s="15"/>
      <c r="K994" s="110"/>
      <c r="L994" s="15"/>
      <c r="M994" s="110"/>
      <c r="N994" s="15"/>
      <c r="O994" s="110"/>
      <c r="P994" s="15"/>
      <c r="Q994" s="110"/>
      <c r="R994" s="15"/>
      <c r="S994" s="110"/>
      <c r="T994" s="15"/>
    </row>
    <row r="995" spans="8:20" x14ac:dyDescent="0.2">
      <c r="H995" s="15"/>
      <c r="I995" s="110"/>
      <c r="J995" s="15"/>
      <c r="K995" s="110"/>
      <c r="L995" s="15"/>
      <c r="M995" s="110"/>
      <c r="N995" s="15"/>
      <c r="O995" s="110"/>
      <c r="P995" s="15"/>
      <c r="Q995" s="110"/>
      <c r="R995" s="15"/>
      <c r="S995" s="110"/>
      <c r="T995" s="15"/>
    </row>
    <row r="996" spans="8:20" x14ac:dyDescent="0.2">
      <c r="H996" s="15"/>
      <c r="I996" s="110"/>
      <c r="J996" s="15"/>
      <c r="K996" s="110"/>
      <c r="L996" s="15"/>
      <c r="M996" s="110"/>
      <c r="N996" s="15"/>
      <c r="O996" s="110"/>
      <c r="P996" s="15"/>
      <c r="Q996" s="110"/>
      <c r="R996" s="15"/>
      <c r="S996" s="110"/>
      <c r="T996" s="15"/>
    </row>
    <row r="997" spans="8:20" x14ac:dyDescent="0.2">
      <c r="H997" s="15"/>
      <c r="I997" s="110"/>
      <c r="J997" s="15"/>
      <c r="K997" s="110"/>
      <c r="L997" s="15"/>
      <c r="M997" s="110"/>
      <c r="N997" s="15"/>
      <c r="O997" s="110"/>
      <c r="P997" s="15"/>
      <c r="Q997" s="110"/>
      <c r="R997" s="15"/>
      <c r="S997" s="110"/>
      <c r="T997" s="15"/>
    </row>
    <row r="998" spans="8:20" x14ac:dyDescent="0.2">
      <c r="H998" s="15"/>
      <c r="I998" s="110"/>
      <c r="J998" s="15"/>
      <c r="K998" s="110"/>
      <c r="L998" s="15"/>
      <c r="M998" s="110"/>
      <c r="N998" s="15"/>
      <c r="O998" s="110"/>
      <c r="P998" s="15"/>
      <c r="Q998" s="110"/>
      <c r="R998" s="15"/>
      <c r="S998" s="110"/>
      <c r="T998" s="15"/>
    </row>
    <row r="999" spans="8:20" x14ac:dyDescent="0.2">
      <c r="H999" s="15"/>
      <c r="I999" s="110"/>
      <c r="J999" s="15"/>
      <c r="K999" s="110"/>
      <c r="L999" s="15"/>
      <c r="M999" s="110"/>
      <c r="N999" s="15"/>
      <c r="O999" s="110"/>
      <c r="P999" s="15"/>
      <c r="Q999" s="110"/>
      <c r="R999" s="15"/>
      <c r="S999" s="110"/>
      <c r="T999" s="15"/>
    </row>
    <row r="1000" spans="8:20" x14ac:dyDescent="0.2">
      <c r="H1000" s="15"/>
      <c r="I1000" s="110"/>
      <c r="J1000" s="15"/>
      <c r="K1000" s="110"/>
      <c r="L1000" s="15"/>
      <c r="M1000" s="110"/>
      <c r="N1000" s="15"/>
      <c r="O1000" s="110"/>
      <c r="P1000" s="15"/>
      <c r="Q1000" s="110"/>
      <c r="R1000" s="15"/>
      <c r="S1000" s="110"/>
      <c r="T1000" s="15"/>
    </row>
    <row r="1001" spans="8:20" x14ac:dyDescent="0.2">
      <c r="H1001" s="15"/>
      <c r="I1001" s="110"/>
      <c r="J1001" s="15"/>
      <c r="K1001" s="110"/>
      <c r="L1001" s="15"/>
      <c r="M1001" s="110"/>
      <c r="N1001" s="15"/>
      <c r="O1001" s="110"/>
      <c r="P1001" s="15"/>
      <c r="Q1001" s="110"/>
      <c r="R1001" s="15"/>
      <c r="S1001" s="110"/>
      <c r="T1001" s="15"/>
    </row>
    <row r="1002" spans="8:20" x14ac:dyDescent="0.2">
      <c r="H1002" s="15"/>
      <c r="I1002" s="110"/>
      <c r="J1002" s="15"/>
      <c r="K1002" s="110"/>
      <c r="L1002" s="15"/>
      <c r="M1002" s="110"/>
      <c r="N1002" s="15"/>
      <c r="O1002" s="110"/>
      <c r="P1002" s="15"/>
      <c r="Q1002" s="110"/>
      <c r="R1002" s="15"/>
      <c r="S1002" s="110"/>
      <c r="T1002" s="15"/>
    </row>
    <row r="1003" spans="8:20" x14ac:dyDescent="0.2">
      <c r="H1003" s="15"/>
      <c r="I1003" s="110"/>
      <c r="J1003" s="15"/>
      <c r="K1003" s="110"/>
      <c r="L1003" s="15"/>
      <c r="M1003" s="110"/>
      <c r="N1003" s="15"/>
      <c r="O1003" s="110"/>
      <c r="P1003" s="15"/>
      <c r="Q1003" s="110"/>
      <c r="R1003" s="15"/>
      <c r="S1003" s="110"/>
      <c r="T1003" s="15"/>
    </row>
    <row r="1004" spans="8:20" x14ac:dyDescent="0.2">
      <c r="H1004" s="15"/>
      <c r="I1004" s="110"/>
      <c r="J1004" s="15"/>
      <c r="K1004" s="110"/>
      <c r="L1004" s="15"/>
      <c r="M1004" s="110"/>
      <c r="N1004" s="15"/>
      <c r="O1004" s="110"/>
      <c r="P1004" s="15"/>
      <c r="Q1004" s="110"/>
      <c r="R1004" s="15"/>
      <c r="S1004" s="110"/>
      <c r="T1004" s="15"/>
    </row>
    <row r="1005" spans="8:20" x14ac:dyDescent="0.2">
      <c r="H1005" s="15"/>
      <c r="I1005" s="110"/>
      <c r="J1005" s="15"/>
      <c r="K1005" s="110"/>
      <c r="L1005" s="15"/>
      <c r="M1005" s="110"/>
      <c r="N1005" s="15"/>
      <c r="O1005" s="110"/>
      <c r="P1005" s="15"/>
      <c r="Q1005" s="110"/>
      <c r="R1005" s="15"/>
      <c r="S1005" s="110"/>
      <c r="T1005" s="15"/>
    </row>
    <row r="1006" spans="8:20" x14ac:dyDescent="0.2">
      <c r="H1006" s="15"/>
      <c r="I1006" s="110"/>
      <c r="J1006" s="15"/>
      <c r="K1006" s="110"/>
      <c r="L1006" s="15"/>
      <c r="M1006" s="110"/>
      <c r="N1006" s="15"/>
      <c r="O1006" s="110"/>
      <c r="P1006" s="15"/>
      <c r="Q1006" s="110"/>
      <c r="R1006" s="15"/>
      <c r="S1006" s="110"/>
      <c r="T1006" s="15"/>
    </row>
    <row r="1007" spans="8:20" x14ac:dyDescent="0.2">
      <c r="H1007" s="15"/>
      <c r="I1007" s="110"/>
      <c r="J1007" s="15"/>
      <c r="K1007" s="110"/>
      <c r="L1007" s="15"/>
      <c r="M1007" s="110"/>
      <c r="N1007" s="15"/>
      <c r="O1007" s="110"/>
      <c r="P1007" s="15"/>
      <c r="Q1007" s="110"/>
      <c r="R1007" s="15"/>
      <c r="S1007" s="110"/>
      <c r="T1007" s="15"/>
    </row>
    <row r="1008" spans="8:20" x14ac:dyDescent="0.2">
      <c r="H1008" s="15"/>
      <c r="I1008" s="110"/>
      <c r="J1008" s="15"/>
      <c r="K1008" s="110"/>
      <c r="L1008" s="15"/>
      <c r="M1008" s="110"/>
      <c r="N1008" s="15"/>
      <c r="O1008" s="110"/>
      <c r="P1008" s="15"/>
      <c r="Q1008" s="110"/>
      <c r="R1008" s="15"/>
      <c r="S1008" s="110"/>
      <c r="T1008" s="15"/>
    </row>
    <row r="1009" spans="8:20" x14ac:dyDescent="0.2">
      <c r="H1009" s="15"/>
      <c r="I1009" s="110"/>
      <c r="J1009" s="15"/>
      <c r="K1009" s="110"/>
      <c r="L1009" s="15"/>
      <c r="M1009" s="110"/>
      <c r="N1009" s="15"/>
      <c r="O1009" s="110"/>
      <c r="P1009" s="15"/>
      <c r="Q1009" s="110"/>
      <c r="R1009" s="15"/>
      <c r="S1009" s="110"/>
      <c r="T1009" s="15"/>
    </row>
    <row r="1010" spans="8:20" x14ac:dyDescent="0.2">
      <c r="H1010" s="15"/>
      <c r="I1010" s="110"/>
      <c r="J1010" s="15"/>
      <c r="K1010" s="110"/>
      <c r="L1010" s="15"/>
      <c r="M1010" s="110"/>
      <c r="N1010" s="15"/>
      <c r="O1010" s="110"/>
      <c r="P1010" s="15"/>
      <c r="Q1010" s="110"/>
      <c r="R1010" s="15"/>
      <c r="S1010" s="110"/>
      <c r="T1010" s="15"/>
    </row>
    <row r="1011" spans="8:20" x14ac:dyDescent="0.2">
      <c r="H1011" s="15"/>
      <c r="I1011" s="110"/>
      <c r="J1011" s="15"/>
      <c r="K1011" s="110"/>
      <c r="L1011" s="15"/>
      <c r="M1011" s="110"/>
      <c r="N1011" s="15"/>
      <c r="O1011" s="110"/>
      <c r="P1011" s="15"/>
      <c r="Q1011" s="110"/>
      <c r="R1011" s="15"/>
      <c r="S1011" s="110"/>
      <c r="T1011" s="15"/>
    </row>
  </sheetData>
  <mergeCells count="14">
    <mergeCell ref="B8:C8"/>
    <mergeCell ref="A2:U2"/>
    <mergeCell ref="A3:U3"/>
    <mergeCell ref="A4:N4"/>
    <mergeCell ref="B6:C6"/>
    <mergeCell ref="B7:C7"/>
    <mergeCell ref="B15:C15"/>
    <mergeCell ref="B17:C17"/>
    <mergeCell ref="B9:C9"/>
    <mergeCell ref="B10:C10"/>
    <mergeCell ref="B11:C11"/>
    <mergeCell ref="B12:C12"/>
    <mergeCell ref="B13:C13"/>
    <mergeCell ref="B14:C14"/>
  </mergeCells>
  <pageMargins left="0.19685039370078741" right="0.19685039370078741" top="0.27559055118110237" bottom="0.35433070866141736" header="0.15748031496062992" footer="0.23622047244094491"/>
  <pageSetup paperSize="8" scale="44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C7F0-3534-4576-9021-49656AE24A2B}">
  <sheetPr>
    <pageSetUpPr fitToPage="1"/>
  </sheetPr>
  <dimension ref="A2:X1036"/>
  <sheetViews>
    <sheetView tabSelected="1" view="pageBreakPreview" zoomScale="70" zoomScaleNormal="55" zoomScaleSheetLayoutView="70" workbookViewId="0">
      <pane xSplit="5" ySplit="6" topLeftCell="F92" activePane="bottomRight" state="frozen"/>
      <selection pane="topRight" activeCell="F1" sqref="F1"/>
      <selection pane="bottomLeft" activeCell="A7" sqref="A7"/>
      <selection pane="bottomRight" activeCell="M128" sqref="M128"/>
    </sheetView>
  </sheetViews>
  <sheetFormatPr defaultRowHeight="12.75" x14ac:dyDescent="0.2"/>
  <cols>
    <col min="1" max="1" width="55.42578125" style="1" customWidth="1"/>
    <col min="2" max="2" width="9.28515625" style="1" customWidth="1"/>
    <col min="3" max="3" width="17.7109375" style="1" customWidth="1"/>
    <col min="4" max="4" width="17.5703125" style="1" hidden="1" customWidth="1"/>
    <col min="5" max="5" width="2.5703125" style="1" hidden="1" customWidth="1"/>
    <col min="6" max="7" width="26" style="1" bestFit="1" customWidth="1"/>
    <col min="8" max="8" width="24.5703125" style="1" bestFit="1" customWidth="1"/>
    <col min="9" max="9" width="26" style="104" bestFit="1" customWidth="1"/>
    <col min="10" max="10" width="24.28515625" style="1" customWidth="1"/>
    <col min="11" max="11" width="25.5703125" style="104" customWidth="1"/>
    <col min="12" max="12" width="25.28515625" style="1" customWidth="1"/>
    <col min="13" max="13" width="25.28515625" style="104" customWidth="1"/>
    <col min="14" max="14" width="24.42578125" style="1" customWidth="1"/>
    <col min="15" max="15" width="25.28515625" style="104" customWidth="1"/>
    <col min="16" max="16" width="24.42578125" style="1" customWidth="1"/>
    <col min="17" max="17" width="25.28515625" style="104" customWidth="1"/>
    <col min="18" max="18" width="24.42578125" style="1" customWidth="1"/>
    <col min="19" max="19" width="25.28515625" style="104" customWidth="1"/>
    <col min="20" max="20" width="24.42578125" style="1" customWidth="1"/>
    <col min="21" max="21" width="25.28515625" style="104" customWidth="1"/>
    <col min="22" max="22" width="24.42578125" style="1" customWidth="1"/>
    <col min="23" max="23" width="23.7109375" style="1" customWidth="1"/>
    <col min="24" max="24" width="16.28515625" style="1" customWidth="1"/>
    <col min="25" max="16384" width="9.140625" style="1"/>
  </cols>
  <sheetData>
    <row r="2" spans="1:23" ht="22.5" x14ac:dyDescent="0.3">
      <c r="A2" s="157" t="s">
        <v>212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ht="30.75" customHeight="1" x14ac:dyDescent="0.3">
      <c r="A3" s="148" t="s">
        <v>145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</row>
    <row r="4" spans="1:23" ht="15.75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12"/>
      <c r="P4" s="112"/>
      <c r="Q4" s="112"/>
      <c r="R4" s="112"/>
      <c r="S4" s="112"/>
      <c r="T4" s="112"/>
      <c r="U4" s="112"/>
      <c r="V4" s="112"/>
    </row>
    <row r="5" spans="1:23" ht="18.75" x14ac:dyDescent="0.3">
      <c r="H5" s="18"/>
      <c r="J5" s="18"/>
      <c r="L5" s="18"/>
      <c r="M5" s="111"/>
      <c r="N5" s="72"/>
      <c r="O5" s="111"/>
      <c r="P5" s="111"/>
      <c r="Q5" s="111"/>
      <c r="R5" s="111"/>
      <c r="S5" s="111"/>
      <c r="T5" s="111"/>
      <c r="U5" s="111"/>
      <c r="V5" s="111"/>
      <c r="W5" s="77" t="s">
        <v>115</v>
      </c>
    </row>
    <row r="6" spans="1:23" ht="133.5" customHeight="1" x14ac:dyDescent="0.2">
      <c r="A6" s="85" t="s">
        <v>0</v>
      </c>
      <c r="B6" s="155"/>
      <c r="C6" s="156"/>
      <c r="D6" s="85" t="s">
        <v>3</v>
      </c>
      <c r="E6" s="85" t="s">
        <v>4</v>
      </c>
      <c r="F6" s="93" t="s">
        <v>147</v>
      </c>
      <c r="G6" s="93" t="s">
        <v>148</v>
      </c>
      <c r="H6" s="94" t="s">
        <v>5</v>
      </c>
      <c r="I6" s="100" t="s">
        <v>153</v>
      </c>
      <c r="J6" s="94" t="s">
        <v>5</v>
      </c>
      <c r="K6" s="100" t="s">
        <v>209</v>
      </c>
      <c r="L6" s="94" t="s">
        <v>5</v>
      </c>
      <c r="M6" s="100" t="s">
        <v>210</v>
      </c>
      <c r="N6" s="94" t="s">
        <v>5</v>
      </c>
      <c r="O6" s="100" t="s">
        <v>211</v>
      </c>
      <c r="P6" s="94" t="s">
        <v>5</v>
      </c>
      <c r="Q6" s="100" t="s">
        <v>215</v>
      </c>
      <c r="R6" s="94" t="s">
        <v>5</v>
      </c>
      <c r="S6" s="100" t="s">
        <v>216</v>
      </c>
      <c r="T6" s="94" t="s">
        <v>5</v>
      </c>
      <c r="U6" s="100" t="s">
        <v>217</v>
      </c>
      <c r="V6" s="94" t="s">
        <v>5</v>
      </c>
      <c r="W6" s="94" t="s">
        <v>146</v>
      </c>
    </row>
    <row r="7" spans="1:23" s="61" customFormat="1" ht="22.15" customHeight="1" x14ac:dyDescent="0.2">
      <c r="A7" s="84" t="s">
        <v>96</v>
      </c>
      <c r="B7" s="155" t="s">
        <v>177</v>
      </c>
      <c r="C7" s="156"/>
      <c r="D7" s="85"/>
      <c r="E7" s="85"/>
      <c r="F7" s="86">
        <v>103859319411.33</v>
      </c>
      <c r="G7" s="86">
        <v>103878750586.33</v>
      </c>
      <c r="H7" s="90">
        <f>G7-F7</f>
        <v>19431175</v>
      </c>
      <c r="I7" s="101">
        <v>104735729416.33</v>
      </c>
      <c r="J7" s="90">
        <f>I7-G7</f>
        <v>856978830</v>
      </c>
      <c r="K7" s="101">
        <v>104735755448.33</v>
      </c>
      <c r="L7" s="90">
        <f>K7-I7</f>
        <v>26032</v>
      </c>
      <c r="M7" s="101">
        <v>105962046280.33</v>
      </c>
      <c r="N7" s="90">
        <f>M7-K7</f>
        <v>1226290832</v>
      </c>
      <c r="O7" s="101">
        <v>106221295844.33</v>
      </c>
      <c r="P7" s="90">
        <f>O7-M7</f>
        <v>259249564</v>
      </c>
      <c r="Q7" s="101">
        <v>106768338776.33</v>
      </c>
      <c r="R7" s="90">
        <f>Q7-O7</f>
        <v>547042932</v>
      </c>
      <c r="S7" s="101">
        <v>108083690646.33</v>
      </c>
      <c r="T7" s="90">
        <f>S7-Q7</f>
        <v>1315351870</v>
      </c>
      <c r="U7" s="101">
        <v>108153065311.24001</v>
      </c>
      <c r="V7" s="90">
        <f>U7-S7</f>
        <v>69374664.910003662</v>
      </c>
      <c r="W7" s="90">
        <f>U7-F7</f>
        <v>4293745899.9100037</v>
      </c>
    </row>
    <row r="8" spans="1:23" s="61" customFormat="1" ht="22.5" customHeight="1" x14ac:dyDescent="0.2">
      <c r="A8" s="28" t="s">
        <v>97</v>
      </c>
      <c r="B8" s="158" t="s">
        <v>178</v>
      </c>
      <c r="C8" s="159"/>
      <c r="D8" s="85"/>
      <c r="E8" s="85"/>
      <c r="F8" s="86">
        <f>+F7-F32</f>
        <v>86205210331.330002</v>
      </c>
      <c r="G8" s="86">
        <f>+G7-G32</f>
        <v>86205210331.330002</v>
      </c>
      <c r="H8" s="90">
        <f>G8-F8</f>
        <v>0</v>
      </c>
      <c r="I8" s="101">
        <f>+I7-I32</f>
        <v>86705210331.330002</v>
      </c>
      <c r="J8" s="90">
        <f t="shared" ref="J8:J31" si="0">I8-G8</f>
        <v>500000000</v>
      </c>
      <c r="K8" s="101">
        <f>+K7-K32</f>
        <v>86705210331.330002</v>
      </c>
      <c r="L8" s="90">
        <f t="shared" ref="L8:L31" si="1">K8-I8</f>
        <v>0</v>
      </c>
      <c r="M8" s="101">
        <f>+M7-M32</f>
        <v>86705210331.330002</v>
      </c>
      <c r="N8" s="90">
        <f t="shared" ref="N8:N31" si="2">M8-K8</f>
        <v>0</v>
      </c>
      <c r="O8" s="101">
        <f>+O7-O32</f>
        <v>86705210331.330002</v>
      </c>
      <c r="P8" s="90">
        <f t="shared" ref="P8:P31" si="3">O8-M8</f>
        <v>0</v>
      </c>
      <c r="Q8" s="101">
        <f>+Q7-Q32</f>
        <v>87205210331.330002</v>
      </c>
      <c r="R8" s="90">
        <f t="shared" ref="R8:R31" si="4">Q8-O8</f>
        <v>500000000</v>
      </c>
      <c r="S8" s="101">
        <f>+S7-S32</f>
        <v>88705210331.330002</v>
      </c>
      <c r="T8" s="90">
        <f t="shared" ref="T8:T31" si="5">S8-Q8</f>
        <v>1500000000</v>
      </c>
      <c r="U8" s="101">
        <f>+U7-U32</f>
        <v>88707026339.330002</v>
      </c>
      <c r="V8" s="90">
        <f t="shared" ref="V8:V31" si="6">U8-S8</f>
        <v>1816008</v>
      </c>
      <c r="W8" s="90">
        <f t="shared" ref="W8:W71" si="7">U8-F8</f>
        <v>2501816008</v>
      </c>
    </row>
    <row r="9" spans="1:23" s="61" customFormat="1" ht="14.25" x14ac:dyDescent="0.2">
      <c r="A9" s="28" t="s">
        <v>154</v>
      </c>
      <c r="B9" s="158" t="s">
        <v>179</v>
      </c>
      <c r="C9" s="159"/>
      <c r="D9" s="85"/>
      <c r="E9" s="85"/>
      <c r="F9" s="86">
        <f>SUM(F10:F11)</f>
        <v>59043351585.550003</v>
      </c>
      <c r="G9" s="86">
        <f>SUM(G10:G11)</f>
        <v>56343351585.550003</v>
      </c>
      <c r="H9" s="90">
        <f t="shared" ref="H9:H31" si="8">G9-F9</f>
        <v>-2700000000</v>
      </c>
      <c r="I9" s="86">
        <f>SUM(I10:I11)</f>
        <v>56343351585.550003</v>
      </c>
      <c r="J9" s="90">
        <f t="shared" si="0"/>
        <v>0</v>
      </c>
      <c r="K9" s="86">
        <f>SUM(K10:K11)</f>
        <v>56343351585.550003</v>
      </c>
      <c r="L9" s="90">
        <f t="shared" si="1"/>
        <v>0</v>
      </c>
      <c r="M9" s="86">
        <f>SUM(M10:M11)</f>
        <v>56343351585.550003</v>
      </c>
      <c r="N9" s="90">
        <f t="shared" si="2"/>
        <v>0</v>
      </c>
      <c r="O9" s="86">
        <f>SUM(O10:O11)</f>
        <v>56343351585.550003</v>
      </c>
      <c r="P9" s="90">
        <f t="shared" si="3"/>
        <v>0</v>
      </c>
      <c r="Q9" s="86">
        <f>SUM(Q10:Q11)</f>
        <v>54139488082.550003</v>
      </c>
      <c r="R9" s="90">
        <f t="shared" si="4"/>
        <v>-2203863503</v>
      </c>
      <c r="S9" s="86">
        <f>SUM(S10:S11)</f>
        <v>54339488082.550003</v>
      </c>
      <c r="T9" s="90">
        <f t="shared" si="5"/>
        <v>200000000</v>
      </c>
      <c r="U9" s="86">
        <f>SUM(U10:U11)</f>
        <v>54339488082.550003</v>
      </c>
      <c r="V9" s="90">
        <f t="shared" si="6"/>
        <v>0</v>
      </c>
      <c r="W9" s="90">
        <f t="shared" si="7"/>
        <v>-4703863503</v>
      </c>
    </row>
    <row r="10" spans="1:23" ht="15" x14ac:dyDescent="0.2">
      <c r="A10" s="19" t="s">
        <v>155</v>
      </c>
      <c r="B10" s="164" t="s">
        <v>180</v>
      </c>
      <c r="C10" s="165"/>
      <c r="D10" s="99"/>
      <c r="E10" s="99"/>
      <c r="F10" s="53">
        <v>35700000000</v>
      </c>
      <c r="G10" s="113">
        <v>33000000000</v>
      </c>
      <c r="H10" s="87">
        <f t="shared" si="8"/>
        <v>-2700000000</v>
      </c>
      <c r="I10" s="113">
        <v>33000000000</v>
      </c>
      <c r="J10" s="87">
        <f t="shared" si="0"/>
        <v>0</v>
      </c>
      <c r="K10" s="113">
        <v>33000000000</v>
      </c>
      <c r="L10" s="87">
        <f t="shared" si="1"/>
        <v>0</v>
      </c>
      <c r="M10" s="113">
        <v>33000000000</v>
      </c>
      <c r="N10" s="87">
        <f t="shared" si="2"/>
        <v>0</v>
      </c>
      <c r="O10" s="113">
        <v>33000000000</v>
      </c>
      <c r="P10" s="87">
        <f t="shared" si="3"/>
        <v>0</v>
      </c>
      <c r="Q10" s="113">
        <v>30000000000</v>
      </c>
      <c r="R10" s="87">
        <f t="shared" si="4"/>
        <v>-3000000000</v>
      </c>
      <c r="S10" s="113">
        <v>30000000000</v>
      </c>
      <c r="T10" s="87">
        <f t="shared" si="5"/>
        <v>0</v>
      </c>
      <c r="U10" s="113">
        <v>30000000000</v>
      </c>
      <c r="V10" s="87">
        <f t="shared" si="6"/>
        <v>0</v>
      </c>
      <c r="W10" s="87">
        <f t="shared" si="7"/>
        <v>-5700000000</v>
      </c>
    </row>
    <row r="11" spans="1:23" ht="15" x14ac:dyDescent="0.2">
      <c r="A11" s="19" t="s">
        <v>156</v>
      </c>
      <c r="B11" s="164" t="s">
        <v>181</v>
      </c>
      <c r="C11" s="165"/>
      <c r="D11" s="99"/>
      <c r="E11" s="99"/>
      <c r="F11" s="53">
        <v>23343351585.549999</v>
      </c>
      <c r="G11" s="113">
        <v>23343351585.549999</v>
      </c>
      <c r="H11" s="87">
        <f t="shared" si="8"/>
        <v>0</v>
      </c>
      <c r="I11" s="113">
        <v>23343351585.549999</v>
      </c>
      <c r="J11" s="87">
        <f t="shared" si="0"/>
        <v>0</v>
      </c>
      <c r="K11" s="113">
        <v>23343351585.549999</v>
      </c>
      <c r="L11" s="87">
        <f t="shared" si="1"/>
        <v>0</v>
      </c>
      <c r="M11" s="113">
        <v>23343351585.549999</v>
      </c>
      <c r="N11" s="87">
        <f t="shared" si="2"/>
        <v>0</v>
      </c>
      <c r="O11" s="113">
        <v>23343351585.549999</v>
      </c>
      <c r="P11" s="87">
        <f t="shared" si="3"/>
        <v>0</v>
      </c>
      <c r="Q11" s="113">
        <v>24139488082.549999</v>
      </c>
      <c r="R11" s="87">
        <f t="shared" si="4"/>
        <v>796136497</v>
      </c>
      <c r="S11" s="113">
        <v>24339488082.549999</v>
      </c>
      <c r="T11" s="87">
        <f t="shared" si="5"/>
        <v>200000000</v>
      </c>
      <c r="U11" s="113">
        <v>24339488082.549999</v>
      </c>
      <c r="V11" s="87">
        <f t="shared" si="6"/>
        <v>0</v>
      </c>
      <c r="W11" s="87">
        <f t="shared" si="7"/>
        <v>996136497</v>
      </c>
    </row>
    <row r="12" spans="1:23" s="61" customFormat="1" ht="42.75" x14ac:dyDescent="0.2">
      <c r="A12" s="28" t="s">
        <v>157</v>
      </c>
      <c r="B12" s="158" t="s">
        <v>182</v>
      </c>
      <c r="C12" s="159"/>
      <c r="D12" s="85"/>
      <c r="E12" s="85"/>
      <c r="F12" s="86">
        <f>SUM(F13)</f>
        <v>13333110000</v>
      </c>
      <c r="G12" s="86">
        <f>SUM(G13)</f>
        <v>13333110000</v>
      </c>
      <c r="H12" s="90">
        <f t="shared" si="8"/>
        <v>0</v>
      </c>
      <c r="I12" s="86">
        <f>SUM(I13)</f>
        <v>13333110000</v>
      </c>
      <c r="J12" s="90">
        <f t="shared" si="0"/>
        <v>0</v>
      </c>
      <c r="K12" s="86">
        <f>SUM(K13)</f>
        <v>13333110000</v>
      </c>
      <c r="L12" s="90">
        <f t="shared" si="1"/>
        <v>0</v>
      </c>
      <c r="M12" s="86">
        <f>SUM(M13)</f>
        <v>13333110000</v>
      </c>
      <c r="N12" s="90">
        <f t="shared" si="2"/>
        <v>0</v>
      </c>
      <c r="O12" s="86">
        <f>SUM(O13)</f>
        <v>13333110000</v>
      </c>
      <c r="P12" s="90">
        <f t="shared" si="3"/>
        <v>0</v>
      </c>
      <c r="Q12" s="86">
        <f>SUM(Q13)</f>
        <v>13333110000</v>
      </c>
      <c r="R12" s="90">
        <f t="shared" si="4"/>
        <v>0</v>
      </c>
      <c r="S12" s="86">
        <f>SUM(S13)</f>
        <v>13333110000</v>
      </c>
      <c r="T12" s="90">
        <f t="shared" si="5"/>
        <v>0</v>
      </c>
      <c r="U12" s="86">
        <f>SUM(U13)</f>
        <v>13333110000</v>
      </c>
      <c r="V12" s="90">
        <f t="shared" si="6"/>
        <v>0</v>
      </c>
      <c r="W12" s="90">
        <f t="shared" si="7"/>
        <v>0</v>
      </c>
    </row>
    <row r="13" spans="1:23" ht="30" x14ac:dyDescent="0.2">
      <c r="A13" s="19" t="s">
        <v>158</v>
      </c>
      <c r="B13" s="164" t="s">
        <v>183</v>
      </c>
      <c r="C13" s="165"/>
      <c r="D13" s="99"/>
      <c r="E13" s="99"/>
      <c r="F13" s="53">
        <v>13333110000</v>
      </c>
      <c r="G13" s="113">
        <v>13333110000</v>
      </c>
      <c r="H13" s="87">
        <f t="shared" si="8"/>
        <v>0</v>
      </c>
      <c r="I13" s="113">
        <v>13333110000</v>
      </c>
      <c r="J13" s="87">
        <f t="shared" si="0"/>
        <v>0</v>
      </c>
      <c r="K13" s="113">
        <v>13333110000</v>
      </c>
      <c r="L13" s="87">
        <f t="shared" si="1"/>
        <v>0</v>
      </c>
      <c r="M13" s="113">
        <v>13333110000</v>
      </c>
      <c r="N13" s="87">
        <f t="shared" si="2"/>
        <v>0</v>
      </c>
      <c r="O13" s="113">
        <v>13333110000</v>
      </c>
      <c r="P13" s="87">
        <f t="shared" si="3"/>
        <v>0</v>
      </c>
      <c r="Q13" s="113">
        <v>13333110000</v>
      </c>
      <c r="R13" s="87">
        <f t="shared" si="4"/>
        <v>0</v>
      </c>
      <c r="S13" s="113">
        <v>13333110000</v>
      </c>
      <c r="T13" s="87">
        <f t="shared" si="5"/>
        <v>0</v>
      </c>
      <c r="U13" s="113">
        <v>13333110000</v>
      </c>
      <c r="V13" s="87">
        <f t="shared" si="6"/>
        <v>0</v>
      </c>
      <c r="W13" s="87">
        <f t="shared" si="7"/>
        <v>0</v>
      </c>
    </row>
    <row r="14" spans="1:23" s="61" customFormat="1" ht="14.25" x14ac:dyDescent="0.2">
      <c r="A14" s="28" t="s">
        <v>174</v>
      </c>
      <c r="B14" s="158" t="s">
        <v>184</v>
      </c>
      <c r="C14" s="159"/>
      <c r="D14" s="85"/>
      <c r="E14" s="85"/>
      <c r="F14" s="86">
        <f>SUM(F15:F16)</f>
        <v>3524000000</v>
      </c>
      <c r="G14" s="86">
        <f>SUM(G15:G16)</f>
        <v>3524000000</v>
      </c>
      <c r="H14" s="90">
        <f t="shared" si="8"/>
        <v>0</v>
      </c>
      <c r="I14" s="86">
        <f>SUM(I15:I16)</f>
        <v>3524000000</v>
      </c>
      <c r="J14" s="90">
        <f t="shared" si="0"/>
        <v>0</v>
      </c>
      <c r="K14" s="86">
        <f>SUM(K15:K16)</f>
        <v>3524000000</v>
      </c>
      <c r="L14" s="90">
        <f t="shared" si="1"/>
        <v>0</v>
      </c>
      <c r="M14" s="86">
        <f>SUM(M15:M16)</f>
        <v>3524000000</v>
      </c>
      <c r="N14" s="90">
        <f t="shared" si="2"/>
        <v>0</v>
      </c>
      <c r="O14" s="86">
        <f>SUM(O15:O16)</f>
        <v>3524000000</v>
      </c>
      <c r="P14" s="90">
        <f t="shared" si="3"/>
        <v>0</v>
      </c>
      <c r="Q14" s="86">
        <f>SUM(Q15:Q16)</f>
        <v>3524000000</v>
      </c>
      <c r="R14" s="90">
        <f t="shared" si="4"/>
        <v>0</v>
      </c>
      <c r="S14" s="86">
        <f>SUM(S15:S16)</f>
        <v>3524000000</v>
      </c>
      <c r="T14" s="90">
        <f t="shared" si="5"/>
        <v>0</v>
      </c>
      <c r="U14" s="86">
        <f>SUM(U15:U16)</f>
        <v>3524000000</v>
      </c>
      <c r="V14" s="90">
        <f t="shared" si="6"/>
        <v>0</v>
      </c>
      <c r="W14" s="90">
        <f t="shared" si="7"/>
        <v>0</v>
      </c>
    </row>
    <row r="15" spans="1:23" ht="30" x14ac:dyDescent="0.2">
      <c r="A15" s="19" t="s">
        <v>159</v>
      </c>
      <c r="B15" s="164" t="s">
        <v>185</v>
      </c>
      <c r="C15" s="165"/>
      <c r="D15" s="99"/>
      <c r="E15" s="99"/>
      <c r="F15" s="53">
        <v>3264000000</v>
      </c>
      <c r="G15" s="113">
        <v>3264000000</v>
      </c>
      <c r="H15" s="87">
        <f t="shared" si="8"/>
        <v>0</v>
      </c>
      <c r="I15" s="113">
        <v>3264000000</v>
      </c>
      <c r="J15" s="87">
        <f t="shared" si="0"/>
        <v>0</v>
      </c>
      <c r="K15" s="113">
        <v>3264000000</v>
      </c>
      <c r="L15" s="87">
        <f t="shared" si="1"/>
        <v>0</v>
      </c>
      <c r="M15" s="113">
        <v>3264000000</v>
      </c>
      <c r="N15" s="87">
        <f t="shared" si="2"/>
        <v>0</v>
      </c>
      <c r="O15" s="113">
        <v>3264000000</v>
      </c>
      <c r="P15" s="87">
        <f t="shared" si="3"/>
        <v>0</v>
      </c>
      <c r="Q15" s="113">
        <v>3264000000</v>
      </c>
      <c r="R15" s="87">
        <f t="shared" si="4"/>
        <v>0</v>
      </c>
      <c r="S15" s="113">
        <v>3264000000</v>
      </c>
      <c r="T15" s="87">
        <f t="shared" si="5"/>
        <v>0</v>
      </c>
      <c r="U15" s="113">
        <v>3264000000</v>
      </c>
      <c r="V15" s="87">
        <f t="shared" si="6"/>
        <v>0</v>
      </c>
      <c r="W15" s="87">
        <f t="shared" si="7"/>
        <v>0</v>
      </c>
    </row>
    <row r="16" spans="1:23" ht="15" x14ac:dyDescent="0.2">
      <c r="A16" s="19" t="s">
        <v>160</v>
      </c>
      <c r="B16" s="164" t="s">
        <v>186</v>
      </c>
      <c r="C16" s="165"/>
      <c r="D16" s="99"/>
      <c r="E16" s="99"/>
      <c r="F16" s="53">
        <v>260000000</v>
      </c>
      <c r="G16" s="113">
        <v>260000000</v>
      </c>
      <c r="H16" s="87">
        <f t="shared" si="8"/>
        <v>0</v>
      </c>
      <c r="I16" s="113">
        <v>260000000</v>
      </c>
      <c r="J16" s="87">
        <f t="shared" si="0"/>
        <v>0</v>
      </c>
      <c r="K16" s="113">
        <v>260000000</v>
      </c>
      <c r="L16" s="87">
        <f t="shared" si="1"/>
        <v>0</v>
      </c>
      <c r="M16" s="113">
        <v>260000000</v>
      </c>
      <c r="N16" s="87">
        <f t="shared" si="2"/>
        <v>0</v>
      </c>
      <c r="O16" s="113">
        <v>260000000</v>
      </c>
      <c r="P16" s="87">
        <f t="shared" si="3"/>
        <v>0</v>
      </c>
      <c r="Q16" s="113">
        <v>260000000</v>
      </c>
      <c r="R16" s="87">
        <f t="shared" si="4"/>
        <v>0</v>
      </c>
      <c r="S16" s="113">
        <v>260000000</v>
      </c>
      <c r="T16" s="87">
        <f t="shared" si="5"/>
        <v>0</v>
      </c>
      <c r="U16" s="113">
        <v>260000000</v>
      </c>
      <c r="V16" s="87">
        <f t="shared" si="6"/>
        <v>0</v>
      </c>
      <c r="W16" s="87">
        <f t="shared" si="7"/>
        <v>0</v>
      </c>
    </row>
    <row r="17" spans="1:23" s="61" customFormat="1" ht="14.25" x14ac:dyDescent="0.2">
      <c r="A17" s="28" t="s">
        <v>176</v>
      </c>
      <c r="B17" s="158" t="s">
        <v>187</v>
      </c>
      <c r="C17" s="159"/>
      <c r="D17" s="85"/>
      <c r="E17" s="85"/>
      <c r="F17" s="86">
        <f>SUM(F18:F20)</f>
        <v>7733000000</v>
      </c>
      <c r="G17" s="86">
        <f>SUM(G18:G20)</f>
        <v>7733000000</v>
      </c>
      <c r="H17" s="90">
        <f t="shared" si="8"/>
        <v>0</v>
      </c>
      <c r="I17" s="86">
        <f>SUM(I18:I20)</f>
        <v>7733000000</v>
      </c>
      <c r="J17" s="90">
        <f t="shared" si="0"/>
        <v>0</v>
      </c>
      <c r="K17" s="86">
        <f>SUM(K18:K20)</f>
        <v>7733000000</v>
      </c>
      <c r="L17" s="90">
        <f t="shared" si="1"/>
        <v>0</v>
      </c>
      <c r="M17" s="86">
        <f>SUM(M18:M20)</f>
        <v>7733000000</v>
      </c>
      <c r="N17" s="90">
        <f t="shared" si="2"/>
        <v>0</v>
      </c>
      <c r="O17" s="86">
        <f>SUM(O18:O20)</f>
        <v>7733000000</v>
      </c>
      <c r="P17" s="90">
        <f t="shared" si="3"/>
        <v>0</v>
      </c>
      <c r="Q17" s="86">
        <f>SUM(Q18:Q20)</f>
        <v>7733000000</v>
      </c>
      <c r="R17" s="90">
        <f t="shared" si="4"/>
        <v>0</v>
      </c>
      <c r="S17" s="86">
        <f>SUM(S18:S20)</f>
        <v>7733000000</v>
      </c>
      <c r="T17" s="90">
        <f t="shared" si="5"/>
        <v>0</v>
      </c>
      <c r="U17" s="86">
        <f>SUM(U18:U20)</f>
        <v>7733000000</v>
      </c>
      <c r="V17" s="90">
        <f t="shared" si="6"/>
        <v>0</v>
      </c>
      <c r="W17" s="90">
        <f t="shared" si="7"/>
        <v>0</v>
      </c>
    </row>
    <row r="18" spans="1:23" ht="15" x14ac:dyDescent="0.2">
      <c r="A18" s="19" t="s">
        <v>161</v>
      </c>
      <c r="B18" s="164" t="s">
        <v>188</v>
      </c>
      <c r="C18" s="165"/>
      <c r="D18" s="99"/>
      <c r="E18" s="99"/>
      <c r="F18" s="53">
        <v>6270000000</v>
      </c>
      <c r="G18" s="113">
        <v>6270000000</v>
      </c>
      <c r="H18" s="87">
        <f t="shared" si="8"/>
        <v>0</v>
      </c>
      <c r="I18" s="113">
        <v>6270000000</v>
      </c>
      <c r="J18" s="87">
        <f t="shared" si="0"/>
        <v>0</v>
      </c>
      <c r="K18" s="113">
        <v>6270000000</v>
      </c>
      <c r="L18" s="87">
        <f t="shared" si="1"/>
        <v>0</v>
      </c>
      <c r="M18" s="113">
        <v>6270000000</v>
      </c>
      <c r="N18" s="87">
        <f t="shared" si="2"/>
        <v>0</v>
      </c>
      <c r="O18" s="113">
        <v>6270000000</v>
      </c>
      <c r="P18" s="87">
        <f t="shared" si="3"/>
        <v>0</v>
      </c>
      <c r="Q18" s="113">
        <v>6270000000</v>
      </c>
      <c r="R18" s="87">
        <f t="shared" si="4"/>
        <v>0</v>
      </c>
      <c r="S18" s="113">
        <v>6270000000</v>
      </c>
      <c r="T18" s="87">
        <f t="shared" si="5"/>
        <v>0</v>
      </c>
      <c r="U18" s="113">
        <v>6270000000</v>
      </c>
      <c r="V18" s="87">
        <f t="shared" si="6"/>
        <v>0</v>
      </c>
      <c r="W18" s="87">
        <f t="shared" si="7"/>
        <v>0</v>
      </c>
    </row>
    <row r="19" spans="1:23" ht="15" x14ac:dyDescent="0.2">
      <c r="A19" s="19" t="s">
        <v>162</v>
      </c>
      <c r="B19" s="164" t="s">
        <v>189</v>
      </c>
      <c r="C19" s="165"/>
      <c r="D19" s="99"/>
      <c r="E19" s="99"/>
      <c r="F19" s="53">
        <v>1425000000</v>
      </c>
      <c r="G19" s="113">
        <v>1425000000</v>
      </c>
      <c r="H19" s="87">
        <f t="shared" si="8"/>
        <v>0</v>
      </c>
      <c r="I19" s="113">
        <v>1425000000</v>
      </c>
      <c r="J19" s="87">
        <f t="shared" si="0"/>
        <v>0</v>
      </c>
      <c r="K19" s="113">
        <v>1425000000</v>
      </c>
      <c r="L19" s="87">
        <f t="shared" si="1"/>
        <v>0</v>
      </c>
      <c r="M19" s="113">
        <v>1425000000</v>
      </c>
      <c r="N19" s="87">
        <f t="shared" si="2"/>
        <v>0</v>
      </c>
      <c r="O19" s="113">
        <v>1425000000</v>
      </c>
      <c r="P19" s="87">
        <f t="shared" si="3"/>
        <v>0</v>
      </c>
      <c r="Q19" s="113">
        <v>1425000000</v>
      </c>
      <c r="R19" s="87">
        <f t="shared" si="4"/>
        <v>0</v>
      </c>
      <c r="S19" s="113">
        <v>1425000000</v>
      </c>
      <c r="T19" s="87">
        <f t="shared" si="5"/>
        <v>0</v>
      </c>
      <c r="U19" s="113">
        <v>1425000000</v>
      </c>
      <c r="V19" s="87">
        <f t="shared" si="6"/>
        <v>0</v>
      </c>
      <c r="W19" s="87">
        <f t="shared" si="7"/>
        <v>0</v>
      </c>
    </row>
    <row r="20" spans="1:23" ht="15" x14ac:dyDescent="0.2">
      <c r="A20" s="19" t="s">
        <v>163</v>
      </c>
      <c r="B20" s="164" t="s">
        <v>190</v>
      </c>
      <c r="C20" s="165"/>
      <c r="D20" s="99"/>
      <c r="E20" s="99"/>
      <c r="F20" s="53">
        <v>38000000</v>
      </c>
      <c r="G20" s="113">
        <v>38000000</v>
      </c>
      <c r="H20" s="87">
        <f t="shared" si="8"/>
        <v>0</v>
      </c>
      <c r="I20" s="113">
        <v>38000000</v>
      </c>
      <c r="J20" s="87">
        <f t="shared" si="0"/>
        <v>0</v>
      </c>
      <c r="K20" s="113">
        <v>38000000</v>
      </c>
      <c r="L20" s="87">
        <f t="shared" si="1"/>
        <v>0</v>
      </c>
      <c r="M20" s="113">
        <v>38000000</v>
      </c>
      <c r="N20" s="87">
        <f t="shared" si="2"/>
        <v>0</v>
      </c>
      <c r="O20" s="113">
        <v>38000000</v>
      </c>
      <c r="P20" s="87">
        <f t="shared" si="3"/>
        <v>0</v>
      </c>
      <c r="Q20" s="113">
        <v>38000000</v>
      </c>
      <c r="R20" s="87">
        <f t="shared" si="4"/>
        <v>0</v>
      </c>
      <c r="S20" s="113">
        <v>38000000</v>
      </c>
      <c r="T20" s="87">
        <f t="shared" si="5"/>
        <v>0</v>
      </c>
      <c r="U20" s="113">
        <v>38000000</v>
      </c>
      <c r="V20" s="87">
        <f t="shared" si="6"/>
        <v>0</v>
      </c>
      <c r="W20" s="87">
        <f t="shared" si="7"/>
        <v>0</v>
      </c>
    </row>
    <row r="21" spans="1:23" s="61" customFormat="1" ht="33" customHeight="1" x14ac:dyDescent="0.2">
      <c r="A21" s="28" t="s">
        <v>164</v>
      </c>
      <c r="B21" s="158" t="s">
        <v>191</v>
      </c>
      <c r="C21" s="159"/>
      <c r="D21" s="85"/>
      <c r="E21" s="85"/>
      <c r="F21" s="86">
        <f>SUM(F22:F23)</f>
        <v>166275840</v>
      </c>
      <c r="G21" s="86">
        <f>SUM(G22:G23)</f>
        <v>166275840</v>
      </c>
      <c r="H21" s="90">
        <f t="shared" si="8"/>
        <v>0</v>
      </c>
      <c r="I21" s="86">
        <f>SUM(I22:I23)</f>
        <v>166275840</v>
      </c>
      <c r="J21" s="90">
        <f t="shared" si="0"/>
        <v>0</v>
      </c>
      <c r="K21" s="86">
        <f>SUM(K22:K23)</f>
        <v>166275840</v>
      </c>
      <c r="L21" s="90">
        <f t="shared" si="1"/>
        <v>0</v>
      </c>
      <c r="M21" s="86">
        <f>SUM(M22:M23)</f>
        <v>166275840</v>
      </c>
      <c r="N21" s="90">
        <f t="shared" si="2"/>
        <v>0</v>
      </c>
      <c r="O21" s="86">
        <f>SUM(O22:O23)</f>
        <v>166275840</v>
      </c>
      <c r="P21" s="90">
        <f t="shared" si="3"/>
        <v>0</v>
      </c>
      <c r="Q21" s="86">
        <f>SUM(Q22:Q23)</f>
        <v>166275840</v>
      </c>
      <c r="R21" s="90">
        <f t="shared" si="4"/>
        <v>0</v>
      </c>
      <c r="S21" s="86">
        <f>SUM(S22:S23)</f>
        <v>166275840</v>
      </c>
      <c r="T21" s="90">
        <f t="shared" si="5"/>
        <v>0</v>
      </c>
      <c r="U21" s="86">
        <f>SUM(U22:U23)</f>
        <v>166275840</v>
      </c>
      <c r="V21" s="90">
        <f t="shared" si="6"/>
        <v>0</v>
      </c>
      <c r="W21" s="90">
        <f t="shared" si="7"/>
        <v>0</v>
      </c>
    </row>
    <row r="22" spans="1:23" ht="15" x14ac:dyDescent="0.2">
      <c r="A22" s="19" t="s">
        <v>175</v>
      </c>
      <c r="B22" s="164" t="s">
        <v>192</v>
      </c>
      <c r="C22" s="165"/>
      <c r="D22" s="99"/>
      <c r="E22" s="99"/>
      <c r="F22" s="53">
        <v>166120840</v>
      </c>
      <c r="G22" s="113">
        <v>166120840</v>
      </c>
      <c r="H22" s="87">
        <f t="shared" si="8"/>
        <v>0</v>
      </c>
      <c r="I22" s="113">
        <v>166120840</v>
      </c>
      <c r="J22" s="87">
        <f t="shared" si="0"/>
        <v>0</v>
      </c>
      <c r="K22" s="113">
        <v>166120840</v>
      </c>
      <c r="L22" s="87">
        <f t="shared" si="1"/>
        <v>0</v>
      </c>
      <c r="M22" s="113">
        <v>166120840</v>
      </c>
      <c r="N22" s="87">
        <f t="shared" si="2"/>
        <v>0</v>
      </c>
      <c r="O22" s="113">
        <v>166120840</v>
      </c>
      <c r="P22" s="87">
        <f t="shared" si="3"/>
        <v>0</v>
      </c>
      <c r="Q22" s="113">
        <v>166120840</v>
      </c>
      <c r="R22" s="87">
        <f t="shared" si="4"/>
        <v>0</v>
      </c>
      <c r="S22" s="113">
        <v>166120840</v>
      </c>
      <c r="T22" s="87">
        <f t="shared" si="5"/>
        <v>0</v>
      </c>
      <c r="U22" s="113">
        <v>166120840</v>
      </c>
      <c r="V22" s="87">
        <f t="shared" si="6"/>
        <v>0</v>
      </c>
      <c r="W22" s="87">
        <f t="shared" si="7"/>
        <v>0</v>
      </c>
    </row>
    <row r="23" spans="1:23" ht="30" x14ac:dyDescent="0.2">
      <c r="A23" s="19" t="s">
        <v>165</v>
      </c>
      <c r="B23" s="164" t="s">
        <v>193</v>
      </c>
      <c r="C23" s="165"/>
      <c r="D23" s="99"/>
      <c r="E23" s="99"/>
      <c r="F23" s="53">
        <v>155000</v>
      </c>
      <c r="G23" s="113">
        <v>155000</v>
      </c>
      <c r="H23" s="87">
        <f t="shared" si="8"/>
        <v>0</v>
      </c>
      <c r="I23" s="113">
        <v>155000</v>
      </c>
      <c r="J23" s="87">
        <f t="shared" si="0"/>
        <v>0</v>
      </c>
      <c r="K23" s="113">
        <v>155000</v>
      </c>
      <c r="L23" s="87">
        <f t="shared" si="1"/>
        <v>0</v>
      </c>
      <c r="M23" s="113">
        <v>155000</v>
      </c>
      <c r="N23" s="87">
        <f t="shared" si="2"/>
        <v>0</v>
      </c>
      <c r="O23" s="113">
        <v>155000</v>
      </c>
      <c r="P23" s="87">
        <f t="shared" si="3"/>
        <v>0</v>
      </c>
      <c r="Q23" s="113">
        <v>155000</v>
      </c>
      <c r="R23" s="87">
        <f t="shared" si="4"/>
        <v>0</v>
      </c>
      <c r="S23" s="113">
        <v>155000</v>
      </c>
      <c r="T23" s="87">
        <f t="shared" si="5"/>
        <v>0</v>
      </c>
      <c r="U23" s="113">
        <v>155000</v>
      </c>
      <c r="V23" s="87">
        <f t="shared" si="6"/>
        <v>0</v>
      </c>
      <c r="W23" s="87">
        <f t="shared" si="7"/>
        <v>0</v>
      </c>
    </row>
    <row r="24" spans="1:23" s="61" customFormat="1" ht="14.25" x14ac:dyDescent="0.2">
      <c r="A24" s="28" t="s">
        <v>166</v>
      </c>
      <c r="B24" s="158" t="s">
        <v>194</v>
      </c>
      <c r="C24" s="159"/>
      <c r="D24" s="85"/>
      <c r="E24" s="85"/>
      <c r="F24" s="86">
        <v>134000000</v>
      </c>
      <c r="G24" s="101">
        <v>134000000</v>
      </c>
      <c r="H24" s="90">
        <f t="shared" si="8"/>
        <v>0</v>
      </c>
      <c r="I24" s="101">
        <v>134000000</v>
      </c>
      <c r="J24" s="90">
        <f t="shared" si="0"/>
        <v>0</v>
      </c>
      <c r="K24" s="101">
        <v>134000000</v>
      </c>
      <c r="L24" s="90">
        <f t="shared" si="1"/>
        <v>0</v>
      </c>
      <c r="M24" s="101">
        <v>134000000</v>
      </c>
      <c r="N24" s="90">
        <f t="shared" si="2"/>
        <v>0</v>
      </c>
      <c r="O24" s="101">
        <v>134000000</v>
      </c>
      <c r="P24" s="90">
        <f t="shared" si="3"/>
        <v>0</v>
      </c>
      <c r="Q24" s="101">
        <v>134000000</v>
      </c>
      <c r="R24" s="90">
        <f t="shared" si="4"/>
        <v>0</v>
      </c>
      <c r="S24" s="101">
        <v>134000000</v>
      </c>
      <c r="T24" s="90">
        <f t="shared" si="5"/>
        <v>0</v>
      </c>
      <c r="U24" s="101">
        <v>134000000</v>
      </c>
      <c r="V24" s="90">
        <f t="shared" si="6"/>
        <v>0</v>
      </c>
      <c r="W24" s="90">
        <f t="shared" si="7"/>
        <v>0</v>
      </c>
    </row>
    <row r="25" spans="1:23" s="61" customFormat="1" ht="42.75" x14ac:dyDescent="0.2">
      <c r="A25" s="136" t="s">
        <v>167</v>
      </c>
      <c r="B25" s="160" t="s">
        <v>195</v>
      </c>
      <c r="C25" s="161"/>
      <c r="D25" s="85"/>
      <c r="E25" s="85"/>
      <c r="F25" s="86">
        <v>1591342900</v>
      </c>
      <c r="G25" s="101">
        <v>4291342900</v>
      </c>
      <c r="H25" s="90">
        <f t="shared" si="8"/>
        <v>2700000000</v>
      </c>
      <c r="I25" s="101">
        <v>4791342900</v>
      </c>
      <c r="J25" s="90">
        <f t="shared" si="0"/>
        <v>500000000</v>
      </c>
      <c r="K25" s="101">
        <v>4791342900</v>
      </c>
      <c r="L25" s="90">
        <f t="shared" si="1"/>
        <v>0</v>
      </c>
      <c r="M25" s="101">
        <v>4791342900</v>
      </c>
      <c r="N25" s="90">
        <f t="shared" si="2"/>
        <v>0</v>
      </c>
      <c r="O25" s="101">
        <v>4791342900</v>
      </c>
      <c r="P25" s="90">
        <f t="shared" si="3"/>
        <v>0</v>
      </c>
      <c r="Q25" s="101">
        <v>7491342900</v>
      </c>
      <c r="R25" s="90">
        <f t="shared" si="4"/>
        <v>2700000000</v>
      </c>
      <c r="S25" s="101">
        <v>8790942900</v>
      </c>
      <c r="T25" s="90">
        <f t="shared" si="5"/>
        <v>1299600000</v>
      </c>
      <c r="U25" s="101">
        <v>8790942900</v>
      </c>
      <c r="V25" s="90">
        <f t="shared" si="6"/>
        <v>0</v>
      </c>
      <c r="W25" s="90">
        <f t="shared" si="7"/>
        <v>7199600000</v>
      </c>
    </row>
    <row r="26" spans="1:23" s="61" customFormat="1" ht="28.5" x14ac:dyDescent="0.2">
      <c r="A26" s="136" t="s">
        <v>168</v>
      </c>
      <c r="B26" s="160" t="s">
        <v>196</v>
      </c>
      <c r="C26" s="161"/>
      <c r="D26" s="85"/>
      <c r="E26" s="85"/>
      <c r="F26" s="86">
        <v>5745400</v>
      </c>
      <c r="G26" s="101">
        <v>5745400</v>
      </c>
      <c r="H26" s="90">
        <f t="shared" si="8"/>
        <v>0</v>
      </c>
      <c r="I26" s="101">
        <v>5745400</v>
      </c>
      <c r="J26" s="90">
        <f t="shared" si="0"/>
        <v>0</v>
      </c>
      <c r="K26" s="101">
        <v>5745400</v>
      </c>
      <c r="L26" s="90">
        <f t="shared" si="1"/>
        <v>0</v>
      </c>
      <c r="M26" s="101">
        <v>5745400</v>
      </c>
      <c r="N26" s="90">
        <f t="shared" si="2"/>
        <v>0</v>
      </c>
      <c r="O26" s="101">
        <v>5745400</v>
      </c>
      <c r="P26" s="90">
        <f t="shared" si="3"/>
        <v>0</v>
      </c>
      <c r="Q26" s="101">
        <v>5745400</v>
      </c>
      <c r="R26" s="90">
        <f t="shared" si="4"/>
        <v>0</v>
      </c>
      <c r="S26" s="101">
        <v>5745400</v>
      </c>
      <c r="T26" s="90">
        <f t="shared" si="5"/>
        <v>0</v>
      </c>
      <c r="U26" s="101">
        <v>5745400</v>
      </c>
      <c r="V26" s="90">
        <f t="shared" si="6"/>
        <v>0</v>
      </c>
      <c r="W26" s="90">
        <f t="shared" si="7"/>
        <v>0</v>
      </c>
    </row>
    <row r="27" spans="1:23" s="61" customFormat="1" ht="31.5" customHeight="1" x14ac:dyDescent="0.2">
      <c r="A27" s="136" t="s">
        <v>169</v>
      </c>
      <c r="B27" s="160" t="s">
        <v>197</v>
      </c>
      <c r="C27" s="161"/>
      <c r="D27" s="85"/>
      <c r="E27" s="85"/>
      <c r="F27" s="86">
        <v>116370477.27</v>
      </c>
      <c r="G27" s="101">
        <v>116370477.27</v>
      </c>
      <c r="H27" s="90">
        <f t="shared" si="8"/>
        <v>0</v>
      </c>
      <c r="I27" s="101">
        <v>116370477.27</v>
      </c>
      <c r="J27" s="90">
        <f t="shared" si="0"/>
        <v>0</v>
      </c>
      <c r="K27" s="101">
        <v>116370477.27</v>
      </c>
      <c r="L27" s="90">
        <f t="shared" si="1"/>
        <v>0</v>
      </c>
      <c r="M27" s="101">
        <v>116370477.27</v>
      </c>
      <c r="N27" s="90">
        <f t="shared" si="2"/>
        <v>0</v>
      </c>
      <c r="O27" s="101">
        <v>116370477.27</v>
      </c>
      <c r="P27" s="90">
        <f t="shared" si="3"/>
        <v>0</v>
      </c>
      <c r="Q27" s="101">
        <v>120233980.27</v>
      </c>
      <c r="R27" s="90">
        <f t="shared" si="4"/>
        <v>3863503</v>
      </c>
      <c r="S27" s="101">
        <v>120233980.27</v>
      </c>
      <c r="T27" s="90">
        <f t="shared" si="5"/>
        <v>0</v>
      </c>
      <c r="U27" s="101">
        <v>122049988.27</v>
      </c>
      <c r="V27" s="90">
        <f t="shared" si="6"/>
        <v>1816008</v>
      </c>
      <c r="W27" s="90">
        <f t="shared" si="7"/>
        <v>5679511</v>
      </c>
    </row>
    <row r="28" spans="1:23" s="61" customFormat="1" ht="28.5" x14ac:dyDescent="0.2">
      <c r="A28" s="136" t="s">
        <v>170</v>
      </c>
      <c r="B28" s="160" t="s">
        <v>198</v>
      </c>
      <c r="C28" s="161"/>
      <c r="D28" s="85"/>
      <c r="E28" s="85"/>
      <c r="F28" s="86">
        <v>5240200</v>
      </c>
      <c r="G28" s="101">
        <v>5240200</v>
      </c>
      <c r="H28" s="90">
        <f t="shared" si="8"/>
        <v>0</v>
      </c>
      <c r="I28" s="101">
        <v>5240200</v>
      </c>
      <c r="J28" s="90">
        <f t="shared" si="0"/>
        <v>0</v>
      </c>
      <c r="K28" s="101">
        <v>5240200</v>
      </c>
      <c r="L28" s="90">
        <f t="shared" si="1"/>
        <v>0</v>
      </c>
      <c r="M28" s="101">
        <v>5240200</v>
      </c>
      <c r="N28" s="90">
        <f t="shared" si="2"/>
        <v>0</v>
      </c>
      <c r="O28" s="101">
        <v>5240200</v>
      </c>
      <c r="P28" s="90">
        <f t="shared" si="3"/>
        <v>0</v>
      </c>
      <c r="Q28" s="101">
        <v>5240200</v>
      </c>
      <c r="R28" s="90">
        <f t="shared" si="4"/>
        <v>0</v>
      </c>
      <c r="S28" s="101">
        <v>5240200</v>
      </c>
      <c r="T28" s="90">
        <f t="shared" si="5"/>
        <v>0</v>
      </c>
      <c r="U28" s="101">
        <v>5240200</v>
      </c>
      <c r="V28" s="90">
        <f t="shared" si="6"/>
        <v>0</v>
      </c>
      <c r="W28" s="90">
        <f t="shared" si="7"/>
        <v>0</v>
      </c>
    </row>
    <row r="29" spans="1:23" s="61" customFormat="1" ht="14.25" x14ac:dyDescent="0.2">
      <c r="A29" s="136" t="s">
        <v>171</v>
      </c>
      <c r="B29" s="160" t="s">
        <v>199</v>
      </c>
      <c r="C29" s="161"/>
      <c r="D29" s="85"/>
      <c r="E29" s="85"/>
      <c r="F29" s="86">
        <v>7924600</v>
      </c>
      <c r="G29" s="101">
        <v>7924600</v>
      </c>
      <c r="H29" s="90">
        <f t="shared" si="8"/>
        <v>0</v>
      </c>
      <c r="I29" s="101">
        <v>7924600</v>
      </c>
      <c r="J29" s="90">
        <f t="shared" si="0"/>
        <v>0</v>
      </c>
      <c r="K29" s="101">
        <v>7924600</v>
      </c>
      <c r="L29" s="90">
        <f t="shared" si="1"/>
        <v>0</v>
      </c>
      <c r="M29" s="101">
        <v>7924600</v>
      </c>
      <c r="N29" s="90">
        <f t="shared" si="2"/>
        <v>0</v>
      </c>
      <c r="O29" s="101">
        <v>7924600</v>
      </c>
      <c r="P29" s="90">
        <f t="shared" si="3"/>
        <v>0</v>
      </c>
      <c r="Q29" s="101">
        <v>7924600</v>
      </c>
      <c r="R29" s="90">
        <f t="shared" si="4"/>
        <v>0</v>
      </c>
      <c r="S29" s="101">
        <v>7924600</v>
      </c>
      <c r="T29" s="90">
        <f t="shared" si="5"/>
        <v>0</v>
      </c>
      <c r="U29" s="101">
        <v>7924600</v>
      </c>
      <c r="V29" s="90">
        <f t="shared" si="6"/>
        <v>0</v>
      </c>
      <c r="W29" s="90">
        <f t="shared" si="7"/>
        <v>0</v>
      </c>
    </row>
    <row r="30" spans="1:23" s="61" customFormat="1" ht="15" customHeight="1" x14ac:dyDescent="0.2">
      <c r="A30" s="136" t="s">
        <v>172</v>
      </c>
      <c r="B30" s="160" t="s">
        <v>200</v>
      </c>
      <c r="C30" s="161"/>
      <c r="D30" s="85"/>
      <c r="E30" s="85"/>
      <c r="F30" s="86">
        <v>544355528.50999999</v>
      </c>
      <c r="G30" s="101">
        <v>544355528.50999999</v>
      </c>
      <c r="H30" s="90">
        <f t="shared" si="8"/>
        <v>0</v>
      </c>
      <c r="I30" s="101">
        <v>544355528.50999999</v>
      </c>
      <c r="J30" s="90">
        <f t="shared" si="0"/>
        <v>0</v>
      </c>
      <c r="K30" s="101">
        <v>544355528.50999999</v>
      </c>
      <c r="L30" s="90">
        <f t="shared" si="1"/>
        <v>0</v>
      </c>
      <c r="M30" s="101">
        <v>544355528.50999999</v>
      </c>
      <c r="N30" s="90">
        <f>M30-K30</f>
        <v>0</v>
      </c>
      <c r="O30" s="101">
        <v>544355528.50999999</v>
      </c>
      <c r="P30" s="90">
        <f t="shared" si="3"/>
        <v>0</v>
      </c>
      <c r="Q30" s="101">
        <v>544355528.50999999</v>
      </c>
      <c r="R30" s="90">
        <f t="shared" si="4"/>
        <v>0</v>
      </c>
      <c r="S30" s="101">
        <v>544755528.50999999</v>
      </c>
      <c r="T30" s="90">
        <f t="shared" si="5"/>
        <v>400000</v>
      </c>
      <c r="U30" s="101">
        <v>544755528.50999999</v>
      </c>
      <c r="V30" s="90">
        <f t="shared" si="6"/>
        <v>0</v>
      </c>
      <c r="W30" s="90">
        <f t="shared" si="7"/>
        <v>400000</v>
      </c>
    </row>
    <row r="31" spans="1:23" s="61" customFormat="1" ht="14.25" x14ac:dyDescent="0.2">
      <c r="A31" s="136" t="s">
        <v>173</v>
      </c>
      <c r="B31" s="160" t="s">
        <v>201</v>
      </c>
      <c r="C31" s="161"/>
      <c r="D31" s="85"/>
      <c r="E31" s="85"/>
      <c r="F31" s="86">
        <v>493800</v>
      </c>
      <c r="G31" s="101">
        <v>493800</v>
      </c>
      <c r="H31" s="90">
        <f t="shared" si="8"/>
        <v>0</v>
      </c>
      <c r="I31" s="101">
        <v>493800</v>
      </c>
      <c r="J31" s="90">
        <f t="shared" si="0"/>
        <v>0</v>
      </c>
      <c r="K31" s="101">
        <v>493800</v>
      </c>
      <c r="L31" s="90">
        <f t="shared" si="1"/>
        <v>0</v>
      </c>
      <c r="M31" s="101">
        <v>493800</v>
      </c>
      <c r="N31" s="90">
        <f t="shared" si="2"/>
        <v>0</v>
      </c>
      <c r="O31" s="101">
        <v>493800</v>
      </c>
      <c r="P31" s="90">
        <f t="shared" si="3"/>
        <v>0</v>
      </c>
      <c r="Q31" s="101">
        <v>493800</v>
      </c>
      <c r="R31" s="90">
        <f t="shared" si="4"/>
        <v>0</v>
      </c>
      <c r="S31" s="101">
        <v>493800</v>
      </c>
      <c r="T31" s="90">
        <f t="shared" si="5"/>
        <v>0</v>
      </c>
      <c r="U31" s="101">
        <v>493800</v>
      </c>
      <c r="V31" s="90">
        <f t="shared" si="6"/>
        <v>0</v>
      </c>
      <c r="W31" s="90">
        <f t="shared" si="7"/>
        <v>0</v>
      </c>
    </row>
    <row r="32" spans="1:23" s="61" customFormat="1" ht="25.15" customHeight="1" x14ac:dyDescent="0.2">
      <c r="A32" s="28" t="s">
        <v>98</v>
      </c>
      <c r="B32" s="160" t="s">
        <v>202</v>
      </c>
      <c r="C32" s="161"/>
      <c r="D32" s="85"/>
      <c r="E32" s="85"/>
      <c r="F32" s="86">
        <f t="shared" ref="F32:T32" si="9">F33+F38+F39</f>
        <v>17654109080</v>
      </c>
      <c r="G32" s="86">
        <f t="shared" si="9"/>
        <v>17673540255</v>
      </c>
      <c r="H32" s="90">
        <f t="shared" si="9"/>
        <v>19431175</v>
      </c>
      <c r="I32" s="86">
        <f t="shared" si="9"/>
        <v>18030519085</v>
      </c>
      <c r="J32" s="90">
        <f t="shared" si="9"/>
        <v>356978830</v>
      </c>
      <c r="K32" s="86">
        <f t="shared" si="9"/>
        <v>18030545117</v>
      </c>
      <c r="L32" s="90">
        <f t="shared" si="9"/>
        <v>26032</v>
      </c>
      <c r="M32" s="86">
        <f t="shared" si="9"/>
        <v>19256835949</v>
      </c>
      <c r="N32" s="90">
        <f t="shared" si="9"/>
        <v>1226290832</v>
      </c>
      <c r="O32" s="86">
        <f t="shared" si="9"/>
        <v>19516085513</v>
      </c>
      <c r="P32" s="90">
        <f t="shared" si="9"/>
        <v>259249564</v>
      </c>
      <c r="Q32" s="86">
        <f t="shared" si="9"/>
        <v>19563128445</v>
      </c>
      <c r="R32" s="90">
        <f t="shared" si="9"/>
        <v>47042932</v>
      </c>
      <c r="S32" s="86">
        <f t="shared" si="9"/>
        <v>19378480315</v>
      </c>
      <c r="T32" s="90">
        <f t="shared" si="9"/>
        <v>-184648130</v>
      </c>
      <c r="U32" s="86">
        <f t="shared" ref="U32" si="10">U33+U38+U39</f>
        <v>19446038971.91</v>
      </c>
      <c r="V32" s="90">
        <f>V33+V38+V39</f>
        <v>67558656.910000086</v>
      </c>
      <c r="W32" s="90">
        <f t="shared" si="7"/>
        <v>1791929891.9099998</v>
      </c>
    </row>
    <row r="33" spans="1:24" s="61" customFormat="1" ht="43.5" customHeight="1" x14ac:dyDescent="0.2">
      <c r="A33" s="28" t="s">
        <v>213</v>
      </c>
      <c r="B33" s="160" t="s">
        <v>214</v>
      </c>
      <c r="C33" s="161"/>
      <c r="D33" s="85"/>
      <c r="E33" s="85"/>
      <c r="F33" s="86">
        <f t="shared" ref="F33:T33" si="11">SUM(F34:F37)</f>
        <v>17654109080</v>
      </c>
      <c r="G33" s="86">
        <f t="shared" si="11"/>
        <v>17654161160</v>
      </c>
      <c r="H33" s="90">
        <f t="shared" si="11"/>
        <v>52080</v>
      </c>
      <c r="I33" s="86">
        <f t="shared" si="11"/>
        <v>17995139990</v>
      </c>
      <c r="J33" s="90">
        <f t="shared" si="11"/>
        <v>340978830</v>
      </c>
      <c r="K33" s="86">
        <f t="shared" si="11"/>
        <v>17995166022</v>
      </c>
      <c r="L33" s="90">
        <f t="shared" si="11"/>
        <v>26032</v>
      </c>
      <c r="M33" s="86">
        <f t="shared" si="11"/>
        <v>19221456854</v>
      </c>
      <c r="N33" s="90">
        <f t="shared" si="11"/>
        <v>1226290832</v>
      </c>
      <c r="O33" s="86">
        <f t="shared" si="11"/>
        <v>19480706418</v>
      </c>
      <c r="P33" s="90">
        <f t="shared" si="11"/>
        <v>259249564</v>
      </c>
      <c r="Q33" s="86">
        <f t="shared" si="11"/>
        <v>19527749350</v>
      </c>
      <c r="R33" s="90">
        <f t="shared" si="11"/>
        <v>47042932</v>
      </c>
      <c r="S33" s="86">
        <f t="shared" si="11"/>
        <v>19343101220</v>
      </c>
      <c r="T33" s="90">
        <f t="shared" si="11"/>
        <v>-184648130</v>
      </c>
      <c r="U33" s="86">
        <f t="shared" ref="U33:V33" si="12">SUM(U34:U37)</f>
        <v>19410659876.91</v>
      </c>
      <c r="V33" s="90">
        <f t="shared" si="12"/>
        <v>67558656.910000086</v>
      </c>
      <c r="W33" s="90">
        <f t="shared" si="7"/>
        <v>1756550796.9099998</v>
      </c>
    </row>
    <row r="34" spans="1:24" ht="34.15" customHeight="1" x14ac:dyDescent="0.2">
      <c r="A34" s="48" t="s">
        <v>99</v>
      </c>
      <c r="B34" s="162" t="s">
        <v>203</v>
      </c>
      <c r="C34" s="163"/>
      <c r="D34" s="99"/>
      <c r="E34" s="99"/>
      <c r="F34" s="95"/>
      <c r="G34" s="53">
        <f t="shared" ref="G34:G39" si="13">+F34</f>
        <v>0</v>
      </c>
      <c r="H34" s="87">
        <f>G34-F34</f>
        <v>0</v>
      </c>
      <c r="I34" s="113">
        <f>+G34</f>
        <v>0</v>
      </c>
      <c r="J34" s="87">
        <f>I34-G34</f>
        <v>0</v>
      </c>
      <c r="K34" s="113">
        <f>+I34</f>
        <v>0</v>
      </c>
      <c r="L34" s="87">
        <f>K34-I34</f>
        <v>0</v>
      </c>
      <c r="M34" s="113">
        <f>+K34</f>
        <v>0</v>
      </c>
      <c r="N34" s="87">
        <f t="shared" ref="N34:T39" si="14">M34-K34</f>
        <v>0</v>
      </c>
      <c r="O34" s="113">
        <f>+M34+184997800</f>
        <v>184997800</v>
      </c>
      <c r="P34" s="87">
        <f t="shared" si="14"/>
        <v>184997800</v>
      </c>
      <c r="Q34" s="113">
        <f>+O34</f>
        <v>184997800</v>
      </c>
      <c r="R34" s="87">
        <f t="shared" si="14"/>
        <v>0</v>
      </c>
      <c r="S34" s="113">
        <f>+Q34</f>
        <v>184997800</v>
      </c>
      <c r="T34" s="87">
        <f t="shared" si="14"/>
        <v>0</v>
      </c>
      <c r="U34" s="113">
        <f>+S34+10000000</f>
        <v>194997800</v>
      </c>
      <c r="V34" s="87">
        <f t="shared" ref="V34" si="15">U34-S34</f>
        <v>10000000</v>
      </c>
      <c r="W34" s="87">
        <f t="shared" si="7"/>
        <v>194997800</v>
      </c>
    </row>
    <row r="35" spans="1:24" ht="37.15" customHeight="1" x14ac:dyDescent="0.2">
      <c r="A35" s="49" t="s">
        <v>100</v>
      </c>
      <c r="B35" s="162" t="s">
        <v>204</v>
      </c>
      <c r="C35" s="163"/>
      <c r="D35" s="99"/>
      <c r="E35" s="99"/>
      <c r="F35" s="53">
        <v>14561683900</v>
      </c>
      <c r="G35" s="53">
        <f t="shared" si="13"/>
        <v>14561683900</v>
      </c>
      <c r="H35" s="87">
        <f t="shared" ref="H35:H39" si="16">G35-F35</f>
        <v>0</v>
      </c>
      <c r="I35" s="113">
        <f>+G35+327900000</f>
        <v>14889583900</v>
      </c>
      <c r="J35" s="87">
        <f t="shared" ref="J35:J39" si="17">I35-G35</f>
        <v>327900000</v>
      </c>
      <c r="K35" s="113">
        <f>+I35</f>
        <v>14889583900</v>
      </c>
      <c r="L35" s="87">
        <f>K35-I35</f>
        <v>0</v>
      </c>
      <c r="M35" s="113">
        <f>+K35+1226264800</f>
        <v>16115848700</v>
      </c>
      <c r="N35" s="87">
        <f t="shared" si="14"/>
        <v>1226264800</v>
      </c>
      <c r="O35" s="113">
        <f>+M35+30457200</f>
        <v>16146305900</v>
      </c>
      <c r="P35" s="87">
        <f t="shared" si="14"/>
        <v>30457200</v>
      </c>
      <c r="Q35" s="113">
        <f>+O35+46166900</f>
        <v>16192472800</v>
      </c>
      <c r="R35" s="87">
        <f t="shared" si="14"/>
        <v>46166900</v>
      </c>
      <c r="S35" s="113">
        <f>+Q35-370848300</f>
        <v>15821624500</v>
      </c>
      <c r="T35" s="87">
        <f>S35-Q35</f>
        <v>-370848300</v>
      </c>
      <c r="U35" s="113">
        <f>+S35+64072100</f>
        <v>15885696600</v>
      </c>
      <c r="V35" s="87">
        <f>U35-S35</f>
        <v>64072100</v>
      </c>
      <c r="W35" s="87">
        <f t="shared" si="7"/>
        <v>1324012700</v>
      </c>
    </row>
    <row r="36" spans="1:24" ht="37.9" customHeight="1" x14ac:dyDescent="0.2">
      <c r="A36" s="49" t="s">
        <v>101</v>
      </c>
      <c r="B36" s="162" t="s">
        <v>205</v>
      </c>
      <c r="C36" s="163"/>
      <c r="D36" s="99"/>
      <c r="E36" s="99"/>
      <c r="F36" s="53">
        <v>2074624900</v>
      </c>
      <c r="G36" s="53">
        <f t="shared" si="13"/>
        <v>2074624900</v>
      </c>
      <c r="H36" s="87">
        <f t="shared" si="16"/>
        <v>0</v>
      </c>
      <c r="I36" s="113">
        <f>+G36+8999298</f>
        <v>2083624198</v>
      </c>
      <c r="J36" s="87">
        <f t="shared" si="17"/>
        <v>8999298</v>
      </c>
      <c r="K36" s="113">
        <f>+I36</f>
        <v>2083624198</v>
      </c>
      <c r="L36" s="87">
        <f t="shared" ref="L36:L39" si="18">K36-I36</f>
        <v>0</v>
      </c>
      <c r="M36" s="113">
        <f>+K36</f>
        <v>2083624198</v>
      </c>
      <c r="N36" s="87">
        <f t="shared" si="14"/>
        <v>0</v>
      </c>
      <c r="O36" s="113">
        <f>+M36+43604200</f>
        <v>2127228398</v>
      </c>
      <c r="P36" s="87">
        <f t="shared" si="14"/>
        <v>43604200</v>
      </c>
      <c r="Q36" s="113">
        <f>+O36</f>
        <v>2127228398</v>
      </c>
      <c r="R36" s="87">
        <f t="shared" si="14"/>
        <v>0</v>
      </c>
      <c r="S36" s="113">
        <f>+Q36-39416700</f>
        <v>2087811698</v>
      </c>
      <c r="T36" s="87">
        <f t="shared" si="14"/>
        <v>-39416700</v>
      </c>
      <c r="U36" s="113">
        <f>+S36-13270100</f>
        <v>2074541598</v>
      </c>
      <c r="V36" s="87">
        <f t="shared" ref="V36:V38" si="19">U36-S36</f>
        <v>-13270100</v>
      </c>
      <c r="W36" s="87">
        <f t="shared" si="7"/>
        <v>-83302</v>
      </c>
    </row>
    <row r="37" spans="1:24" ht="15" x14ac:dyDescent="0.2">
      <c r="A37" s="49" t="s">
        <v>102</v>
      </c>
      <c r="B37" s="162" t="s">
        <v>206</v>
      </c>
      <c r="C37" s="163"/>
      <c r="D37" s="99"/>
      <c r="E37" s="99"/>
      <c r="F37" s="53">
        <v>1017800280</v>
      </c>
      <c r="G37" s="53">
        <f>+F37+52080</f>
        <v>1017852360</v>
      </c>
      <c r="H37" s="87">
        <f>G37-F37</f>
        <v>52080</v>
      </c>
      <c r="I37" s="113">
        <f>+G37+4079532</f>
        <v>1021931892</v>
      </c>
      <c r="J37" s="87">
        <f t="shared" si="17"/>
        <v>4079532</v>
      </c>
      <c r="K37" s="113">
        <f>+I37+26032</f>
        <v>1021957924</v>
      </c>
      <c r="L37" s="87">
        <f t="shared" si="18"/>
        <v>26032</v>
      </c>
      <c r="M37" s="113">
        <f>+K37+26032</f>
        <v>1021983956</v>
      </c>
      <c r="N37" s="87">
        <f t="shared" si="14"/>
        <v>26032</v>
      </c>
      <c r="O37" s="113">
        <f>+M37+190364</f>
        <v>1022174320</v>
      </c>
      <c r="P37" s="87">
        <f t="shared" si="14"/>
        <v>190364</v>
      </c>
      <c r="Q37" s="113">
        <f>+O37+876032</f>
        <v>1023050352</v>
      </c>
      <c r="R37" s="87">
        <f t="shared" si="14"/>
        <v>876032</v>
      </c>
      <c r="S37" s="113">
        <f>+Q37+225616870</f>
        <v>1248667222</v>
      </c>
      <c r="T37" s="87">
        <f t="shared" si="14"/>
        <v>225616870</v>
      </c>
      <c r="U37" s="113">
        <f>+S37+6756656.91</f>
        <v>1255423878.9100001</v>
      </c>
      <c r="V37" s="87">
        <f t="shared" si="19"/>
        <v>6756656.9100000858</v>
      </c>
      <c r="W37" s="87">
        <f t="shared" si="7"/>
        <v>237623598.91000009</v>
      </c>
    </row>
    <row r="38" spans="1:24" s="61" customFormat="1" ht="52.5" customHeight="1" x14ac:dyDescent="0.2">
      <c r="A38" s="142" t="s">
        <v>103</v>
      </c>
      <c r="B38" s="158" t="s">
        <v>207</v>
      </c>
      <c r="C38" s="159"/>
      <c r="D38" s="85"/>
      <c r="E38" s="85"/>
      <c r="F38" s="143"/>
      <c r="G38" s="86">
        <v>19379095</v>
      </c>
      <c r="H38" s="90">
        <f t="shared" si="16"/>
        <v>19379095</v>
      </c>
      <c r="I38" s="101">
        <f t="shared" ref="I38" si="20">+G38</f>
        <v>19379095</v>
      </c>
      <c r="J38" s="90">
        <f t="shared" si="17"/>
        <v>0</v>
      </c>
      <c r="K38" s="101">
        <f>+I38</f>
        <v>19379095</v>
      </c>
      <c r="L38" s="90">
        <f t="shared" si="18"/>
        <v>0</v>
      </c>
      <c r="M38" s="101">
        <f>+K38</f>
        <v>19379095</v>
      </c>
      <c r="N38" s="90">
        <f t="shared" si="14"/>
        <v>0</v>
      </c>
      <c r="O38" s="101">
        <f t="shared" ref="O38:O39" si="21">+M38</f>
        <v>19379095</v>
      </c>
      <c r="P38" s="90">
        <f t="shared" si="14"/>
        <v>0</v>
      </c>
      <c r="Q38" s="101">
        <f>+O38</f>
        <v>19379095</v>
      </c>
      <c r="R38" s="90">
        <f t="shared" si="14"/>
        <v>0</v>
      </c>
      <c r="S38" s="101">
        <f>+Q38</f>
        <v>19379095</v>
      </c>
      <c r="T38" s="90">
        <f t="shared" si="14"/>
        <v>0</v>
      </c>
      <c r="U38" s="101">
        <f>+S38</f>
        <v>19379095</v>
      </c>
      <c r="V38" s="90">
        <f t="shared" si="19"/>
        <v>0</v>
      </c>
      <c r="W38" s="90">
        <f t="shared" si="7"/>
        <v>19379095</v>
      </c>
    </row>
    <row r="39" spans="1:24" s="61" customFormat="1" ht="47.25" customHeight="1" x14ac:dyDescent="0.2">
      <c r="A39" s="142" t="s">
        <v>112</v>
      </c>
      <c r="B39" s="158" t="s">
        <v>208</v>
      </c>
      <c r="C39" s="159"/>
      <c r="D39" s="85"/>
      <c r="E39" s="85"/>
      <c r="F39" s="86"/>
      <c r="G39" s="86">
        <f t="shared" si="13"/>
        <v>0</v>
      </c>
      <c r="H39" s="90">
        <f t="shared" si="16"/>
        <v>0</v>
      </c>
      <c r="I39" s="101">
        <f>+G39+16000000</f>
        <v>16000000</v>
      </c>
      <c r="J39" s="90">
        <f t="shared" si="17"/>
        <v>16000000</v>
      </c>
      <c r="K39" s="101">
        <f>+I39</f>
        <v>16000000</v>
      </c>
      <c r="L39" s="90">
        <f t="shared" si="18"/>
        <v>0</v>
      </c>
      <c r="M39" s="101">
        <f>+K39</f>
        <v>16000000</v>
      </c>
      <c r="N39" s="90">
        <f t="shared" si="14"/>
        <v>0</v>
      </c>
      <c r="O39" s="101">
        <f t="shared" si="21"/>
        <v>16000000</v>
      </c>
      <c r="P39" s="90">
        <f t="shared" si="14"/>
        <v>0</v>
      </c>
      <c r="Q39" s="101">
        <f t="shared" ref="M39:S40" si="22">+O39</f>
        <v>16000000</v>
      </c>
      <c r="R39" s="90">
        <f t="shared" si="14"/>
        <v>0</v>
      </c>
      <c r="S39" s="101">
        <f t="shared" si="22"/>
        <v>16000000</v>
      </c>
      <c r="T39" s="90">
        <f t="shared" si="14"/>
        <v>0</v>
      </c>
      <c r="U39" s="101">
        <f t="shared" ref="U39:U40" si="23">+S39</f>
        <v>16000000</v>
      </c>
      <c r="V39" s="90">
        <f>U39-S39</f>
        <v>0</v>
      </c>
      <c r="W39" s="90">
        <f t="shared" si="7"/>
        <v>16000000</v>
      </c>
    </row>
    <row r="40" spans="1:24" ht="38.25" hidden="1" customHeight="1" x14ac:dyDescent="0.2">
      <c r="A40" s="49"/>
      <c r="B40" s="119"/>
      <c r="C40" s="120"/>
      <c r="D40" s="85"/>
      <c r="E40" s="85"/>
      <c r="F40" s="53">
        <f>F32-F34-F35-F36-F37-F38</f>
        <v>0</v>
      </c>
      <c r="G40" s="86">
        <f t="shared" ref="G40" si="24">+F40</f>
        <v>0</v>
      </c>
      <c r="H40" s="98">
        <f>H32-H34-H35-H36-H37-H38-H39</f>
        <v>0</v>
      </c>
      <c r="I40" s="101">
        <f t="shared" ref="I40" si="25">+G40</f>
        <v>0</v>
      </c>
      <c r="J40" s="98">
        <f>J32-J34-J35-J36-J37-J38-J39</f>
        <v>0</v>
      </c>
      <c r="K40" s="101">
        <f t="shared" ref="K40" si="26">+I40</f>
        <v>0</v>
      </c>
      <c r="L40" s="98">
        <f t="shared" ref="L40:N40" si="27">L32-L34-L35-L36-L37-L38-L39</f>
        <v>0</v>
      </c>
      <c r="M40" s="101">
        <f t="shared" si="22"/>
        <v>0</v>
      </c>
      <c r="N40" s="98">
        <f t="shared" si="27"/>
        <v>0</v>
      </c>
      <c r="O40" s="101">
        <f t="shared" si="22"/>
        <v>0</v>
      </c>
      <c r="P40" s="98">
        <f>P32-P34-P35-P36-P37-P38-P39</f>
        <v>0</v>
      </c>
      <c r="Q40" s="101">
        <f t="shared" si="22"/>
        <v>0</v>
      </c>
      <c r="R40" s="98">
        <f t="shared" ref="R40" si="28">R32-R34-R35-R36-R37-R38-R39</f>
        <v>0</v>
      </c>
      <c r="S40" s="101">
        <f t="shared" si="22"/>
        <v>0</v>
      </c>
      <c r="T40" s="98">
        <f t="shared" ref="T40:V40" si="29">T32-T34-T35-T36-T37-T38-T39</f>
        <v>0</v>
      </c>
      <c r="U40" s="101">
        <f t="shared" si="23"/>
        <v>0</v>
      </c>
      <c r="V40" s="98">
        <f t="shared" si="29"/>
        <v>0</v>
      </c>
      <c r="W40" s="90">
        <f t="shared" si="7"/>
        <v>0</v>
      </c>
    </row>
    <row r="41" spans="1:24" s="61" customFormat="1" ht="14.25" x14ac:dyDescent="0.2">
      <c r="A41" s="84" t="s">
        <v>6</v>
      </c>
      <c r="B41" s="153"/>
      <c r="C41" s="154"/>
      <c r="D41" s="91">
        <f>D43+D52+D55+D60+D71+D76+D79+D88+D91+D98+D104+D109+D113+D115</f>
        <v>0</v>
      </c>
      <c r="E41" s="91">
        <f>E43+E52+E55+E60+E71+E76+E79+E88+E91+E98+E104+E109+E113+E115</f>
        <v>0</v>
      </c>
      <c r="F41" s="92">
        <f>F43+F52+F55+F60+F71+F76+F79+F88+F91+F98+F104+F109+F113+F115</f>
        <v>120968109354.78</v>
      </c>
      <c r="G41" s="92">
        <f>G43+G52+G55+G60+G71+G76+G79+G88+G91+G98+G104+G109+G113+G115</f>
        <v>132945464609.28</v>
      </c>
      <c r="H41" s="90">
        <f>G41-F41</f>
        <v>11977355254.5</v>
      </c>
      <c r="I41" s="92">
        <f>I43+I52+I55+I60+I71+I76+I79+I88+I91+I98+I104+I109+I113+I115</f>
        <v>133802443439.28003</v>
      </c>
      <c r="J41" s="90">
        <f>I41-G41</f>
        <v>856978830.00003052</v>
      </c>
      <c r="K41" s="121">
        <f>K43+K52+K55+K60+K71+K76+K79+K88+K91+K98+K104+K109+K113+K115</f>
        <v>133802469471.28</v>
      </c>
      <c r="L41" s="122">
        <f t="shared" ref="L41:T41" si="30">L43+L52+L55+L60+L71+L76+L79+L88+L91+L98+L104+L109+L113+L115</f>
        <v>26032.000000715256</v>
      </c>
      <c r="M41" s="121">
        <f t="shared" si="30"/>
        <v>135028760303.28</v>
      </c>
      <c r="N41" s="122">
        <f t="shared" si="30"/>
        <v>1226290832</v>
      </c>
      <c r="O41" s="121">
        <f t="shared" si="30"/>
        <v>135288009867.28</v>
      </c>
      <c r="P41" s="122">
        <f t="shared" si="30"/>
        <v>259249563.99999762</v>
      </c>
      <c r="Q41" s="121">
        <f t="shared" si="30"/>
        <v>135675878272.95</v>
      </c>
      <c r="R41" s="122">
        <f t="shared" si="30"/>
        <v>387868405.66999835</v>
      </c>
      <c r="S41" s="121">
        <f t="shared" si="30"/>
        <v>136976801367.30998</v>
      </c>
      <c r="T41" s="122">
        <f t="shared" si="30"/>
        <v>1300923094.3600037</v>
      </c>
      <c r="U41" s="121">
        <f t="shared" ref="U41" si="31">U43+U52+U55+U60+U71+U76+U79+U88+U91+U98+U104+U109+U113+U115</f>
        <v>137046176032.21999</v>
      </c>
      <c r="V41" s="122">
        <f>V43+V52+V55+V60+V71+V76+V79+V88+V91+V98+V104+V109+V113+V115</f>
        <v>69374664.909998417</v>
      </c>
      <c r="W41" s="90">
        <f t="shared" si="7"/>
        <v>16078066677.439987</v>
      </c>
    </row>
    <row r="42" spans="1:24" s="61" customFormat="1" ht="14.25" x14ac:dyDescent="0.2">
      <c r="A42" s="84"/>
      <c r="B42" s="85" t="s">
        <v>1</v>
      </c>
      <c r="C42" s="85" t="s">
        <v>2</v>
      </c>
      <c r="D42" s="91"/>
      <c r="E42" s="91"/>
      <c r="F42" s="92"/>
      <c r="G42" s="86"/>
      <c r="H42" s="70"/>
      <c r="I42" s="101"/>
      <c r="J42" s="122"/>
      <c r="K42" s="101"/>
      <c r="L42" s="122"/>
      <c r="M42" s="101"/>
      <c r="N42" s="122"/>
      <c r="O42" s="101"/>
      <c r="P42" s="122"/>
      <c r="Q42" s="101"/>
      <c r="R42" s="122"/>
      <c r="S42" s="101"/>
      <c r="T42" s="122"/>
      <c r="U42" s="101"/>
      <c r="V42" s="122"/>
      <c r="W42" s="90">
        <f t="shared" si="7"/>
        <v>0</v>
      </c>
    </row>
    <row r="43" spans="1:24" s="61" customFormat="1" ht="18" customHeight="1" x14ac:dyDescent="0.2">
      <c r="A43" s="130" t="s">
        <v>7</v>
      </c>
      <c r="B43" s="131" t="s">
        <v>8</v>
      </c>
      <c r="C43" s="132" t="s">
        <v>9</v>
      </c>
      <c r="D43" s="6">
        <f t="shared" ref="D43:T43" si="32">SUM(D44:D51)</f>
        <v>0</v>
      </c>
      <c r="E43" s="6">
        <f t="shared" si="32"/>
        <v>0</v>
      </c>
      <c r="F43" s="37">
        <f t="shared" si="32"/>
        <v>9224544041.2799988</v>
      </c>
      <c r="G43" s="37">
        <f t="shared" si="32"/>
        <v>10073631090.630001</v>
      </c>
      <c r="H43" s="38">
        <f t="shared" si="32"/>
        <v>849087049.35000038</v>
      </c>
      <c r="I43" s="105">
        <f t="shared" si="32"/>
        <v>9368742056.7099991</v>
      </c>
      <c r="J43" s="123">
        <f t="shared" si="32"/>
        <v>-704889033.92000008</v>
      </c>
      <c r="K43" s="124">
        <f t="shared" si="32"/>
        <v>8599303315.0699997</v>
      </c>
      <c r="L43" s="123">
        <f t="shared" si="32"/>
        <v>-769438741.63999963</v>
      </c>
      <c r="M43" s="124">
        <f t="shared" si="32"/>
        <v>8638057401.2800007</v>
      </c>
      <c r="N43" s="123">
        <f t="shared" si="32"/>
        <v>38754086.210000038</v>
      </c>
      <c r="O43" s="124">
        <f t="shared" si="32"/>
        <v>8650066647.4300003</v>
      </c>
      <c r="P43" s="123">
        <f t="shared" si="32"/>
        <v>12009246.14999944</v>
      </c>
      <c r="Q43" s="124">
        <f t="shared" si="32"/>
        <v>8225120087.2900009</v>
      </c>
      <c r="R43" s="123">
        <f t="shared" si="32"/>
        <v>-424946560.13999951</v>
      </c>
      <c r="S43" s="124">
        <f t="shared" si="32"/>
        <v>7771346928.6599998</v>
      </c>
      <c r="T43" s="123">
        <f t="shared" si="32"/>
        <v>-453773158.63000011</v>
      </c>
      <c r="U43" s="124">
        <f t="shared" ref="U43:V43" si="33">SUM(U44:U51)</f>
        <v>7750563385.1100006</v>
      </c>
      <c r="V43" s="123">
        <f t="shared" si="33"/>
        <v>-20783543.549999833</v>
      </c>
      <c r="W43" s="90">
        <f t="shared" si="7"/>
        <v>-1473980656.1699982</v>
      </c>
    </row>
    <row r="44" spans="1:24" ht="30" x14ac:dyDescent="0.25">
      <c r="A44" s="83" t="s">
        <v>90</v>
      </c>
      <c r="B44" s="103" t="s">
        <v>8</v>
      </c>
      <c r="C44" s="103" t="s">
        <v>10</v>
      </c>
      <c r="D44" s="7"/>
      <c r="E44" s="7"/>
      <c r="F44" s="88">
        <v>7041871</v>
      </c>
      <c r="G44" s="88">
        <v>7041871</v>
      </c>
      <c r="H44" s="24">
        <f>G44-F44</f>
        <v>0</v>
      </c>
      <c r="I44" s="106">
        <v>7041871</v>
      </c>
      <c r="J44" s="125">
        <f>I44-G44</f>
        <v>0</v>
      </c>
      <c r="K44" s="126">
        <v>7041871</v>
      </c>
      <c r="L44" s="125">
        <f>K44-I44</f>
        <v>0</v>
      </c>
      <c r="M44" s="126">
        <v>7041871</v>
      </c>
      <c r="N44" s="125">
        <f>M44-K44</f>
        <v>0</v>
      </c>
      <c r="O44" s="126">
        <v>7041871</v>
      </c>
      <c r="P44" s="125">
        <f>O44-M44</f>
        <v>0</v>
      </c>
      <c r="Q44" s="126">
        <v>7041871</v>
      </c>
      <c r="R44" s="125">
        <f>Q44-O44</f>
        <v>0</v>
      </c>
      <c r="S44" s="126">
        <v>7041871</v>
      </c>
      <c r="T44" s="125">
        <f>S44-Q44</f>
        <v>0</v>
      </c>
      <c r="U44" s="126">
        <v>7102147</v>
      </c>
      <c r="V44" s="125">
        <f>U44-S44</f>
        <v>60276</v>
      </c>
      <c r="W44" s="87">
        <f t="shared" si="7"/>
        <v>60276</v>
      </c>
    </row>
    <row r="45" spans="1:24" s="10" customFormat="1" ht="45" x14ac:dyDescent="0.2">
      <c r="A45" s="83" t="s">
        <v>11</v>
      </c>
      <c r="B45" s="103" t="s">
        <v>8</v>
      </c>
      <c r="C45" s="103" t="s">
        <v>12</v>
      </c>
      <c r="D45" s="8"/>
      <c r="E45" s="9"/>
      <c r="F45" s="88">
        <v>136257800</v>
      </c>
      <c r="G45" s="88">
        <v>138658642</v>
      </c>
      <c r="H45" s="24">
        <f t="shared" ref="H45:H51" si="34">G45-F45</f>
        <v>2400842</v>
      </c>
      <c r="I45" s="106">
        <v>138758098</v>
      </c>
      <c r="J45" s="125">
        <f t="shared" ref="J45:J49" si="35">I45-G45</f>
        <v>99456</v>
      </c>
      <c r="K45" s="126">
        <v>138758098</v>
      </c>
      <c r="L45" s="125">
        <f t="shared" ref="L45:L51" si="36">K45-I45</f>
        <v>0</v>
      </c>
      <c r="M45" s="126">
        <v>138758098</v>
      </c>
      <c r="N45" s="125">
        <f t="shared" ref="N45:T51" si="37">M45-K45</f>
        <v>0</v>
      </c>
      <c r="O45" s="126">
        <v>141194850.96000001</v>
      </c>
      <c r="P45" s="125">
        <f t="shared" si="37"/>
        <v>2436752.9600000083</v>
      </c>
      <c r="Q45" s="126">
        <v>141194850.96000001</v>
      </c>
      <c r="R45" s="125">
        <f t="shared" si="37"/>
        <v>0</v>
      </c>
      <c r="S45" s="126">
        <v>140263716.96000001</v>
      </c>
      <c r="T45" s="125">
        <f t="shared" si="37"/>
        <v>-931134</v>
      </c>
      <c r="U45" s="126">
        <v>141585161.96000001</v>
      </c>
      <c r="V45" s="125">
        <f t="shared" ref="V45:V51" si="38">U45-S45</f>
        <v>1321445</v>
      </c>
      <c r="W45" s="87">
        <f t="shared" si="7"/>
        <v>5327361.9600000083</v>
      </c>
      <c r="X45" s="1"/>
    </row>
    <row r="46" spans="1:24" s="10" customFormat="1" ht="51.75" customHeight="1" x14ac:dyDescent="0.2">
      <c r="A46" s="83" t="s">
        <v>124</v>
      </c>
      <c r="B46" s="103" t="s">
        <v>8</v>
      </c>
      <c r="C46" s="103" t="s">
        <v>14</v>
      </c>
      <c r="D46" s="8"/>
      <c r="E46" s="9"/>
      <c r="F46" s="88">
        <v>354056985.88</v>
      </c>
      <c r="G46" s="88">
        <v>362896436.88</v>
      </c>
      <c r="H46" s="24">
        <f>G46-F46</f>
        <v>8839451</v>
      </c>
      <c r="I46" s="106">
        <v>362904597.36000001</v>
      </c>
      <c r="J46" s="125">
        <f t="shared" si="35"/>
        <v>8160.4800000190735</v>
      </c>
      <c r="K46" s="126">
        <v>362737411.04000002</v>
      </c>
      <c r="L46" s="125">
        <f t="shared" si="36"/>
        <v>-167186.31999999285</v>
      </c>
      <c r="M46" s="126">
        <v>362737411.04000002</v>
      </c>
      <c r="N46" s="125">
        <f t="shared" si="37"/>
        <v>0</v>
      </c>
      <c r="O46" s="126">
        <v>362377012.57999998</v>
      </c>
      <c r="P46" s="125">
        <f t="shared" si="37"/>
        <v>-360398.46000003815</v>
      </c>
      <c r="Q46" s="126">
        <v>362422839.43000001</v>
      </c>
      <c r="R46" s="125">
        <f t="shared" si="37"/>
        <v>45826.850000023842</v>
      </c>
      <c r="S46" s="126">
        <v>362422839.43000001</v>
      </c>
      <c r="T46" s="125">
        <f t="shared" si="37"/>
        <v>0</v>
      </c>
      <c r="U46" s="126">
        <v>367354957.32999998</v>
      </c>
      <c r="V46" s="125">
        <f t="shared" si="38"/>
        <v>4932117.8999999762</v>
      </c>
      <c r="W46" s="87">
        <f t="shared" si="7"/>
        <v>13297971.449999988</v>
      </c>
      <c r="X46" s="1"/>
    </row>
    <row r="47" spans="1:24" ht="15" x14ac:dyDescent="0.25">
      <c r="A47" s="83" t="s">
        <v>15</v>
      </c>
      <c r="B47" s="103" t="s">
        <v>8</v>
      </c>
      <c r="C47" s="103" t="s">
        <v>16</v>
      </c>
      <c r="D47" s="11"/>
      <c r="E47" s="7"/>
      <c r="F47" s="88">
        <v>109300</v>
      </c>
      <c r="G47" s="88">
        <v>109300</v>
      </c>
      <c r="H47" s="24">
        <f t="shared" si="34"/>
        <v>0</v>
      </c>
      <c r="I47" s="106">
        <v>109300</v>
      </c>
      <c r="J47" s="125">
        <f t="shared" si="35"/>
        <v>0</v>
      </c>
      <c r="K47" s="126">
        <v>109300</v>
      </c>
      <c r="L47" s="125">
        <f t="shared" si="36"/>
        <v>0</v>
      </c>
      <c r="M47" s="126">
        <v>109300</v>
      </c>
      <c r="N47" s="125">
        <f t="shared" si="37"/>
        <v>0</v>
      </c>
      <c r="O47" s="126">
        <v>109300</v>
      </c>
      <c r="P47" s="125">
        <f t="shared" si="37"/>
        <v>0</v>
      </c>
      <c r="Q47" s="126">
        <v>109300</v>
      </c>
      <c r="R47" s="125">
        <f t="shared" si="37"/>
        <v>0</v>
      </c>
      <c r="S47" s="126">
        <v>109300</v>
      </c>
      <c r="T47" s="125">
        <f t="shared" si="37"/>
        <v>0</v>
      </c>
      <c r="U47" s="126">
        <v>109300</v>
      </c>
      <c r="V47" s="125">
        <f t="shared" si="38"/>
        <v>0</v>
      </c>
      <c r="W47" s="87">
        <f t="shared" si="7"/>
        <v>0</v>
      </c>
    </row>
    <row r="48" spans="1:24" s="10" customFormat="1" ht="45" x14ac:dyDescent="0.2">
      <c r="A48" s="83" t="s">
        <v>17</v>
      </c>
      <c r="B48" s="103" t="s">
        <v>8</v>
      </c>
      <c r="C48" s="103" t="s">
        <v>18</v>
      </c>
      <c r="D48" s="8"/>
      <c r="E48" s="9"/>
      <c r="F48" s="88">
        <v>191424895.49000001</v>
      </c>
      <c r="G48" s="88">
        <v>197174212.49000001</v>
      </c>
      <c r="H48" s="24">
        <f t="shared" si="34"/>
        <v>5749317</v>
      </c>
      <c r="I48" s="106">
        <v>201480984.44</v>
      </c>
      <c r="J48" s="125">
        <f t="shared" si="35"/>
        <v>4306771.9499999881</v>
      </c>
      <c r="K48" s="126">
        <v>203020166.44</v>
      </c>
      <c r="L48" s="125">
        <f t="shared" si="36"/>
        <v>1539182</v>
      </c>
      <c r="M48" s="126">
        <v>203020166.44</v>
      </c>
      <c r="N48" s="125">
        <f t="shared" si="37"/>
        <v>0</v>
      </c>
      <c r="O48" s="126">
        <v>203219028.44</v>
      </c>
      <c r="P48" s="125">
        <f t="shared" si="37"/>
        <v>198862</v>
      </c>
      <c r="Q48" s="126">
        <v>210476561.44</v>
      </c>
      <c r="R48" s="125">
        <f t="shared" si="37"/>
        <v>7257533</v>
      </c>
      <c r="S48" s="126">
        <v>210476561.44</v>
      </c>
      <c r="T48" s="125">
        <f t="shared" si="37"/>
        <v>0</v>
      </c>
      <c r="U48" s="126">
        <v>213253397.44</v>
      </c>
      <c r="V48" s="125">
        <f t="shared" si="38"/>
        <v>2776836</v>
      </c>
      <c r="W48" s="87">
        <f t="shared" si="7"/>
        <v>21828501.949999988</v>
      </c>
      <c r="X48" s="1"/>
    </row>
    <row r="49" spans="1:24" ht="15" x14ac:dyDescent="0.25">
      <c r="A49" s="83" t="s">
        <v>19</v>
      </c>
      <c r="B49" s="103" t="s">
        <v>8</v>
      </c>
      <c r="C49" s="103" t="s">
        <v>20</v>
      </c>
      <c r="D49" s="11"/>
      <c r="E49" s="7"/>
      <c r="F49" s="88">
        <v>79979200</v>
      </c>
      <c r="G49" s="88">
        <v>82243873</v>
      </c>
      <c r="H49" s="24">
        <f t="shared" si="34"/>
        <v>2264673</v>
      </c>
      <c r="I49" s="106">
        <v>83644707.489999995</v>
      </c>
      <c r="J49" s="125">
        <f t="shared" si="35"/>
        <v>1400834.4899999946</v>
      </c>
      <c r="K49" s="126">
        <v>83644707.489999995</v>
      </c>
      <c r="L49" s="125">
        <f t="shared" si="36"/>
        <v>0</v>
      </c>
      <c r="M49" s="126">
        <v>83644707.489999995</v>
      </c>
      <c r="N49" s="125">
        <f t="shared" si="37"/>
        <v>0</v>
      </c>
      <c r="O49" s="126">
        <v>83810928.829999998</v>
      </c>
      <c r="P49" s="125">
        <f t="shared" si="37"/>
        <v>166221.34000000358</v>
      </c>
      <c r="Q49" s="126">
        <v>73655076.109999999</v>
      </c>
      <c r="R49" s="125">
        <f t="shared" si="37"/>
        <v>-10155852.719999999</v>
      </c>
      <c r="S49" s="126">
        <v>73355076.109999999</v>
      </c>
      <c r="T49" s="125">
        <f t="shared" si="37"/>
        <v>-300000</v>
      </c>
      <c r="U49" s="126">
        <v>74467237.109999999</v>
      </c>
      <c r="V49" s="125">
        <f t="shared" si="38"/>
        <v>1112161</v>
      </c>
      <c r="W49" s="87">
        <f t="shared" si="7"/>
        <v>-5511962.8900000006</v>
      </c>
    </row>
    <row r="50" spans="1:24" ht="15" x14ac:dyDescent="0.25">
      <c r="A50" s="83" t="s">
        <v>22</v>
      </c>
      <c r="B50" s="103" t="s">
        <v>8</v>
      </c>
      <c r="C50" s="103" t="s">
        <v>23</v>
      </c>
      <c r="D50" s="11"/>
      <c r="E50" s="7"/>
      <c r="F50" s="88">
        <v>700000000</v>
      </c>
      <c r="G50" s="88">
        <v>950000000</v>
      </c>
      <c r="H50" s="24">
        <f t="shared" si="34"/>
        <v>250000000</v>
      </c>
      <c r="I50" s="106">
        <v>1250000000</v>
      </c>
      <c r="J50" s="125">
        <f>I50-G50</f>
        <v>300000000</v>
      </c>
      <c r="K50" s="126">
        <v>1250000000</v>
      </c>
      <c r="L50" s="125">
        <f>K50-I50</f>
        <v>0</v>
      </c>
      <c r="M50" s="126">
        <v>1300000000</v>
      </c>
      <c r="N50" s="125">
        <f t="shared" si="37"/>
        <v>50000000</v>
      </c>
      <c r="O50" s="126">
        <v>1300000000</v>
      </c>
      <c r="P50" s="125">
        <f t="shared" si="37"/>
        <v>0</v>
      </c>
      <c r="Q50" s="126">
        <v>1500000000</v>
      </c>
      <c r="R50" s="125">
        <f t="shared" si="37"/>
        <v>200000000</v>
      </c>
      <c r="S50" s="126">
        <v>1668000000</v>
      </c>
      <c r="T50" s="125">
        <f t="shared" si="37"/>
        <v>168000000</v>
      </c>
      <c r="U50" s="126">
        <v>1668000000</v>
      </c>
      <c r="V50" s="125">
        <f t="shared" si="38"/>
        <v>0</v>
      </c>
      <c r="W50" s="87">
        <f t="shared" si="7"/>
        <v>968000000</v>
      </c>
    </row>
    <row r="51" spans="1:24" ht="15" x14ac:dyDescent="0.25">
      <c r="A51" s="83" t="s">
        <v>24</v>
      </c>
      <c r="B51" s="103" t="s">
        <v>8</v>
      </c>
      <c r="C51" s="103" t="s">
        <v>25</v>
      </c>
      <c r="D51" s="11"/>
      <c r="E51" s="7"/>
      <c r="F51" s="88">
        <v>7755673988.9099998</v>
      </c>
      <c r="G51" s="88">
        <v>8335506755.2600002</v>
      </c>
      <c r="H51" s="24">
        <f t="shared" si="34"/>
        <v>579832766.35000038</v>
      </c>
      <c r="I51" s="106">
        <v>7324802498.4200001</v>
      </c>
      <c r="J51" s="125">
        <f>I51-G51</f>
        <v>-1010704256.8400002</v>
      </c>
      <c r="K51" s="126">
        <v>6553991761.1000004</v>
      </c>
      <c r="L51" s="125">
        <f t="shared" si="36"/>
        <v>-770810737.31999969</v>
      </c>
      <c r="M51" s="126">
        <v>6542745847.3100004</v>
      </c>
      <c r="N51" s="125">
        <f t="shared" si="37"/>
        <v>-11245913.789999962</v>
      </c>
      <c r="O51" s="126">
        <v>6552313655.6199999</v>
      </c>
      <c r="P51" s="125">
        <f t="shared" si="37"/>
        <v>9567808.3099994659</v>
      </c>
      <c r="Q51" s="126">
        <v>5930219588.3500004</v>
      </c>
      <c r="R51" s="125">
        <f t="shared" si="37"/>
        <v>-622094067.2699995</v>
      </c>
      <c r="S51" s="126">
        <v>5309677563.7200003</v>
      </c>
      <c r="T51" s="125">
        <f t="shared" si="37"/>
        <v>-620542024.63000011</v>
      </c>
      <c r="U51" s="126">
        <v>5278691184.2700005</v>
      </c>
      <c r="V51" s="125">
        <f t="shared" si="38"/>
        <v>-30986379.449999809</v>
      </c>
      <c r="W51" s="87">
        <f t="shared" si="7"/>
        <v>-2476982804.6399994</v>
      </c>
    </row>
    <row r="52" spans="1:24" s="61" customFormat="1" ht="18.75" customHeight="1" x14ac:dyDescent="0.2">
      <c r="A52" s="130" t="s">
        <v>26</v>
      </c>
      <c r="B52" s="131" t="s">
        <v>10</v>
      </c>
      <c r="C52" s="132" t="s">
        <v>9</v>
      </c>
      <c r="D52" s="6">
        <f>SUM(D53:D54)</f>
        <v>0</v>
      </c>
      <c r="E52" s="6"/>
      <c r="F52" s="37">
        <f t="shared" ref="F52:T52" si="39">SUM(F53:F54)</f>
        <v>50826700</v>
      </c>
      <c r="G52" s="37">
        <f t="shared" si="39"/>
        <v>50826700</v>
      </c>
      <c r="H52" s="38">
        <f>SUM(H53:H54)</f>
        <v>0</v>
      </c>
      <c r="I52" s="105">
        <f>SUM(I53:I54)</f>
        <v>50826700</v>
      </c>
      <c r="J52" s="123">
        <f t="shared" si="39"/>
        <v>0</v>
      </c>
      <c r="K52" s="124">
        <f>SUM(K53:K54)</f>
        <v>50826700</v>
      </c>
      <c r="L52" s="123">
        <f t="shared" si="39"/>
        <v>0</v>
      </c>
      <c r="M52" s="124">
        <f t="shared" si="39"/>
        <v>50826700</v>
      </c>
      <c r="N52" s="123">
        <f t="shared" si="39"/>
        <v>0</v>
      </c>
      <c r="O52" s="124">
        <f t="shared" si="39"/>
        <v>51147200</v>
      </c>
      <c r="P52" s="123">
        <f t="shared" si="39"/>
        <v>320500</v>
      </c>
      <c r="Q52" s="124">
        <f t="shared" si="39"/>
        <v>51147200</v>
      </c>
      <c r="R52" s="123">
        <f t="shared" si="39"/>
        <v>0</v>
      </c>
      <c r="S52" s="124">
        <f t="shared" si="39"/>
        <v>51138110</v>
      </c>
      <c r="T52" s="123">
        <f t="shared" si="39"/>
        <v>-9090</v>
      </c>
      <c r="U52" s="124">
        <f t="shared" ref="U52:V52" si="40">SUM(U53:U54)</f>
        <v>51138110</v>
      </c>
      <c r="V52" s="123">
        <f t="shared" si="40"/>
        <v>0</v>
      </c>
      <c r="W52" s="90">
        <f t="shared" si="7"/>
        <v>311410</v>
      </c>
    </row>
    <row r="53" spans="1:24" ht="15" x14ac:dyDescent="0.25">
      <c r="A53" s="83" t="s">
        <v>27</v>
      </c>
      <c r="B53" s="103" t="s">
        <v>10</v>
      </c>
      <c r="C53" s="103" t="s">
        <v>12</v>
      </c>
      <c r="D53" s="12"/>
      <c r="E53" s="7"/>
      <c r="F53" s="88">
        <v>47558100</v>
      </c>
      <c r="G53" s="88">
        <v>47558100</v>
      </c>
      <c r="H53" s="24">
        <f>G53-F53</f>
        <v>0</v>
      </c>
      <c r="I53" s="106">
        <v>47558100</v>
      </c>
      <c r="J53" s="125">
        <f>I53-G53</f>
        <v>0</v>
      </c>
      <c r="K53" s="126">
        <v>47558100</v>
      </c>
      <c r="L53" s="125">
        <f>K53-I53</f>
        <v>0</v>
      </c>
      <c r="M53" s="126">
        <v>47558100</v>
      </c>
      <c r="N53" s="125">
        <f>M53-K53</f>
        <v>0</v>
      </c>
      <c r="O53" s="126">
        <v>47878600</v>
      </c>
      <c r="P53" s="125">
        <f>O53-M53</f>
        <v>320500</v>
      </c>
      <c r="Q53" s="141">
        <v>47878600</v>
      </c>
      <c r="R53" s="125">
        <f>Q53-O53</f>
        <v>0</v>
      </c>
      <c r="S53" s="126">
        <v>47878600</v>
      </c>
      <c r="T53" s="125">
        <f>S53-Q53</f>
        <v>0</v>
      </c>
      <c r="U53" s="126">
        <v>47878600</v>
      </c>
      <c r="V53" s="125">
        <f>U53-S53</f>
        <v>0</v>
      </c>
      <c r="W53" s="87">
        <f t="shared" si="7"/>
        <v>320500</v>
      </c>
    </row>
    <row r="54" spans="1:24" ht="15" x14ac:dyDescent="0.25">
      <c r="A54" s="83" t="s">
        <v>28</v>
      </c>
      <c r="B54" s="103" t="s">
        <v>10</v>
      </c>
      <c r="C54" s="103" t="s">
        <v>14</v>
      </c>
      <c r="D54" s="11"/>
      <c r="E54" s="7"/>
      <c r="F54" s="88">
        <v>3268600</v>
      </c>
      <c r="G54" s="88">
        <v>3268600</v>
      </c>
      <c r="H54" s="24">
        <f>G54-F54</f>
        <v>0</v>
      </c>
      <c r="I54" s="106">
        <v>3268600</v>
      </c>
      <c r="J54" s="125">
        <f>I54-G54</f>
        <v>0</v>
      </c>
      <c r="K54" s="126">
        <v>3268600</v>
      </c>
      <c r="L54" s="125">
        <f>K54-I54</f>
        <v>0</v>
      </c>
      <c r="M54" s="126">
        <v>3268600</v>
      </c>
      <c r="N54" s="125">
        <f>M54-K54</f>
        <v>0</v>
      </c>
      <c r="O54" s="126">
        <v>3268600</v>
      </c>
      <c r="P54" s="125">
        <f>O54-M54</f>
        <v>0</v>
      </c>
      <c r="Q54" s="141">
        <v>3268600</v>
      </c>
      <c r="R54" s="125">
        <f>Q54-O54</f>
        <v>0</v>
      </c>
      <c r="S54" s="126">
        <v>3259510</v>
      </c>
      <c r="T54" s="125">
        <f>S54-Q54</f>
        <v>-9090</v>
      </c>
      <c r="U54" s="126">
        <v>3259510</v>
      </c>
      <c r="V54" s="125">
        <f>U54-S54</f>
        <v>0</v>
      </c>
      <c r="W54" s="87">
        <f t="shared" si="7"/>
        <v>-9090</v>
      </c>
    </row>
    <row r="55" spans="1:24" s="62" customFormat="1" ht="28.5" x14ac:dyDescent="0.2">
      <c r="A55" s="130" t="s">
        <v>29</v>
      </c>
      <c r="B55" s="131" t="s">
        <v>12</v>
      </c>
      <c r="C55" s="132" t="s">
        <v>9</v>
      </c>
      <c r="D55" s="13">
        <f>SUM(D56:D59)</f>
        <v>0</v>
      </c>
      <c r="E55" s="13">
        <f>SUM(E56:E59)</f>
        <v>0</v>
      </c>
      <c r="F55" s="37">
        <f t="shared" ref="F55:M55" si="41">F56+F57+F58+F59</f>
        <v>1775166876</v>
      </c>
      <c r="G55" s="37">
        <f t="shared" si="41"/>
        <v>1776283259.3199999</v>
      </c>
      <c r="H55" s="38">
        <f>H56+H57+H58+H59</f>
        <v>1116383.3199999928</v>
      </c>
      <c r="I55" s="105">
        <f>SUM(I56:I59)</f>
        <v>1824671706.8499999</v>
      </c>
      <c r="J55" s="123">
        <f t="shared" si="41"/>
        <v>48388447.529999971</v>
      </c>
      <c r="K55" s="124">
        <f>SUM(K56:K59)</f>
        <v>1780356006.8499999</v>
      </c>
      <c r="L55" s="123">
        <f t="shared" si="41"/>
        <v>-44315700</v>
      </c>
      <c r="M55" s="124">
        <f t="shared" si="41"/>
        <v>1780356006.8499999</v>
      </c>
      <c r="N55" s="123">
        <f>SUM(N56:N59)</f>
        <v>0</v>
      </c>
      <c r="O55" s="124">
        <f t="shared" ref="O55:Q55" si="42">O56+O57+O58+O59</f>
        <v>1759641206.8499999</v>
      </c>
      <c r="P55" s="123">
        <f>SUM(P56:P59)</f>
        <v>-20714800</v>
      </c>
      <c r="Q55" s="124">
        <f t="shared" si="42"/>
        <v>1771173473.8499999</v>
      </c>
      <c r="R55" s="123">
        <f>SUM(R56:R59)</f>
        <v>11532267</v>
      </c>
      <c r="S55" s="124">
        <f t="shared" ref="S55:U55" si="43">S56+S57+S58+S59</f>
        <v>1735999473.8499999</v>
      </c>
      <c r="T55" s="123">
        <f>SUM(T56:T59)</f>
        <v>-35174000</v>
      </c>
      <c r="U55" s="124">
        <f t="shared" si="43"/>
        <v>1718714157.4400001</v>
      </c>
      <c r="V55" s="123">
        <f>SUM(V56:V59)</f>
        <v>-17285316.409999996</v>
      </c>
      <c r="W55" s="90">
        <f t="shared" si="7"/>
        <v>-56452718.559999943</v>
      </c>
      <c r="X55" s="61"/>
    </row>
    <row r="56" spans="1:24" ht="15" x14ac:dyDescent="0.25">
      <c r="A56" s="83" t="s">
        <v>31</v>
      </c>
      <c r="B56" s="103" t="s">
        <v>12</v>
      </c>
      <c r="C56" s="103" t="s">
        <v>14</v>
      </c>
      <c r="D56" s="11"/>
      <c r="E56" s="7"/>
      <c r="F56" s="88">
        <v>121069635</v>
      </c>
      <c r="G56" s="88">
        <v>121069635</v>
      </c>
      <c r="H56" s="24">
        <f t="shared" ref="H56:H58" si="44">G56-F56</f>
        <v>0</v>
      </c>
      <c r="I56" s="106">
        <v>121069635</v>
      </c>
      <c r="J56" s="125">
        <f>I56-G56</f>
        <v>0</v>
      </c>
      <c r="K56" s="126">
        <v>121069635</v>
      </c>
      <c r="L56" s="125">
        <f>K56-I56</f>
        <v>0</v>
      </c>
      <c r="M56" s="126">
        <v>121069635</v>
      </c>
      <c r="N56" s="125">
        <f t="shared" ref="N56:T59" si="45">M56-K56</f>
        <v>0</v>
      </c>
      <c r="O56" s="126">
        <v>121549835</v>
      </c>
      <c r="P56" s="125">
        <f t="shared" si="45"/>
        <v>480200</v>
      </c>
      <c r="Q56" s="126">
        <v>122036458</v>
      </c>
      <c r="R56" s="125">
        <f t="shared" si="45"/>
        <v>486623</v>
      </c>
      <c r="S56" s="126">
        <v>122036458</v>
      </c>
      <c r="T56" s="125">
        <f t="shared" si="45"/>
        <v>0</v>
      </c>
      <c r="U56" s="126">
        <v>122036458</v>
      </c>
      <c r="V56" s="125">
        <f t="shared" ref="V56:V59" si="46">U56-S56</f>
        <v>0</v>
      </c>
      <c r="W56" s="87">
        <f t="shared" si="7"/>
        <v>966823</v>
      </c>
    </row>
    <row r="57" spans="1:24" ht="45" x14ac:dyDescent="0.25">
      <c r="A57" s="83" t="s">
        <v>128</v>
      </c>
      <c r="B57" s="103" t="s">
        <v>12</v>
      </c>
      <c r="C57" s="103" t="s">
        <v>21</v>
      </c>
      <c r="D57" s="11"/>
      <c r="E57" s="7"/>
      <c r="F57" s="88">
        <v>1046466044</v>
      </c>
      <c r="G57" s="88">
        <v>1046466044</v>
      </c>
      <c r="H57" s="24">
        <f t="shared" si="44"/>
        <v>0</v>
      </c>
      <c r="I57" s="106">
        <v>1057958884.53</v>
      </c>
      <c r="J57" s="125">
        <f>I57-G57</f>
        <v>11492840.529999971</v>
      </c>
      <c r="K57" s="126">
        <v>1057958884.53</v>
      </c>
      <c r="L57" s="125">
        <f>K57-I57</f>
        <v>0</v>
      </c>
      <c r="M57" s="126">
        <v>1057958884.53</v>
      </c>
      <c r="N57" s="125">
        <f t="shared" si="45"/>
        <v>0</v>
      </c>
      <c r="O57" s="126">
        <v>1057958884.53</v>
      </c>
      <c r="P57" s="125">
        <f t="shared" si="45"/>
        <v>0</v>
      </c>
      <c r="Q57" s="126">
        <v>1069039407.53</v>
      </c>
      <c r="R57" s="125">
        <f t="shared" si="45"/>
        <v>11080523</v>
      </c>
      <c r="S57" s="126">
        <v>1033865407.53</v>
      </c>
      <c r="T57" s="125">
        <f t="shared" si="45"/>
        <v>-35174000</v>
      </c>
      <c r="U57" s="126">
        <v>1033865407.53</v>
      </c>
      <c r="V57" s="125">
        <f t="shared" si="46"/>
        <v>0</v>
      </c>
      <c r="W57" s="87">
        <f t="shared" si="7"/>
        <v>-12600636.470000029</v>
      </c>
    </row>
    <row r="58" spans="1:24" ht="15" x14ac:dyDescent="0.25">
      <c r="A58" s="83" t="s">
        <v>35</v>
      </c>
      <c r="B58" s="103" t="s">
        <v>12</v>
      </c>
      <c r="C58" s="103" t="s">
        <v>23</v>
      </c>
      <c r="D58" s="11"/>
      <c r="E58" s="7"/>
      <c r="F58" s="88">
        <v>290260157</v>
      </c>
      <c r="G58" s="88">
        <v>290260157</v>
      </c>
      <c r="H58" s="24">
        <f t="shared" si="44"/>
        <v>0</v>
      </c>
      <c r="I58" s="106">
        <v>327155764</v>
      </c>
      <c r="J58" s="125">
        <f>I58-G58</f>
        <v>36895607</v>
      </c>
      <c r="K58" s="126">
        <v>282840064</v>
      </c>
      <c r="L58" s="125">
        <f>K58-I58</f>
        <v>-44315700</v>
      </c>
      <c r="M58" s="126">
        <v>282840064</v>
      </c>
      <c r="N58" s="125">
        <f t="shared" si="45"/>
        <v>0</v>
      </c>
      <c r="O58" s="126">
        <v>261645064</v>
      </c>
      <c r="P58" s="125">
        <f t="shared" si="45"/>
        <v>-21195000</v>
      </c>
      <c r="Q58" s="126">
        <v>262923544</v>
      </c>
      <c r="R58" s="125">
        <f t="shared" si="45"/>
        <v>1278480</v>
      </c>
      <c r="S58" s="126">
        <v>262923544</v>
      </c>
      <c r="T58" s="125">
        <f t="shared" si="45"/>
        <v>0</v>
      </c>
      <c r="U58" s="126">
        <v>249289510.16</v>
      </c>
      <c r="V58" s="125">
        <f t="shared" si="46"/>
        <v>-13634033.840000004</v>
      </c>
      <c r="W58" s="87">
        <f t="shared" si="7"/>
        <v>-40970646.840000004</v>
      </c>
    </row>
    <row r="59" spans="1:24" s="10" customFormat="1" ht="30" x14ac:dyDescent="0.2">
      <c r="A59" s="83" t="s">
        <v>36</v>
      </c>
      <c r="B59" s="103" t="s">
        <v>12</v>
      </c>
      <c r="C59" s="103" t="s">
        <v>37</v>
      </c>
      <c r="D59" s="89"/>
      <c r="E59" s="9"/>
      <c r="F59" s="88">
        <v>317371040</v>
      </c>
      <c r="G59" s="88">
        <v>318487423.31999999</v>
      </c>
      <c r="H59" s="24">
        <f>G59-F59</f>
        <v>1116383.3199999928</v>
      </c>
      <c r="I59" s="106">
        <v>318487423.31999999</v>
      </c>
      <c r="J59" s="125">
        <f>I59-G59</f>
        <v>0</v>
      </c>
      <c r="K59" s="126">
        <v>318487423.31999999</v>
      </c>
      <c r="L59" s="125">
        <f>K59-I59</f>
        <v>0</v>
      </c>
      <c r="M59" s="126">
        <v>318487423.31999999</v>
      </c>
      <c r="N59" s="125">
        <f t="shared" si="45"/>
        <v>0</v>
      </c>
      <c r="O59" s="126">
        <v>318487423.31999999</v>
      </c>
      <c r="P59" s="125">
        <f t="shared" si="45"/>
        <v>0</v>
      </c>
      <c r="Q59" s="126">
        <v>317174064.31999999</v>
      </c>
      <c r="R59" s="125">
        <f t="shared" si="45"/>
        <v>-1313359</v>
      </c>
      <c r="S59" s="126">
        <v>317174064.31999999</v>
      </c>
      <c r="T59" s="125">
        <f t="shared" si="45"/>
        <v>0</v>
      </c>
      <c r="U59" s="126">
        <v>313522781.75</v>
      </c>
      <c r="V59" s="125">
        <f t="shared" si="46"/>
        <v>-3651282.5699999928</v>
      </c>
      <c r="W59" s="87">
        <f t="shared" si="7"/>
        <v>-3848258.25</v>
      </c>
      <c r="X59" s="1"/>
    </row>
    <row r="60" spans="1:24" s="61" customFormat="1" ht="19.5" customHeight="1" x14ac:dyDescent="0.2">
      <c r="A60" s="130" t="s">
        <v>38</v>
      </c>
      <c r="B60" s="131" t="s">
        <v>14</v>
      </c>
      <c r="C60" s="132" t="s">
        <v>9</v>
      </c>
      <c r="D60" s="6">
        <f t="shared" ref="D60:T60" si="47">SUM(D61:D70)</f>
        <v>0</v>
      </c>
      <c r="E60" s="6">
        <f t="shared" si="47"/>
        <v>0</v>
      </c>
      <c r="F60" s="37">
        <f t="shared" si="47"/>
        <v>24201790317.110001</v>
      </c>
      <c r="G60" s="37">
        <f t="shared" si="47"/>
        <v>27809277057.320004</v>
      </c>
      <c r="H60" s="38">
        <f t="shared" si="47"/>
        <v>3607486740.2099996</v>
      </c>
      <c r="I60" s="105">
        <f>SUM(I61:I70)</f>
        <v>28234015325.82</v>
      </c>
      <c r="J60" s="123">
        <f t="shared" si="47"/>
        <v>424738268.50000042</v>
      </c>
      <c r="K60" s="124">
        <f t="shared" si="47"/>
        <v>27595114243.110001</v>
      </c>
      <c r="L60" s="128">
        <f t="shared" si="47"/>
        <v>-638901082.71000004</v>
      </c>
      <c r="M60" s="124">
        <f t="shared" si="47"/>
        <v>27456360113.82</v>
      </c>
      <c r="N60" s="123">
        <f t="shared" si="47"/>
        <v>-138754129.28999996</v>
      </c>
      <c r="O60" s="124">
        <f t="shared" si="47"/>
        <v>27408522738.699997</v>
      </c>
      <c r="P60" s="123">
        <f t="shared" si="47"/>
        <v>-47837375.120000273</v>
      </c>
      <c r="Q60" s="124">
        <f t="shared" si="47"/>
        <v>27243496611.379997</v>
      </c>
      <c r="R60" s="123">
        <f t="shared" si="47"/>
        <v>-165026127.32000107</v>
      </c>
      <c r="S60" s="124">
        <f t="shared" si="47"/>
        <v>27182416622.84</v>
      </c>
      <c r="T60" s="123">
        <f t="shared" si="47"/>
        <v>-61079988.539998889</v>
      </c>
      <c r="U60" s="124">
        <f t="shared" ref="U60:V60" si="48">SUM(U61:U70)</f>
        <v>27238058608.220001</v>
      </c>
      <c r="V60" s="123">
        <f t="shared" si="48"/>
        <v>55641985.380000114</v>
      </c>
      <c r="W60" s="90">
        <f t="shared" si="7"/>
        <v>3036268291.1100006</v>
      </c>
    </row>
    <row r="61" spans="1:24" ht="15" x14ac:dyDescent="0.25">
      <c r="A61" s="83" t="s">
        <v>39</v>
      </c>
      <c r="B61" s="103" t="s">
        <v>14</v>
      </c>
      <c r="C61" s="103" t="s">
        <v>8</v>
      </c>
      <c r="D61" s="12"/>
      <c r="E61" s="7"/>
      <c r="F61" s="88">
        <v>502395000</v>
      </c>
      <c r="G61" s="88">
        <v>518579955</v>
      </c>
      <c r="H61" s="24">
        <f>G61-F61</f>
        <v>16184955</v>
      </c>
      <c r="I61" s="106">
        <v>522823023.98000002</v>
      </c>
      <c r="J61" s="125">
        <f>I61-G61</f>
        <v>4243068.9800000191</v>
      </c>
      <c r="K61" s="126">
        <v>524311907.98000002</v>
      </c>
      <c r="L61" s="125">
        <f>K61-I61</f>
        <v>1488884</v>
      </c>
      <c r="M61" s="126">
        <v>524311907.98000002</v>
      </c>
      <c r="N61" s="125">
        <f>M61-K61</f>
        <v>0</v>
      </c>
      <c r="O61" s="126">
        <v>536090190.17000002</v>
      </c>
      <c r="P61" s="125">
        <f>O61-M61</f>
        <v>11778282.189999998</v>
      </c>
      <c r="Q61" s="126">
        <v>540985403.07000005</v>
      </c>
      <c r="R61" s="125">
        <f>Q61-O61</f>
        <v>4895212.9000000358</v>
      </c>
      <c r="S61" s="126">
        <v>546174560.01999998</v>
      </c>
      <c r="T61" s="125">
        <f>S61-Q61</f>
        <v>5189156.9499999285</v>
      </c>
      <c r="U61" s="126">
        <v>532906533.01999998</v>
      </c>
      <c r="V61" s="125">
        <f>U61-S61</f>
        <v>-13268027</v>
      </c>
      <c r="W61" s="87">
        <f t="shared" si="7"/>
        <v>30511533.019999981</v>
      </c>
    </row>
    <row r="62" spans="1:24" ht="15" x14ac:dyDescent="0.25">
      <c r="A62" s="83" t="s">
        <v>40</v>
      </c>
      <c r="B62" s="103" t="s">
        <v>14</v>
      </c>
      <c r="C62" s="103" t="s">
        <v>14</v>
      </c>
      <c r="D62" s="11"/>
      <c r="E62" s="7"/>
      <c r="F62" s="88">
        <v>3500000</v>
      </c>
      <c r="G62" s="88">
        <v>3500000</v>
      </c>
      <c r="H62" s="24">
        <f t="shared" ref="H62:H70" si="49">G62-F62</f>
        <v>0</v>
      </c>
      <c r="I62" s="106">
        <v>3500000</v>
      </c>
      <c r="J62" s="125">
        <f t="shared" ref="J62:J70" si="50">I62-G62</f>
        <v>0</v>
      </c>
      <c r="K62" s="126">
        <v>3500000</v>
      </c>
      <c r="L62" s="125">
        <f t="shared" ref="L62:L70" si="51">K62-I62</f>
        <v>0</v>
      </c>
      <c r="M62" s="126">
        <v>3500000</v>
      </c>
      <c r="N62" s="125">
        <f t="shared" ref="N62:N70" si="52">M62-K62</f>
        <v>0</v>
      </c>
      <c r="O62" s="126">
        <v>2841500</v>
      </c>
      <c r="P62" s="125">
        <f t="shared" ref="P62:P70" si="53">O62-M62</f>
        <v>-658500</v>
      </c>
      <c r="Q62" s="126">
        <v>690000</v>
      </c>
      <c r="R62" s="125">
        <f t="shared" ref="R62:R70" si="54">Q62-O62</f>
        <v>-2151500</v>
      </c>
      <c r="S62" s="126">
        <v>690000</v>
      </c>
      <c r="T62" s="125">
        <f t="shared" ref="T62:T70" si="55">S62-Q62</f>
        <v>0</v>
      </c>
      <c r="U62" s="126">
        <v>594999.5</v>
      </c>
      <c r="V62" s="125">
        <f t="shared" ref="V62:V70" si="56">U62-S62</f>
        <v>-95000.5</v>
      </c>
      <c r="W62" s="87">
        <f t="shared" si="7"/>
        <v>-2905000.5</v>
      </c>
    </row>
    <row r="63" spans="1:24" ht="15" x14ac:dyDescent="0.25">
      <c r="A63" s="83" t="s">
        <v>41</v>
      </c>
      <c r="B63" s="103" t="s">
        <v>14</v>
      </c>
      <c r="C63" s="103" t="s">
        <v>16</v>
      </c>
      <c r="D63" s="11"/>
      <c r="E63" s="7"/>
      <c r="F63" s="88">
        <v>3934115893.1900001</v>
      </c>
      <c r="G63" s="88">
        <v>3949556438.8899999</v>
      </c>
      <c r="H63" s="24">
        <f t="shared" si="49"/>
        <v>15440545.699999809</v>
      </c>
      <c r="I63" s="106">
        <v>3958048229.23</v>
      </c>
      <c r="J63" s="125">
        <f t="shared" si="50"/>
        <v>8491790.3400001526</v>
      </c>
      <c r="K63" s="126">
        <v>3956429640.52</v>
      </c>
      <c r="L63" s="125">
        <f t="shared" si="51"/>
        <v>-1618588.7100000381</v>
      </c>
      <c r="M63" s="126">
        <v>3817675554.3099999</v>
      </c>
      <c r="N63" s="125">
        <f t="shared" si="52"/>
        <v>-138754086.21000004</v>
      </c>
      <c r="O63" s="126">
        <v>3659534461.6300001</v>
      </c>
      <c r="P63" s="125">
        <f t="shared" si="53"/>
        <v>-158141092.67999983</v>
      </c>
      <c r="Q63" s="126">
        <v>3612456843.4699998</v>
      </c>
      <c r="R63" s="125">
        <f t="shared" si="54"/>
        <v>-47077618.160000324</v>
      </c>
      <c r="S63" s="126">
        <v>3516770359.1799998</v>
      </c>
      <c r="T63" s="125">
        <f t="shared" si="55"/>
        <v>-95686484.289999962</v>
      </c>
      <c r="U63" s="126">
        <v>3584443709.1500001</v>
      </c>
      <c r="V63" s="125">
        <f t="shared" si="56"/>
        <v>67673349.970000267</v>
      </c>
      <c r="W63" s="87">
        <f t="shared" si="7"/>
        <v>-349672184.03999996</v>
      </c>
    </row>
    <row r="64" spans="1:24" ht="15" x14ac:dyDescent="0.25">
      <c r="A64" s="83" t="s">
        <v>91</v>
      </c>
      <c r="B64" s="103" t="s">
        <v>14</v>
      </c>
      <c r="C64" s="103" t="s">
        <v>18</v>
      </c>
      <c r="D64" s="11"/>
      <c r="E64" s="7"/>
      <c r="F64" s="88">
        <v>186225060</v>
      </c>
      <c r="G64" s="88">
        <v>186225060</v>
      </c>
      <c r="H64" s="24">
        <f t="shared" si="49"/>
        <v>0</v>
      </c>
      <c r="I64" s="106">
        <v>183725060</v>
      </c>
      <c r="J64" s="125">
        <f t="shared" si="50"/>
        <v>-2500000</v>
      </c>
      <c r="K64" s="126">
        <v>183725060</v>
      </c>
      <c r="L64" s="125">
        <f t="shared" si="51"/>
        <v>0</v>
      </c>
      <c r="M64" s="126">
        <v>183725060</v>
      </c>
      <c r="N64" s="125">
        <f t="shared" si="52"/>
        <v>0</v>
      </c>
      <c r="O64" s="126">
        <v>178345733.40000001</v>
      </c>
      <c r="P64" s="125">
        <f t="shared" si="53"/>
        <v>-5379326.599999994</v>
      </c>
      <c r="Q64" s="126">
        <v>179009733.40000001</v>
      </c>
      <c r="R64" s="125">
        <f t="shared" si="54"/>
        <v>664000</v>
      </c>
      <c r="S64" s="126">
        <v>179009733.40000001</v>
      </c>
      <c r="T64" s="125">
        <f t="shared" si="55"/>
        <v>0</v>
      </c>
      <c r="U64" s="126">
        <v>174795212.40000001</v>
      </c>
      <c r="V64" s="125">
        <f t="shared" si="56"/>
        <v>-4214521</v>
      </c>
      <c r="W64" s="87">
        <f t="shared" si="7"/>
        <v>-11429847.599999994</v>
      </c>
    </row>
    <row r="65" spans="1:24" ht="15" x14ac:dyDescent="0.25">
      <c r="A65" s="83" t="s">
        <v>42</v>
      </c>
      <c r="B65" s="103" t="s">
        <v>14</v>
      </c>
      <c r="C65" s="103" t="s">
        <v>20</v>
      </c>
      <c r="D65" s="11"/>
      <c r="E65" s="7"/>
      <c r="F65" s="88">
        <v>765564010</v>
      </c>
      <c r="G65" s="88">
        <v>770450456</v>
      </c>
      <c r="H65" s="24">
        <f t="shared" si="49"/>
        <v>4886446</v>
      </c>
      <c r="I65" s="106">
        <v>782949754</v>
      </c>
      <c r="J65" s="125">
        <f t="shared" si="50"/>
        <v>12499298</v>
      </c>
      <c r="K65" s="126">
        <v>783900654</v>
      </c>
      <c r="L65" s="125">
        <f t="shared" si="51"/>
        <v>950900</v>
      </c>
      <c r="M65" s="126">
        <v>783900654</v>
      </c>
      <c r="N65" s="125">
        <f t="shared" si="52"/>
        <v>0</v>
      </c>
      <c r="O65" s="126">
        <v>786683197.04999995</v>
      </c>
      <c r="P65" s="125">
        <f t="shared" si="53"/>
        <v>2782543.0499999523</v>
      </c>
      <c r="Q65" s="126">
        <v>803958723.89999998</v>
      </c>
      <c r="R65" s="125">
        <f t="shared" si="54"/>
        <v>17275526.850000024</v>
      </c>
      <c r="S65" s="126">
        <v>804478723.89999998</v>
      </c>
      <c r="T65" s="125">
        <f t="shared" si="55"/>
        <v>520000</v>
      </c>
      <c r="U65" s="126">
        <v>804934730.89999998</v>
      </c>
      <c r="V65" s="125">
        <f t="shared" si="56"/>
        <v>456007</v>
      </c>
      <c r="W65" s="87">
        <f t="shared" si="7"/>
        <v>39370720.899999976</v>
      </c>
    </row>
    <row r="66" spans="1:24" ht="15" x14ac:dyDescent="0.25">
      <c r="A66" s="83" t="s">
        <v>43</v>
      </c>
      <c r="B66" s="103" t="s">
        <v>14</v>
      </c>
      <c r="C66" s="103" t="s">
        <v>44</v>
      </c>
      <c r="D66" s="11"/>
      <c r="E66" s="7"/>
      <c r="F66" s="88">
        <v>2338745532.1199999</v>
      </c>
      <c r="G66" s="88">
        <v>2342155613.4400001</v>
      </c>
      <c r="H66" s="24">
        <f t="shared" si="49"/>
        <v>3410081.3200001717</v>
      </c>
      <c r="I66" s="106">
        <v>2343990344.5</v>
      </c>
      <c r="J66" s="125">
        <f t="shared" si="50"/>
        <v>1834731.0599999428</v>
      </c>
      <c r="K66" s="126">
        <v>2343256076.5</v>
      </c>
      <c r="L66" s="125">
        <f t="shared" si="51"/>
        <v>-734268</v>
      </c>
      <c r="M66" s="126">
        <v>2343256076.5</v>
      </c>
      <c r="N66" s="125">
        <f t="shared" si="52"/>
        <v>0</v>
      </c>
      <c r="O66" s="126">
        <v>2344511594.6399999</v>
      </c>
      <c r="P66" s="125">
        <f t="shared" si="53"/>
        <v>1255518.1399998665</v>
      </c>
      <c r="Q66" s="126">
        <v>2345225183.6399999</v>
      </c>
      <c r="R66" s="125">
        <f t="shared" si="54"/>
        <v>713589</v>
      </c>
      <c r="S66" s="126">
        <v>2345225183.6399999</v>
      </c>
      <c r="T66" s="125">
        <f t="shared" si="55"/>
        <v>0</v>
      </c>
      <c r="U66" s="126">
        <v>2345919730.6399999</v>
      </c>
      <c r="V66" s="125">
        <f t="shared" si="56"/>
        <v>694547</v>
      </c>
      <c r="W66" s="87">
        <f t="shared" si="7"/>
        <v>7174198.5199999809</v>
      </c>
    </row>
    <row r="67" spans="1:24" ht="15" x14ac:dyDescent="0.25">
      <c r="A67" s="83" t="s">
        <v>45</v>
      </c>
      <c r="B67" s="103" t="s">
        <v>14</v>
      </c>
      <c r="C67" s="103" t="s">
        <v>33</v>
      </c>
      <c r="D67" s="11"/>
      <c r="E67" s="7"/>
      <c r="F67" s="88">
        <v>11575388091.5</v>
      </c>
      <c r="G67" s="88">
        <v>15041832838.43</v>
      </c>
      <c r="H67" s="24">
        <f t="shared" si="49"/>
        <v>3466444746.9300003</v>
      </c>
      <c r="I67" s="106">
        <v>15041832838.43</v>
      </c>
      <c r="J67" s="125">
        <f t="shared" si="50"/>
        <v>0</v>
      </c>
      <c r="K67" s="126">
        <v>15041832838.43</v>
      </c>
      <c r="L67" s="125">
        <f t="shared" si="51"/>
        <v>0</v>
      </c>
      <c r="M67" s="126">
        <v>15041832838.43</v>
      </c>
      <c r="N67" s="125">
        <f t="shared" si="52"/>
        <v>0</v>
      </c>
      <c r="O67" s="126">
        <v>15041832838.43</v>
      </c>
      <c r="P67" s="125">
        <f t="shared" si="53"/>
        <v>0</v>
      </c>
      <c r="Q67" s="126">
        <v>15032895005.469999</v>
      </c>
      <c r="R67" s="125">
        <f t="shared" si="54"/>
        <v>-8937832.9600009918</v>
      </c>
      <c r="S67" s="126">
        <v>15066753602.27</v>
      </c>
      <c r="T67" s="125">
        <f t="shared" si="55"/>
        <v>33858596.800001144</v>
      </c>
      <c r="U67" s="126">
        <v>15066753602.27</v>
      </c>
      <c r="V67" s="125">
        <f t="shared" si="56"/>
        <v>0</v>
      </c>
      <c r="W67" s="87">
        <f t="shared" si="7"/>
        <v>3491365510.7700005</v>
      </c>
    </row>
    <row r="68" spans="1:24" ht="15" x14ac:dyDescent="0.25">
      <c r="A68" s="83" t="s">
        <v>114</v>
      </c>
      <c r="B68" s="103" t="s">
        <v>14</v>
      </c>
      <c r="C68" s="103" t="s">
        <v>21</v>
      </c>
      <c r="D68" s="11"/>
      <c r="E68" s="7"/>
      <c r="F68" s="88">
        <v>1727350670</v>
      </c>
      <c r="G68" s="88">
        <v>1817603410.0899999</v>
      </c>
      <c r="H68" s="24">
        <f t="shared" si="49"/>
        <v>90252740.089999914</v>
      </c>
      <c r="I68" s="106">
        <v>1893013410.0899999</v>
      </c>
      <c r="J68" s="125">
        <f t="shared" si="50"/>
        <v>75410000</v>
      </c>
      <c r="K68" s="126">
        <v>1894558744.0899999</v>
      </c>
      <c r="L68" s="125">
        <f t="shared" si="51"/>
        <v>1545334</v>
      </c>
      <c r="M68" s="126">
        <v>1894558744.0899999</v>
      </c>
      <c r="N68" s="125">
        <f t="shared" si="52"/>
        <v>0</v>
      </c>
      <c r="O68" s="126">
        <v>1899168744.0899999</v>
      </c>
      <c r="P68" s="125">
        <f t="shared" si="53"/>
        <v>4610000</v>
      </c>
      <c r="Q68" s="126">
        <v>1901724054.0899999</v>
      </c>
      <c r="R68" s="125">
        <f t="shared" si="54"/>
        <v>2555310</v>
      </c>
      <c r="S68" s="126">
        <v>1895047746.3599999</v>
      </c>
      <c r="T68" s="125">
        <f t="shared" si="55"/>
        <v>-6676307.7300000191</v>
      </c>
      <c r="U68" s="126">
        <v>1895499004.3599999</v>
      </c>
      <c r="V68" s="125">
        <f t="shared" si="56"/>
        <v>451258</v>
      </c>
      <c r="W68" s="87">
        <f t="shared" si="7"/>
        <v>168148334.3599999</v>
      </c>
    </row>
    <row r="69" spans="1:24" ht="30" x14ac:dyDescent="0.25">
      <c r="A69" s="83" t="s">
        <v>134</v>
      </c>
      <c r="B69" s="103" t="s">
        <v>14</v>
      </c>
      <c r="C69" s="103" t="s">
        <v>23</v>
      </c>
      <c r="D69" s="11"/>
      <c r="E69" s="7"/>
      <c r="F69" s="88">
        <v>45000000</v>
      </c>
      <c r="G69" s="88">
        <v>45000000</v>
      </c>
      <c r="H69" s="24">
        <f t="shared" si="49"/>
        <v>0</v>
      </c>
      <c r="I69" s="106">
        <v>43165268.939999998</v>
      </c>
      <c r="J69" s="125">
        <f t="shared" si="50"/>
        <v>-1834731.0600000024</v>
      </c>
      <c r="K69" s="126">
        <v>43165268.939999998</v>
      </c>
      <c r="L69" s="125">
        <f t="shared" si="51"/>
        <v>0</v>
      </c>
      <c r="M69" s="126">
        <v>43165268.939999998</v>
      </c>
      <c r="N69" s="125">
        <f t="shared" si="52"/>
        <v>0</v>
      </c>
      <c r="O69" s="126">
        <v>43165268.939999998</v>
      </c>
      <c r="P69" s="125">
        <f t="shared" si="53"/>
        <v>0</v>
      </c>
      <c r="Q69" s="126">
        <v>43165268.939999998</v>
      </c>
      <c r="R69" s="125">
        <f t="shared" si="54"/>
        <v>0</v>
      </c>
      <c r="S69" s="126">
        <v>39201268.939999998</v>
      </c>
      <c r="T69" s="125">
        <f t="shared" si="55"/>
        <v>-3964000</v>
      </c>
      <c r="U69" s="126">
        <v>39201268.939999998</v>
      </c>
      <c r="V69" s="125">
        <f t="shared" si="56"/>
        <v>0</v>
      </c>
      <c r="W69" s="87">
        <f t="shared" si="7"/>
        <v>-5798731.0600000024</v>
      </c>
    </row>
    <row r="70" spans="1:24" s="10" customFormat="1" ht="15" x14ac:dyDescent="0.2">
      <c r="A70" s="83" t="s">
        <v>46</v>
      </c>
      <c r="B70" s="103" t="s">
        <v>14</v>
      </c>
      <c r="C70" s="103" t="s">
        <v>47</v>
      </c>
      <c r="D70" s="8"/>
      <c r="E70" s="9"/>
      <c r="F70" s="88">
        <v>3123506060.3000002</v>
      </c>
      <c r="G70" s="88">
        <v>3134373285.4699998</v>
      </c>
      <c r="H70" s="24">
        <f t="shared" si="49"/>
        <v>10867225.169999599</v>
      </c>
      <c r="I70" s="106">
        <v>3460967396.6500001</v>
      </c>
      <c r="J70" s="125">
        <f t="shared" si="50"/>
        <v>326594111.18000031</v>
      </c>
      <c r="K70" s="126">
        <v>2820434052.6500001</v>
      </c>
      <c r="L70" s="125">
        <f t="shared" si="51"/>
        <v>-640533344</v>
      </c>
      <c r="M70" s="126">
        <v>2820434009.5700002</v>
      </c>
      <c r="N70" s="125">
        <f t="shared" si="52"/>
        <v>-43.079999923706055</v>
      </c>
      <c r="O70" s="126">
        <v>2916349210.3499999</v>
      </c>
      <c r="P70" s="125">
        <f t="shared" si="53"/>
        <v>95915200.779999733</v>
      </c>
      <c r="Q70" s="126">
        <v>2783386395.4000001</v>
      </c>
      <c r="R70" s="125">
        <f t="shared" si="54"/>
        <v>-132962814.94999981</v>
      </c>
      <c r="S70" s="126">
        <v>2789065445.1300001</v>
      </c>
      <c r="T70" s="125">
        <f t="shared" si="55"/>
        <v>5679049.7300000191</v>
      </c>
      <c r="U70" s="126">
        <v>2793009817.04</v>
      </c>
      <c r="V70" s="125">
        <f t="shared" si="56"/>
        <v>3944371.9099998474</v>
      </c>
      <c r="W70" s="87">
        <f t="shared" si="7"/>
        <v>-330496243.26000023</v>
      </c>
      <c r="X70" s="1"/>
    </row>
    <row r="71" spans="1:24" s="61" customFormat="1" ht="14.25" x14ac:dyDescent="0.2">
      <c r="A71" s="130" t="s">
        <v>48</v>
      </c>
      <c r="B71" s="131" t="s">
        <v>16</v>
      </c>
      <c r="C71" s="132" t="s">
        <v>9</v>
      </c>
      <c r="D71" s="6">
        <f t="shared" ref="D71:T71" si="57">SUM(D72:D75)</f>
        <v>0</v>
      </c>
      <c r="E71" s="6">
        <f t="shared" si="57"/>
        <v>0</v>
      </c>
      <c r="F71" s="37">
        <f t="shared" si="57"/>
        <v>4869674283.5</v>
      </c>
      <c r="G71" s="37">
        <f t="shared" si="57"/>
        <v>7226430089.3900003</v>
      </c>
      <c r="H71" s="38">
        <f t="shared" si="57"/>
        <v>2356755805.8899994</v>
      </c>
      <c r="I71" s="105">
        <f t="shared" si="57"/>
        <v>7213518026.6900005</v>
      </c>
      <c r="J71" s="123">
        <f t="shared" si="57"/>
        <v>-12912062.699999988</v>
      </c>
      <c r="K71" s="124">
        <f t="shared" si="57"/>
        <v>7217360318.6900005</v>
      </c>
      <c r="L71" s="123">
        <f t="shared" si="57"/>
        <v>3842292</v>
      </c>
      <c r="M71" s="124">
        <f t="shared" si="57"/>
        <v>7284702731.75</v>
      </c>
      <c r="N71" s="123">
        <f t="shared" si="57"/>
        <v>67342413.059999943</v>
      </c>
      <c r="O71" s="124">
        <f t="shared" si="57"/>
        <v>7299895975.2699995</v>
      </c>
      <c r="P71" s="123">
        <f t="shared" si="57"/>
        <v>15193243.519999981</v>
      </c>
      <c r="Q71" s="124">
        <f t="shared" si="57"/>
        <v>7306863214.8199997</v>
      </c>
      <c r="R71" s="123">
        <f t="shared" si="57"/>
        <v>6967239.5500000119</v>
      </c>
      <c r="S71" s="124">
        <f t="shared" si="57"/>
        <v>7353293573.3700008</v>
      </c>
      <c r="T71" s="123">
        <f t="shared" si="57"/>
        <v>46430358.550000429</v>
      </c>
      <c r="U71" s="124">
        <f t="shared" ref="U71:V71" si="58">SUM(U72:U75)</f>
        <v>7356425343.0200005</v>
      </c>
      <c r="V71" s="123">
        <f t="shared" si="58"/>
        <v>3131769.6499999166</v>
      </c>
      <c r="W71" s="90">
        <f t="shared" si="7"/>
        <v>2486751059.5200005</v>
      </c>
    </row>
    <row r="72" spans="1:24" ht="15" x14ac:dyDescent="0.25">
      <c r="A72" s="83" t="s">
        <v>49</v>
      </c>
      <c r="B72" s="103" t="s">
        <v>16</v>
      </c>
      <c r="C72" s="103" t="s">
        <v>8</v>
      </c>
      <c r="D72" s="7"/>
      <c r="E72" s="7"/>
      <c r="F72" s="88">
        <v>690159893.62</v>
      </c>
      <c r="G72" s="88">
        <v>1990593477.3399999</v>
      </c>
      <c r="H72" s="24">
        <f>G72-F72</f>
        <v>1300433583.7199998</v>
      </c>
      <c r="I72" s="106">
        <v>1990593477.3399999</v>
      </c>
      <c r="J72" s="125">
        <f>I72-G72</f>
        <v>0</v>
      </c>
      <c r="K72" s="126">
        <v>1990593477.3399999</v>
      </c>
      <c r="L72" s="125">
        <f>K72-I72</f>
        <v>0</v>
      </c>
      <c r="M72" s="126">
        <v>1990593477.3399999</v>
      </c>
      <c r="N72" s="125">
        <f>M72-K72</f>
        <v>0</v>
      </c>
      <c r="O72" s="126">
        <v>1708913477.3399999</v>
      </c>
      <c r="P72" s="125">
        <f>O72-M72</f>
        <v>-281680000</v>
      </c>
      <c r="Q72" s="126">
        <v>1708913477.3399999</v>
      </c>
      <c r="R72" s="125">
        <f>Q72-O72</f>
        <v>0</v>
      </c>
      <c r="S72" s="126">
        <v>1708913477.3399999</v>
      </c>
      <c r="T72" s="125">
        <f>S72-Q72</f>
        <v>0</v>
      </c>
      <c r="U72" s="126">
        <v>1708913477.3399999</v>
      </c>
      <c r="V72" s="125">
        <f>U72-S72</f>
        <v>0</v>
      </c>
      <c r="W72" s="87">
        <f t="shared" ref="W72:W118" si="59">U72-F72</f>
        <v>1018753583.7199999</v>
      </c>
    </row>
    <row r="73" spans="1:24" ht="15" x14ac:dyDescent="0.25">
      <c r="A73" s="83" t="s">
        <v>50</v>
      </c>
      <c r="B73" s="103" t="s">
        <v>16</v>
      </c>
      <c r="C73" s="103" t="s">
        <v>10</v>
      </c>
      <c r="D73" s="12"/>
      <c r="E73" s="7"/>
      <c r="F73" s="88">
        <v>2483932280</v>
      </c>
      <c r="G73" s="88">
        <v>3525603926.9499998</v>
      </c>
      <c r="H73" s="24">
        <f t="shared" ref="H73:H75" si="60">G73-F73</f>
        <v>1041671646.9499998</v>
      </c>
      <c r="I73" s="106">
        <v>3511643026.9499998</v>
      </c>
      <c r="J73" s="125">
        <f>I73-G73</f>
        <v>-13960900</v>
      </c>
      <c r="K73" s="126">
        <v>3511643026.9499998</v>
      </c>
      <c r="L73" s="125">
        <f>K73-I73</f>
        <v>0</v>
      </c>
      <c r="M73" s="126">
        <v>3511643026.9499998</v>
      </c>
      <c r="N73" s="125">
        <f>M73-K73</f>
        <v>0</v>
      </c>
      <c r="O73" s="126">
        <v>3796208026.9499998</v>
      </c>
      <c r="P73" s="125">
        <f>O73-M73</f>
        <v>284565000</v>
      </c>
      <c r="Q73" s="126">
        <v>3793662593.9499998</v>
      </c>
      <c r="R73" s="125">
        <f>Q73-O73</f>
        <v>-2545433</v>
      </c>
      <c r="S73" s="126">
        <v>3839147860.5500002</v>
      </c>
      <c r="T73" s="125">
        <f>S73-Q73</f>
        <v>45485266.600000381</v>
      </c>
      <c r="U73" s="126">
        <v>3838147860.5500002</v>
      </c>
      <c r="V73" s="125">
        <f>U73-S73</f>
        <v>-1000000</v>
      </c>
      <c r="W73" s="87">
        <f t="shared" si="59"/>
        <v>1354215580.5500002</v>
      </c>
    </row>
    <row r="74" spans="1:24" ht="15" x14ac:dyDescent="0.25">
      <c r="A74" s="83" t="s">
        <v>51</v>
      </c>
      <c r="B74" s="103" t="s">
        <v>16</v>
      </c>
      <c r="C74" s="103" t="s">
        <v>12</v>
      </c>
      <c r="D74" s="11"/>
      <c r="E74" s="7"/>
      <c r="F74" s="88">
        <v>1242830173.8800001</v>
      </c>
      <c r="G74" s="88">
        <v>1249991746.47</v>
      </c>
      <c r="H74" s="24">
        <f t="shared" si="60"/>
        <v>7161572.5899999142</v>
      </c>
      <c r="I74" s="106">
        <v>1249991746.47</v>
      </c>
      <c r="J74" s="125">
        <f>I74-G74</f>
        <v>0</v>
      </c>
      <c r="K74" s="126">
        <v>1249991746.47</v>
      </c>
      <c r="L74" s="125">
        <f>K74-I74</f>
        <v>0</v>
      </c>
      <c r="M74" s="126">
        <v>1317334159.53</v>
      </c>
      <c r="N74" s="125">
        <f>M74-K74</f>
        <v>67342413.059999943</v>
      </c>
      <c r="O74" s="126">
        <v>1317334159.53</v>
      </c>
      <c r="P74" s="125">
        <f>O74-M74</f>
        <v>0</v>
      </c>
      <c r="Q74" s="126">
        <v>1317334159.53</v>
      </c>
      <c r="R74" s="125">
        <f>Q74-O74</f>
        <v>0</v>
      </c>
      <c r="S74" s="126">
        <v>1316707148.51</v>
      </c>
      <c r="T74" s="125">
        <f>S74-Q74</f>
        <v>-627011.01999998093</v>
      </c>
      <c r="U74" s="126">
        <v>1317513687.3099999</v>
      </c>
      <c r="V74" s="125">
        <f>U74-S74</f>
        <v>806538.79999995232</v>
      </c>
      <c r="W74" s="87">
        <f t="shared" si="59"/>
        <v>74683513.429999828</v>
      </c>
    </row>
    <row r="75" spans="1:24" s="10" customFormat="1" ht="30" x14ac:dyDescent="0.2">
      <c r="A75" s="83" t="s">
        <v>52</v>
      </c>
      <c r="B75" s="103" t="s">
        <v>16</v>
      </c>
      <c r="C75" s="103" t="s">
        <v>16</v>
      </c>
      <c r="D75" s="8"/>
      <c r="E75" s="9"/>
      <c r="F75" s="88">
        <v>452751936</v>
      </c>
      <c r="G75" s="88">
        <v>460240938.63</v>
      </c>
      <c r="H75" s="24">
        <f t="shared" si="60"/>
        <v>7489002.6299999952</v>
      </c>
      <c r="I75" s="106">
        <v>461289775.93000001</v>
      </c>
      <c r="J75" s="125">
        <f>I75-G75</f>
        <v>1048837.3000000119</v>
      </c>
      <c r="K75" s="126">
        <v>465132067.93000001</v>
      </c>
      <c r="L75" s="125">
        <f>K75-I75</f>
        <v>3842292</v>
      </c>
      <c r="M75" s="126">
        <v>465132067.93000001</v>
      </c>
      <c r="N75" s="125">
        <f>M75-K75</f>
        <v>0</v>
      </c>
      <c r="O75" s="126">
        <v>477440311.44999999</v>
      </c>
      <c r="P75" s="125">
        <f>O75-M75</f>
        <v>12308243.519999981</v>
      </c>
      <c r="Q75" s="126">
        <v>486952984</v>
      </c>
      <c r="R75" s="125">
        <f>Q75-O75</f>
        <v>9512672.5500000119</v>
      </c>
      <c r="S75" s="126">
        <v>488525086.97000003</v>
      </c>
      <c r="T75" s="125">
        <f>S75-Q75</f>
        <v>1572102.9700000286</v>
      </c>
      <c r="U75" s="126">
        <v>491850317.81999999</v>
      </c>
      <c r="V75" s="125">
        <f>U75-S75</f>
        <v>3325230.8499999642</v>
      </c>
      <c r="W75" s="87">
        <f t="shared" si="59"/>
        <v>39098381.819999993</v>
      </c>
      <c r="X75" s="1"/>
    </row>
    <row r="76" spans="1:24" s="61" customFormat="1" ht="14.25" x14ac:dyDescent="0.2">
      <c r="A76" s="130" t="s">
        <v>53</v>
      </c>
      <c r="B76" s="131" t="s">
        <v>18</v>
      </c>
      <c r="C76" s="132" t="s">
        <v>9</v>
      </c>
      <c r="D76" s="6">
        <f t="shared" ref="D76:T76" si="61">SUM(D77:D78)</f>
        <v>0</v>
      </c>
      <c r="E76" s="6">
        <f t="shared" si="61"/>
        <v>0</v>
      </c>
      <c r="F76" s="37">
        <f t="shared" si="61"/>
        <v>557649756.10000002</v>
      </c>
      <c r="G76" s="37">
        <f t="shared" si="61"/>
        <v>558405595.36000001</v>
      </c>
      <c r="H76" s="38">
        <f t="shared" si="61"/>
        <v>755839.25999999046</v>
      </c>
      <c r="I76" s="105">
        <f t="shared" si="61"/>
        <v>554866495.36000001</v>
      </c>
      <c r="J76" s="123">
        <f t="shared" si="61"/>
        <v>-3539100</v>
      </c>
      <c r="K76" s="124">
        <f t="shared" si="61"/>
        <v>556355379.36000001</v>
      </c>
      <c r="L76" s="123">
        <f t="shared" si="61"/>
        <v>1488884</v>
      </c>
      <c r="M76" s="124">
        <f t="shared" si="61"/>
        <v>556355379.36000001</v>
      </c>
      <c r="N76" s="123">
        <f t="shared" si="61"/>
        <v>0</v>
      </c>
      <c r="O76" s="124">
        <f t="shared" si="61"/>
        <v>552303268.07000005</v>
      </c>
      <c r="P76" s="123">
        <f t="shared" si="61"/>
        <v>-4052111.2899999619</v>
      </c>
      <c r="Q76" s="124">
        <f t="shared" si="61"/>
        <v>551268840.07000005</v>
      </c>
      <c r="R76" s="123">
        <f t="shared" si="61"/>
        <v>-1034428</v>
      </c>
      <c r="S76" s="124">
        <f t="shared" si="61"/>
        <v>551268840.07000005</v>
      </c>
      <c r="T76" s="123">
        <f t="shared" si="61"/>
        <v>0</v>
      </c>
      <c r="U76" s="124">
        <f t="shared" ref="U76:V76" si="62">SUM(U77:U78)</f>
        <v>552416383.07000005</v>
      </c>
      <c r="V76" s="123">
        <f t="shared" si="62"/>
        <v>1147543</v>
      </c>
      <c r="W76" s="90">
        <f t="shared" si="59"/>
        <v>-5233373.0299999714</v>
      </c>
    </row>
    <row r="77" spans="1:24" ht="15" x14ac:dyDescent="0.25">
      <c r="A77" s="83" t="s">
        <v>92</v>
      </c>
      <c r="B77" s="103" t="s">
        <v>18</v>
      </c>
      <c r="C77" s="103" t="s">
        <v>10</v>
      </c>
      <c r="D77" s="7"/>
      <c r="E77" s="7"/>
      <c r="F77" s="88">
        <v>6600000</v>
      </c>
      <c r="G77" s="88">
        <v>6600000</v>
      </c>
      <c r="H77" s="24">
        <f>G77-F77</f>
        <v>0</v>
      </c>
      <c r="I77" s="106">
        <v>6501000</v>
      </c>
      <c r="J77" s="125">
        <f>I77-G77</f>
        <v>-99000</v>
      </c>
      <c r="K77" s="126">
        <v>6501000</v>
      </c>
      <c r="L77" s="125">
        <f>K77-I77</f>
        <v>0</v>
      </c>
      <c r="M77" s="126">
        <v>6501000</v>
      </c>
      <c r="N77" s="125">
        <f>M77-K77</f>
        <v>0</v>
      </c>
      <c r="O77" s="126">
        <v>2501000</v>
      </c>
      <c r="P77" s="125">
        <f>O77-M77</f>
        <v>-4000000</v>
      </c>
      <c r="Q77" s="126">
        <v>1501000</v>
      </c>
      <c r="R77" s="125">
        <f>Q77-O77</f>
        <v>-1000000</v>
      </c>
      <c r="S77" s="126">
        <v>1501000</v>
      </c>
      <c r="T77" s="125">
        <f>S77-Q77</f>
        <v>0</v>
      </c>
      <c r="U77" s="126">
        <v>1501000</v>
      </c>
      <c r="V77" s="125">
        <f>U77-S77</f>
        <v>0</v>
      </c>
      <c r="W77" s="87">
        <f t="shared" si="59"/>
        <v>-5099000</v>
      </c>
    </row>
    <row r="78" spans="1:24" ht="15" x14ac:dyDescent="0.25">
      <c r="A78" s="83" t="s">
        <v>54</v>
      </c>
      <c r="B78" s="103" t="s">
        <v>18</v>
      </c>
      <c r="C78" s="103" t="s">
        <v>16</v>
      </c>
      <c r="D78" s="11"/>
      <c r="E78" s="7"/>
      <c r="F78" s="88">
        <v>551049756.10000002</v>
      </c>
      <c r="G78" s="88">
        <v>551805595.36000001</v>
      </c>
      <c r="H78" s="24">
        <f>G78-F78</f>
        <v>755839.25999999046</v>
      </c>
      <c r="I78" s="106">
        <v>548365495.36000001</v>
      </c>
      <c r="J78" s="125">
        <f>I78-G78</f>
        <v>-3440100</v>
      </c>
      <c r="K78" s="126">
        <v>549854379.36000001</v>
      </c>
      <c r="L78" s="125">
        <f>K78-I78</f>
        <v>1488884</v>
      </c>
      <c r="M78" s="126">
        <v>549854379.36000001</v>
      </c>
      <c r="N78" s="125">
        <f>M78-K78</f>
        <v>0</v>
      </c>
      <c r="O78" s="126">
        <v>549802268.07000005</v>
      </c>
      <c r="P78" s="125">
        <f>O78-M78</f>
        <v>-52111.289999961853</v>
      </c>
      <c r="Q78" s="126">
        <v>549767840.07000005</v>
      </c>
      <c r="R78" s="125">
        <f>Q78-O78</f>
        <v>-34428</v>
      </c>
      <c r="S78" s="126">
        <v>549767840.07000005</v>
      </c>
      <c r="T78" s="125">
        <f>S78-Q78</f>
        <v>0</v>
      </c>
      <c r="U78" s="126">
        <v>550915383.07000005</v>
      </c>
      <c r="V78" s="125">
        <f>U78-S78</f>
        <v>1147543</v>
      </c>
      <c r="W78" s="87">
        <f t="shared" si="59"/>
        <v>-134373.02999997139</v>
      </c>
    </row>
    <row r="79" spans="1:24" s="61" customFormat="1" ht="14.25" x14ac:dyDescent="0.2">
      <c r="A79" s="130" t="s">
        <v>55</v>
      </c>
      <c r="B79" s="131" t="s">
        <v>20</v>
      </c>
      <c r="C79" s="132" t="s">
        <v>9</v>
      </c>
      <c r="D79" s="6">
        <f t="shared" ref="D79:N79" si="63">SUM(D80:D87)</f>
        <v>0</v>
      </c>
      <c r="E79" s="6">
        <f t="shared" si="63"/>
        <v>0</v>
      </c>
      <c r="F79" s="37">
        <f t="shared" ref="F79:J79" si="64">SUM(F80:F87)</f>
        <v>28833100078.700001</v>
      </c>
      <c r="G79" s="37">
        <f t="shared" si="64"/>
        <v>29402923132.559998</v>
      </c>
      <c r="H79" s="38">
        <f t="shared" si="64"/>
        <v>569823053.85999942</v>
      </c>
      <c r="I79" s="105">
        <f t="shared" si="64"/>
        <v>29656253746.459995</v>
      </c>
      <c r="J79" s="123">
        <f t="shared" si="64"/>
        <v>253330613.90000033</v>
      </c>
      <c r="K79" s="124">
        <f>SUM(K80:K87)</f>
        <v>29659231517.459995</v>
      </c>
      <c r="L79" s="123">
        <f t="shared" si="63"/>
        <v>2977771</v>
      </c>
      <c r="M79" s="124">
        <f>SUM(M80:M87)</f>
        <v>29659231517.459995</v>
      </c>
      <c r="N79" s="123">
        <f t="shared" si="63"/>
        <v>0</v>
      </c>
      <c r="O79" s="124">
        <f>SUM(O80:O87)</f>
        <v>29475271737.110001</v>
      </c>
      <c r="P79" s="123">
        <f t="shared" ref="P79:R79" si="65">SUM(P80:P87)</f>
        <v>-183959780.35000041</v>
      </c>
      <c r="Q79" s="124">
        <f>SUM(Q80:Q87)</f>
        <v>29487390341.639999</v>
      </c>
      <c r="R79" s="123">
        <f t="shared" si="65"/>
        <v>12118604.529999375</v>
      </c>
      <c r="S79" s="124">
        <f>SUM(S80:S87)</f>
        <v>30492708134.830002</v>
      </c>
      <c r="T79" s="123">
        <f t="shared" ref="T79:V79" si="66">SUM(T80:T87)</f>
        <v>1005317793.1900012</v>
      </c>
      <c r="U79" s="124">
        <f>SUM(U80:U87)</f>
        <v>30478105344.850002</v>
      </c>
      <c r="V79" s="123">
        <f t="shared" si="66"/>
        <v>-14602789.980001003</v>
      </c>
      <c r="W79" s="90">
        <f t="shared" si="59"/>
        <v>1645005266.1500015</v>
      </c>
    </row>
    <row r="80" spans="1:24" ht="15" x14ac:dyDescent="0.25">
      <c r="A80" s="83" t="s">
        <v>56</v>
      </c>
      <c r="B80" s="103" t="s">
        <v>20</v>
      </c>
      <c r="C80" s="103" t="s">
        <v>8</v>
      </c>
      <c r="D80" s="12"/>
      <c r="E80" s="7"/>
      <c r="F80" s="88">
        <v>6228909066.5299997</v>
      </c>
      <c r="G80" s="88">
        <v>6284980379.0299997</v>
      </c>
      <c r="H80" s="24">
        <f>G80-F80</f>
        <v>56071312.5</v>
      </c>
      <c r="I80" s="106">
        <v>6284980379.0299997</v>
      </c>
      <c r="J80" s="125">
        <f>I80-G80</f>
        <v>0</v>
      </c>
      <c r="K80" s="126">
        <v>6284980379.0299997</v>
      </c>
      <c r="L80" s="125">
        <f>K80-I80</f>
        <v>0</v>
      </c>
      <c r="M80" s="126">
        <v>6284980379.0299997</v>
      </c>
      <c r="N80" s="125">
        <f>M80-K80</f>
        <v>0</v>
      </c>
      <c r="O80" s="126">
        <v>6284980379.0299997</v>
      </c>
      <c r="P80" s="125">
        <f>O80-M80</f>
        <v>0</v>
      </c>
      <c r="Q80" s="126">
        <v>6281633131.5799999</v>
      </c>
      <c r="R80" s="125">
        <f>Q80-O80</f>
        <v>-3347247.4499998093</v>
      </c>
      <c r="S80" s="126">
        <v>6605999726.5799999</v>
      </c>
      <c r="T80" s="125">
        <f>S80-Q80</f>
        <v>324366595</v>
      </c>
      <c r="U80" s="126">
        <v>6599999726.5799999</v>
      </c>
      <c r="V80" s="125">
        <f>U80-S80</f>
        <v>-6000000</v>
      </c>
      <c r="W80" s="87">
        <f t="shared" si="59"/>
        <v>371090660.05000019</v>
      </c>
    </row>
    <row r="81" spans="1:24" ht="15" x14ac:dyDescent="0.25">
      <c r="A81" s="83" t="s">
        <v>57</v>
      </c>
      <c r="B81" s="103" t="s">
        <v>20</v>
      </c>
      <c r="C81" s="103" t="s">
        <v>10</v>
      </c>
      <c r="D81" s="11"/>
      <c r="E81" s="7"/>
      <c r="F81" s="88">
        <v>16016061593.700001</v>
      </c>
      <c r="G81" s="88">
        <v>16311235438.26</v>
      </c>
      <c r="H81" s="24">
        <f t="shared" ref="H81:H87" si="67">G81-F81</f>
        <v>295173844.55999947</v>
      </c>
      <c r="I81" s="106">
        <v>16557960490.52</v>
      </c>
      <c r="J81" s="125">
        <f t="shared" ref="J81:J87" si="68">I81-G81</f>
        <v>246725052.26000023</v>
      </c>
      <c r="K81" s="126">
        <v>16557960490.52</v>
      </c>
      <c r="L81" s="125">
        <f t="shared" ref="L81:L87" si="69">K81-I81</f>
        <v>0</v>
      </c>
      <c r="M81" s="126">
        <v>16557960490.52</v>
      </c>
      <c r="N81" s="125">
        <f t="shared" ref="N81:T87" si="70">M81-K81</f>
        <v>0</v>
      </c>
      <c r="O81" s="126">
        <v>16325203669.26</v>
      </c>
      <c r="P81" s="125">
        <f t="shared" si="70"/>
        <v>-232756821.26000023</v>
      </c>
      <c r="Q81" s="126">
        <v>16331170919.709999</v>
      </c>
      <c r="R81" s="125">
        <f t="shared" si="70"/>
        <v>5967250.4499988556</v>
      </c>
      <c r="S81" s="126">
        <v>16959305014.6</v>
      </c>
      <c r="T81" s="125">
        <f t="shared" si="70"/>
        <v>628134094.8900013</v>
      </c>
      <c r="U81" s="126">
        <v>16958239943.459999</v>
      </c>
      <c r="V81" s="125">
        <f t="shared" ref="V81:V87" si="71">U81-S81</f>
        <v>-1065071.140001297</v>
      </c>
      <c r="W81" s="87">
        <f t="shared" si="59"/>
        <v>942178349.75999832</v>
      </c>
    </row>
    <row r="82" spans="1:24" ht="15" x14ac:dyDescent="0.25">
      <c r="A82" s="83" t="s">
        <v>95</v>
      </c>
      <c r="B82" s="103" t="s">
        <v>20</v>
      </c>
      <c r="C82" s="103" t="s">
        <v>12</v>
      </c>
      <c r="D82" s="11"/>
      <c r="E82" s="7"/>
      <c r="F82" s="88">
        <v>685021727.88999999</v>
      </c>
      <c r="G82" s="88">
        <v>688151327.88999999</v>
      </c>
      <c r="H82" s="24">
        <f t="shared" si="67"/>
        <v>3129600</v>
      </c>
      <c r="I82" s="106">
        <v>688331327.88999999</v>
      </c>
      <c r="J82" s="125">
        <f t="shared" si="68"/>
        <v>180000</v>
      </c>
      <c r="K82" s="126">
        <v>689197327.88999999</v>
      </c>
      <c r="L82" s="125">
        <f t="shared" si="69"/>
        <v>866000</v>
      </c>
      <c r="M82" s="126">
        <v>689197327.88999999</v>
      </c>
      <c r="N82" s="125">
        <f t="shared" si="70"/>
        <v>0</v>
      </c>
      <c r="O82" s="126">
        <v>688280064.78999996</v>
      </c>
      <c r="P82" s="125">
        <f t="shared" si="70"/>
        <v>-917263.10000002384</v>
      </c>
      <c r="Q82" s="126">
        <v>688961399.17999995</v>
      </c>
      <c r="R82" s="125">
        <f t="shared" si="70"/>
        <v>681334.38999998569</v>
      </c>
      <c r="S82" s="126">
        <v>734070424.17999995</v>
      </c>
      <c r="T82" s="125">
        <f t="shared" si="70"/>
        <v>45109025</v>
      </c>
      <c r="U82" s="126">
        <v>735402152.35000002</v>
      </c>
      <c r="V82" s="125">
        <f t="shared" si="71"/>
        <v>1331728.1700000763</v>
      </c>
      <c r="W82" s="87">
        <f t="shared" si="59"/>
        <v>50380424.460000038</v>
      </c>
    </row>
    <row r="83" spans="1:24" ht="15" x14ac:dyDescent="0.25">
      <c r="A83" s="83" t="s">
        <v>58</v>
      </c>
      <c r="B83" s="103" t="s">
        <v>20</v>
      </c>
      <c r="C83" s="103" t="s">
        <v>14</v>
      </c>
      <c r="D83" s="11"/>
      <c r="E83" s="7"/>
      <c r="F83" s="88">
        <v>3277273909.9499998</v>
      </c>
      <c r="G83" s="88">
        <v>3318664988.6199999</v>
      </c>
      <c r="H83" s="24">
        <f t="shared" si="67"/>
        <v>41391078.670000076</v>
      </c>
      <c r="I83" s="106">
        <v>3313247308.6199999</v>
      </c>
      <c r="J83" s="125">
        <f t="shared" si="68"/>
        <v>-5417680</v>
      </c>
      <c r="K83" s="126">
        <v>3312381308.6199999</v>
      </c>
      <c r="L83" s="125">
        <f t="shared" si="69"/>
        <v>-866000</v>
      </c>
      <c r="M83" s="126">
        <v>3312381308.6199999</v>
      </c>
      <c r="N83" s="125">
        <f t="shared" si="70"/>
        <v>0</v>
      </c>
      <c r="O83" s="126">
        <v>3328733630.25</v>
      </c>
      <c r="P83" s="125">
        <f t="shared" si="70"/>
        <v>16352321.630000114</v>
      </c>
      <c r="Q83" s="126">
        <v>3304256228.9400001</v>
      </c>
      <c r="R83" s="125">
        <f t="shared" si="70"/>
        <v>-24477401.309999943</v>
      </c>
      <c r="S83" s="126">
        <v>3311090513.98</v>
      </c>
      <c r="T83" s="125">
        <f t="shared" si="70"/>
        <v>6834285.0399999619</v>
      </c>
      <c r="U83" s="126">
        <v>3313568017.0100002</v>
      </c>
      <c r="V83" s="125">
        <f t="shared" si="71"/>
        <v>2477503.0300002098</v>
      </c>
      <c r="W83" s="87">
        <f t="shared" si="59"/>
        <v>36294107.06000042</v>
      </c>
    </row>
    <row r="84" spans="1:24" s="10" customFormat="1" ht="30" x14ac:dyDescent="0.2">
      <c r="A84" s="83" t="s">
        <v>59</v>
      </c>
      <c r="B84" s="103" t="s">
        <v>20</v>
      </c>
      <c r="C84" s="103" t="s">
        <v>16</v>
      </c>
      <c r="D84" s="8"/>
      <c r="E84" s="9"/>
      <c r="F84" s="88">
        <v>152334961</v>
      </c>
      <c r="G84" s="88">
        <v>167705861</v>
      </c>
      <c r="H84" s="24">
        <f t="shared" si="67"/>
        <v>15370900</v>
      </c>
      <c r="I84" s="106">
        <v>172053541</v>
      </c>
      <c r="J84" s="125">
        <f t="shared" si="68"/>
        <v>4347680</v>
      </c>
      <c r="K84" s="126">
        <v>172053541</v>
      </c>
      <c r="L84" s="125">
        <f t="shared" si="69"/>
        <v>0</v>
      </c>
      <c r="M84" s="126">
        <v>172053541</v>
      </c>
      <c r="N84" s="125">
        <f t="shared" si="70"/>
        <v>0</v>
      </c>
      <c r="O84" s="126">
        <v>182665512.84999999</v>
      </c>
      <c r="P84" s="125">
        <f t="shared" si="70"/>
        <v>10611971.849999994</v>
      </c>
      <c r="Q84" s="126">
        <v>183753162.84999999</v>
      </c>
      <c r="R84" s="125">
        <f t="shared" si="70"/>
        <v>1087650</v>
      </c>
      <c r="S84" s="126">
        <v>184662356.11000001</v>
      </c>
      <c r="T84" s="125">
        <f t="shared" si="70"/>
        <v>909193.26000002027</v>
      </c>
      <c r="U84" s="126">
        <v>185207203.09</v>
      </c>
      <c r="V84" s="125">
        <f t="shared" si="71"/>
        <v>544846.97999998927</v>
      </c>
      <c r="W84" s="87">
        <f t="shared" si="59"/>
        <v>32872242.090000004</v>
      </c>
      <c r="X84" s="1"/>
    </row>
    <row r="85" spans="1:24" s="10" customFormat="1" ht="15" x14ac:dyDescent="0.2">
      <c r="A85" s="83" t="s">
        <v>149</v>
      </c>
      <c r="B85" s="103" t="s">
        <v>20</v>
      </c>
      <c r="C85" s="103" t="s">
        <v>18</v>
      </c>
      <c r="D85" s="8"/>
      <c r="E85" s="9"/>
      <c r="F85" s="88">
        <v>15000000</v>
      </c>
      <c r="H85" s="24">
        <f t="shared" si="67"/>
        <v>-15000000</v>
      </c>
      <c r="I85" s="106"/>
      <c r="J85" s="125">
        <f t="shared" si="68"/>
        <v>0</v>
      </c>
      <c r="K85" s="126"/>
      <c r="L85" s="125">
        <f t="shared" si="69"/>
        <v>0</v>
      </c>
      <c r="M85" s="126"/>
      <c r="N85" s="125">
        <f t="shared" si="70"/>
        <v>0</v>
      </c>
      <c r="O85" s="126"/>
      <c r="P85" s="125">
        <f t="shared" si="70"/>
        <v>0</v>
      </c>
      <c r="Q85" s="126"/>
      <c r="R85" s="125">
        <f t="shared" si="70"/>
        <v>0</v>
      </c>
      <c r="S85" s="126"/>
      <c r="T85" s="125">
        <f t="shared" si="70"/>
        <v>0</v>
      </c>
      <c r="U85" s="126"/>
      <c r="V85" s="125">
        <f t="shared" si="71"/>
        <v>0</v>
      </c>
      <c r="W85" s="87">
        <f t="shared" si="59"/>
        <v>-15000000</v>
      </c>
      <c r="X85" s="1"/>
    </row>
    <row r="86" spans="1:24" ht="15" x14ac:dyDescent="0.25">
      <c r="A86" s="83" t="s">
        <v>129</v>
      </c>
      <c r="B86" s="103" t="s">
        <v>20</v>
      </c>
      <c r="C86" s="103" t="s">
        <v>20</v>
      </c>
      <c r="D86" s="11"/>
      <c r="E86" s="7"/>
      <c r="F86" s="88">
        <v>354445350</v>
      </c>
      <c r="G86" s="88">
        <v>508407391.95999998</v>
      </c>
      <c r="H86" s="24">
        <f t="shared" si="67"/>
        <v>153962041.95999998</v>
      </c>
      <c r="I86" s="106">
        <v>508707391.95999998</v>
      </c>
      <c r="J86" s="125">
        <f t="shared" si="68"/>
        <v>300000</v>
      </c>
      <c r="K86" s="126">
        <v>508707391.95999998</v>
      </c>
      <c r="L86" s="125">
        <f t="shared" si="69"/>
        <v>0</v>
      </c>
      <c r="M86" s="126">
        <v>508707391.95999998</v>
      </c>
      <c r="N86" s="125">
        <f t="shared" si="70"/>
        <v>0</v>
      </c>
      <c r="O86" s="126">
        <v>508707391.95999998</v>
      </c>
      <c r="P86" s="125">
        <f t="shared" si="70"/>
        <v>0</v>
      </c>
      <c r="Q86" s="126">
        <v>509247311.95999998</v>
      </c>
      <c r="R86" s="125">
        <f t="shared" si="70"/>
        <v>539920</v>
      </c>
      <c r="S86" s="126">
        <v>509247311.95999998</v>
      </c>
      <c r="T86" s="125">
        <f t="shared" si="70"/>
        <v>0</v>
      </c>
      <c r="U86" s="126">
        <v>509247311.95999998</v>
      </c>
      <c r="V86" s="125">
        <f t="shared" si="71"/>
        <v>0</v>
      </c>
      <c r="W86" s="87">
        <f t="shared" si="59"/>
        <v>154801961.95999998</v>
      </c>
    </row>
    <row r="87" spans="1:24" ht="15" x14ac:dyDescent="0.25">
      <c r="A87" s="83" t="s">
        <v>61</v>
      </c>
      <c r="B87" s="103" t="s">
        <v>20</v>
      </c>
      <c r="C87" s="103" t="s">
        <v>33</v>
      </c>
      <c r="D87" s="11"/>
      <c r="E87" s="7"/>
      <c r="F87" s="88">
        <v>2104053469.6300001</v>
      </c>
      <c r="G87" s="88">
        <v>2123777745.8</v>
      </c>
      <c r="H87" s="24">
        <f t="shared" si="67"/>
        <v>19724276.169999838</v>
      </c>
      <c r="I87" s="106">
        <v>2130973307.4400001</v>
      </c>
      <c r="J87" s="125">
        <f t="shared" si="68"/>
        <v>7195561.6400001049</v>
      </c>
      <c r="K87" s="126">
        <v>2133951078.4400001</v>
      </c>
      <c r="L87" s="125">
        <f t="shared" si="69"/>
        <v>2977771</v>
      </c>
      <c r="M87" s="126">
        <v>2133951078.4400001</v>
      </c>
      <c r="N87" s="125">
        <f t="shared" si="70"/>
        <v>0</v>
      </c>
      <c r="O87" s="126">
        <v>2156701088.9699998</v>
      </c>
      <c r="P87" s="125">
        <f t="shared" si="70"/>
        <v>22750010.529999733</v>
      </c>
      <c r="Q87" s="126">
        <v>2188368187.4200001</v>
      </c>
      <c r="R87" s="125">
        <f t="shared" si="70"/>
        <v>31667098.450000286</v>
      </c>
      <c r="S87" s="126">
        <v>2188332787.4200001</v>
      </c>
      <c r="T87" s="125">
        <f t="shared" si="70"/>
        <v>-35400</v>
      </c>
      <c r="U87" s="126">
        <v>2176440990.4000001</v>
      </c>
      <c r="V87" s="125">
        <f t="shared" si="71"/>
        <v>-11891797.019999981</v>
      </c>
      <c r="W87" s="87">
        <f t="shared" si="59"/>
        <v>72387520.769999981</v>
      </c>
    </row>
    <row r="88" spans="1:24" s="61" customFormat="1" ht="14.25" x14ac:dyDescent="0.2">
      <c r="A88" s="130" t="s">
        <v>151</v>
      </c>
      <c r="B88" s="131" t="s">
        <v>44</v>
      </c>
      <c r="C88" s="132" t="s">
        <v>9</v>
      </c>
      <c r="D88" s="6">
        <f t="shared" ref="D88:T88" si="72">SUM(D89:D90)</f>
        <v>0</v>
      </c>
      <c r="E88" s="6">
        <f t="shared" si="72"/>
        <v>0</v>
      </c>
      <c r="F88" s="37">
        <f t="shared" si="72"/>
        <v>1596969883.4000001</v>
      </c>
      <c r="G88" s="37">
        <f t="shared" si="72"/>
        <v>1720703137.8300002</v>
      </c>
      <c r="H88" s="38">
        <f t="shared" si="72"/>
        <v>123733254.43000001</v>
      </c>
      <c r="I88" s="105">
        <f t="shared" si="72"/>
        <v>1720473137.8300002</v>
      </c>
      <c r="J88" s="123">
        <f t="shared" si="72"/>
        <v>-230000</v>
      </c>
      <c r="K88" s="124">
        <f t="shared" si="72"/>
        <v>1723450906.8300002</v>
      </c>
      <c r="L88" s="123">
        <f t="shared" si="72"/>
        <v>2977769</v>
      </c>
      <c r="M88" s="124">
        <f t="shared" si="72"/>
        <v>1723450906.8300002</v>
      </c>
      <c r="N88" s="123">
        <f t="shared" si="72"/>
        <v>0</v>
      </c>
      <c r="O88" s="124">
        <f t="shared" si="72"/>
        <v>1720631363.3300002</v>
      </c>
      <c r="P88" s="123">
        <f t="shared" si="72"/>
        <v>-2819543.5</v>
      </c>
      <c r="Q88" s="124">
        <f t="shared" si="72"/>
        <v>1718114640.0700002</v>
      </c>
      <c r="R88" s="123">
        <f t="shared" si="72"/>
        <v>-2516723.2599999905</v>
      </c>
      <c r="S88" s="124">
        <f t="shared" si="72"/>
        <v>1716744315.1900001</v>
      </c>
      <c r="T88" s="123">
        <f t="shared" si="72"/>
        <v>-1370324.8800000027</v>
      </c>
      <c r="U88" s="124">
        <f t="shared" ref="U88:V88" si="73">SUM(U89:U90)</f>
        <v>1716587993.02</v>
      </c>
      <c r="V88" s="123">
        <f t="shared" si="73"/>
        <v>-156322.17000007629</v>
      </c>
      <c r="W88" s="90">
        <f t="shared" si="59"/>
        <v>119618109.61999989</v>
      </c>
    </row>
    <row r="89" spans="1:24" ht="15" x14ac:dyDescent="0.25">
      <c r="A89" s="83" t="s">
        <v>62</v>
      </c>
      <c r="B89" s="103" t="s">
        <v>44</v>
      </c>
      <c r="C89" s="103" t="s">
        <v>8</v>
      </c>
      <c r="D89" s="11"/>
      <c r="E89" s="7"/>
      <c r="F89" s="88">
        <v>1555716583.4000001</v>
      </c>
      <c r="G89" s="88">
        <v>1675029963.4000001</v>
      </c>
      <c r="H89" s="24">
        <f>G89-F89</f>
        <v>119313380</v>
      </c>
      <c r="I89" s="106">
        <v>1674799963.4000001</v>
      </c>
      <c r="J89" s="125">
        <f>I89-G89</f>
        <v>-230000</v>
      </c>
      <c r="K89" s="126">
        <v>1674799963.4000001</v>
      </c>
      <c r="L89" s="125">
        <f>K89-I89</f>
        <v>0</v>
      </c>
      <c r="M89" s="126">
        <v>1674799963.4000001</v>
      </c>
      <c r="N89" s="125">
        <f>M89-K89</f>
        <v>0</v>
      </c>
      <c r="O89" s="126">
        <v>1671968519.9000001</v>
      </c>
      <c r="P89" s="125">
        <f>O89-M89</f>
        <v>-2831443.5</v>
      </c>
      <c r="Q89" s="126">
        <v>1669451796.6400001</v>
      </c>
      <c r="R89" s="125">
        <f>Q89-O89</f>
        <v>-2516723.2599999905</v>
      </c>
      <c r="S89" s="126">
        <v>1667492892.8900001</v>
      </c>
      <c r="T89" s="125">
        <f>S89-Q89</f>
        <v>-1958903.75</v>
      </c>
      <c r="U89" s="126">
        <v>1666840129.22</v>
      </c>
      <c r="V89" s="125">
        <f>U89-S89</f>
        <v>-652763.67000007629</v>
      </c>
      <c r="W89" s="87">
        <f t="shared" si="59"/>
        <v>111123545.81999993</v>
      </c>
    </row>
    <row r="90" spans="1:24" ht="15" x14ac:dyDescent="0.25">
      <c r="A90" s="83" t="s">
        <v>63</v>
      </c>
      <c r="B90" s="103" t="s">
        <v>44</v>
      </c>
      <c r="C90" s="103" t="s">
        <v>14</v>
      </c>
      <c r="D90" s="11"/>
      <c r="E90" s="7"/>
      <c r="F90" s="88">
        <v>41253300</v>
      </c>
      <c r="G90" s="88">
        <v>45673174.43</v>
      </c>
      <c r="H90" s="24">
        <f>G90-F90</f>
        <v>4419874.43</v>
      </c>
      <c r="I90" s="106">
        <v>45673174.43</v>
      </c>
      <c r="J90" s="125">
        <f>I90-G90</f>
        <v>0</v>
      </c>
      <c r="K90" s="126">
        <v>48650943.43</v>
      </c>
      <c r="L90" s="125">
        <f>K90-I90</f>
        <v>2977769</v>
      </c>
      <c r="M90" s="126">
        <v>48650943.43</v>
      </c>
      <c r="N90" s="125">
        <f>M90-K90</f>
        <v>0</v>
      </c>
      <c r="O90" s="126">
        <v>48662843.43</v>
      </c>
      <c r="P90" s="125">
        <f>O90-M90</f>
        <v>11900</v>
      </c>
      <c r="Q90" s="126">
        <v>48662843.43</v>
      </c>
      <c r="R90" s="125">
        <f>Q90-O90</f>
        <v>0</v>
      </c>
      <c r="S90" s="126">
        <v>49251422.299999997</v>
      </c>
      <c r="T90" s="125">
        <f>S90-Q90</f>
        <v>588578.86999999732</v>
      </c>
      <c r="U90" s="126">
        <v>49747863.799999997</v>
      </c>
      <c r="V90" s="125">
        <f>U90-S90</f>
        <v>496441.5</v>
      </c>
      <c r="W90" s="87">
        <f t="shared" si="59"/>
        <v>8494563.799999997</v>
      </c>
    </row>
    <row r="91" spans="1:24" s="61" customFormat="1" ht="14.25" x14ac:dyDescent="0.2">
      <c r="A91" s="130" t="s">
        <v>64</v>
      </c>
      <c r="B91" s="131" t="s">
        <v>33</v>
      </c>
      <c r="C91" s="132" t="s">
        <v>9</v>
      </c>
      <c r="D91" s="6">
        <f t="shared" ref="D91:T91" si="74">SUM(D92:D97)</f>
        <v>0</v>
      </c>
      <c r="E91" s="6">
        <f t="shared" si="74"/>
        <v>0</v>
      </c>
      <c r="F91" s="37">
        <f t="shared" si="74"/>
        <v>11828550906.200001</v>
      </c>
      <c r="G91" s="37">
        <f t="shared" si="74"/>
        <v>13886309036.99</v>
      </c>
      <c r="H91" s="38">
        <f t="shared" si="74"/>
        <v>2057758130.79</v>
      </c>
      <c r="I91" s="105">
        <f t="shared" si="74"/>
        <v>14246646207.07</v>
      </c>
      <c r="J91" s="123">
        <f t="shared" si="74"/>
        <v>360337170.07999992</v>
      </c>
      <c r="K91" s="124">
        <f t="shared" si="74"/>
        <v>15568728282.42</v>
      </c>
      <c r="L91" s="123">
        <f t="shared" si="74"/>
        <v>1322082075.3500004</v>
      </c>
      <c r="M91" s="124">
        <f t="shared" si="74"/>
        <v>16794993125.5</v>
      </c>
      <c r="N91" s="123">
        <f t="shared" si="74"/>
        <v>1226264843.0799999</v>
      </c>
      <c r="O91" s="124">
        <f t="shared" si="74"/>
        <v>17003419303.43</v>
      </c>
      <c r="P91" s="123">
        <f t="shared" si="74"/>
        <v>208426177.92999935</v>
      </c>
      <c r="Q91" s="124">
        <f t="shared" si="74"/>
        <v>17185086936.970001</v>
      </c>
      <c r="R91" s="123">
        <f t="shared" si="74"/>
        <v>181667633.53999996</v>
      </c>
      <c r="S91" s="124">
        <f t="shared" si="74"/>
        <v>18416185855.09</v>
      </c>
      <c r="T91" s="123">
        <f t="shared" si="74"/>
        <v>1231098918.1200006</v>
      </c>
      <c r="U91" s="124">
        <f t="shared" ref="U91:V91" si="75">SUM(U92:U97)</f>
        <v>18449230428.459999</v>
      </c>
      <c r="V91" s="123">
        <f t="shared" si="75"/>
        <v>33044573.369999886</v>
      </c>
      <c r="W91" s="90">
        <f t="shared" si="59"/>
        <v>6620679522.2599983</v>
      </c>
    </row>
    <row r="92" spans="1:24" ht="15" x14ac:dyDescent="0.25">
      <c r="A92" s="83" t="s">
        <v>65</v>
      </c>
      <c r="B92" s="103" t="s">
        <v>33</v>
      </c>
      <c r="C92" s="103" t="s">
        <v>8</v>
      </c>
      <c r="D92" s="11"/>
      <c r="E92" s="7"/>
      <c r="F92" s="88">
        <v>3641634712.4899998</v>
      </c>
      <c r="G92" s="88">
        <v>4309753590.6599998</v>
      </c>
      <c r="H92" s="24">
        <f>G92-F92</f>
        <v>668118878.17000008</v>
      </c>
      <c r="I92" s="106">
        <v>4309753590.6599998</v>
      </c>
      <c r="J92" s="125">
        <f t="shared" ref="J92:J97" si="76">I92-G92</f>
        <v>0</v>
      </c>
      <c r="K92" s="126">
        <v>5435518878.6499996</v>
      </c>
      <c r="L92" s="125">
        <f t="shared" ref="L92:L97" si="77">K92-I92</f>
        <v>1125765287.9899998</v>
      </c>
      <c r="M92" s="126">
        <v>6661783721.7299995</v>
      </c>
      <c r="N92" s="125">
        <f t="shared" ref="N92:T97" si="78">M92-K92</f>
        <v>1226264843.0799999</v>
      </c>
      <c r="O92" s="126">
        <v>6676329381.7299995</v>
      </c>
      <c r="P92" s="125">
        <f t="shared" si="78"/>
        <v>14545660</v>
      </c>
      <c r="Q92" s="126">
        <v>6681819551.7299995</v>
      </c>
      <c r="R92" s="125">
        <f t="shared" si="78"/>
        <v>5490170</v>
      </c>
      <c r="S92" s="126">
        <v>6854436471.7299995</v>
      </c>
      <c r="T92" s="125">
        <f t="shared" si="78"/>
        <v>172616920</v>
      </c>
      <c r="U92" s="126">
        <v>6862633571.7299995</v>
      </c>
      <c r="V92" s="125">
        <f t="shared" ref="V92:V97" si="79">U92-S92</f>
        <v>8197100</v>
      </c>
      <c r="W92" s="87">
        <f t="shared" si="59"/>
        <v>3220998859.2399998</v>
      </c>
    </row>
    <row r="93" spans="1:24" ht="15" x14ac:dyDescent="0.25">
      <c r="A93" s="83" t="s">
        <v>66</v>
      </c>
      <c r="B93" s="103" t="s">
        <v>33</v>
      </c>
      <c r="C93" s="103" t="s">
        <v>10</v>
      </c>
      <c r="D93" s="12"/>
      <c r="E93" s="7"/>
      <c r="F93" s="88">
        <v>2767514820</v>
      </c>
      <c r="G93" s="88">
        <v>2883371684.3400002</v>
      </c>
      <c r="H93" s="24">
        <f t="shared" ref="H93:H97" si="80">G93-F93</f>
        <v>115856864.34000015</v>
      </c>
      <c r="I93" s="106">
        <v>2883371684.3400002</v>
      </c>
      <c r="J93" s="125">
        <f t="shared" si="76"/>
        <v>0</v>
      </c>
      <c r="K93" s="126">
        <v>2883371684.3400002</v>
      </c>
      <c r="L93" s="125">
        <f t="shared" si="77"/>
        <v>0</v>
      </c>
      <c r="M93" s="126">
        <v>2883371684.3400002</v>
      </c>
      <c r="N93" s="125">
        <f t="shared" si="78"/>
        <v>0</v>
      </c>
      <c r="O93" s="126">
        <v>3054389384.3400002</v>
      </c>
      <c r="P93" s="125">
        <f t="shared" si="78"/>
        <v>171017700</v>
      </c>
      <c r="Q93" s="126">
        <v>3204666084.3400002</v>
      </c>
      <c r="R93" s="125">
        <f t="shared" si="78"/>
        <v>150276700</v>
      </c>
      <c r="S93" s="126">
        <v>3223022557.8099999</v>
      </c>
      <c r="T93" s="125">
        <f t="shared" si="78"/>
        <v>18356473.46999979</v>
      </c>
      <c r="U93" s="126">
        <v>3224825457.8099999</v>
      </c>
      <c r="V93" s="125">
        <f t="shared" si="79"/>
        <v>1802900</v>
      </c>
      <c r="W93" s="87">
        <f t="shared" si="59"/>
        <v>457310637.80999994</v>
      </c>
    </row>
    <row r="94" spans="1:24" ht="15" x14ac:dyDescent="0.25">
      <c r="A94" s="83" t="s">
        <v>130</v>
      </c>
      <c r="B94" s="103" t="s">
        <v>33</v>
      </c>
      <c r="C94" s="103" t="s">
        <v>14</v>
      </c>
      <c r="D94" s="12"/>
      <c r="E94" s="7"/>
      <c r="F94" s="88">
        <v>105749950</v>
      </c>
      <c r="G94" s="88">
        <v>105749950</v>
      </c>
      <c r="H94" s="24">
        <f t="shared" si="80"/>
        <v>0</v>
      </c>
      <c r="I94" s="106">
        <v>105749950</v>
      </c>
      <c r="J94" s="125">
        <f t="shared" si="76"/>
        <v>0</v>
      </c>
      <c r="K94" s="126">
        <v>105749950</v>
      </c>
      <c r="L94" s="125">
        <f t="shared" si="77"/>
        <v>0</v>
      </c>
      <c r="M94" s="126">
        <v>105749950</v>
      </c>
      <c r="N94" s="125">
        <f t="shared" si="78"/>
        <v>0</v>
      </c>
      <c r="O94" s="126">
        <v>105749950</v>
      </c>
      <c r="P94" s="125">
        <f t="shared" si="78"/>
        <v>0</v>
      </c>
      <c r="Q94" s="126">
        <v>106065700</v>
      </c>
      <c r="R94" s="125">
        <f t="shared" si="78"/>
        <v>315750</v>
      </c>
      <c r="S94" s="126">
        <v>110065700</v>
      </c>
      <c r="T94" s="125">
        <f t="shared" si="78"/>
        <v>4000000</v>
      </c>
      <c r="U94" s="126">
        <v>110065700</v>
      </c>
      <c r="V94" s="125">
        <f t="shared" si="79"/>
        <v>0</v>
      </c>
      <c r="W94" s="87">
        <f t="shared" si="59"/>
        <v>4315750</v>
      </c>
    </row>
    <row r="95" spans="1:24" ht="15" x14ac:dyDescent="0.25">
      <c r="A95" s="83" t="s">
        <v>68</v>
      </c>
      <c r="B95" s="103" t="s">
        <v>33</v>
      </c>
      <c r="C95" s="103" t="s">
        <v>16</v>
      </c>
      <c r="D95" s="11"/>
      <c r="E95" s="7"/>
      <c r="F95" s="88">
        <v>233486502</v>
      </c>
      <c r="G95" s="88">
        <v>234536526</v>
      </c>
      <c r="H95" s="24">
        <f t="shared" si="80"/>
        <v>1050024</v>
      </c>
      <c r="I95" s="106">
        <v>234536526</v>
      </c>
      <c r="J95" s="125">
        <f t="shared" si="76"/>
        <v>0</v>
      </c>
      <c r="K95" s="126">
        <v>234536526</v>
      </c>
      <c r="L95" s="125">
        <f t="shared" si="77"/>
        <v>0</v>
      </c>
      <c r="M95" s="126">
        <v>234536526</v>
      </c>
      <c r="N95" s="125">
        <f t="shared" si="78"/>
        <v>0</v>
      </c>
      <c r="O95" s="126">
        <v>234093526</v>
      </c>
      <c r="P95" s="125">
        <f t="shared" si="78"/>
        <v>-443000</v>
      </c>
      <c r="Q95" s="126">
        <v>234421796</v>
      </c>
      <c r="R95" s="125">
        <f t="shared" si="78"/>
        <v>328270</v>
      </c>
      <c r="S95" s="126">
        <v>241601023.19999999</v>
      </c>
      <c r="T95" s="125">
        <f t="shared" si="78"/>
        <v>7179227.1999999881</v>
      </c>
      <c r="U95" s="126">
        <v>241601023.19999999</v>
      </c>
      <c r="V95" s="125">
        <f t="shared" si="79"/>
        <v>0</v>
      </c>
      <c r="W95" s="87">
        <f t="shared" si="59"/>
        <v>8114521.1999999881</v>
      </c>
    </row>
    <row r="96" spans="1:24" s="10" customFormat="1" ht="30" x14ac:dyDescent="0.2">
      <c r="A96" s="83" t="s">
        <v>131</v>
      </c>
      <c r="B96" s="103" t="s">
        <v>33</v>
      </c>
      <c r="C96" s="103" t="s">
        <v>18</v>
      </c>
      <c r="D96" s="8"/>
      <c r="E96" s="9"/>
      <c r="F96" s="88">
        <v>280467900</v>
      </c>
      <c r="G96" s="88">
        <v>280467900</v>
      </c>
      <c r="H96" s="24">
        <f t="shared" si="80"/>
        <v>0</v>
      </c>
      <c r="I96" s="106">
        <v>280467900</v>
      </c>
      <c r="J96" s="125">
        <f t="shared" si="76"/>
        <v>0</v>
      </c>
      <c r="K96" s="126">
        <v>280467900</v>
      </c>
      <c r="L96" s="125">
        <f t="shared" si="77"/>
        <v>0</v>
      </c>
      <c r="M96" s="126">
        <v>280467900</v>
      </c>
      <c r="N96" s="125">
        <f t="shared" si="78"/>
        <v>0</v>
      </c>
      <c r="O96" s="126">
        <v>280467900</v>
      </c>
      <c r="P96" s="125">
        <f t="shared" si="78"/>
        <v>0</v>
      </c>
      <c r="Q96" s="126">
        <v>280949350</v>
      </c>
      <c r="R96" s="125">
        <f t="shared" si="78"/>
        <v>481450</v>
      </c>
      <c r="S96" s="126">
        <v>290249350</v>
      </c>
      <c r="T96" s="125">
        <f t="shared" si="78"/>
        <v>9300000</v>
      </c>
      <c r="U96" s="126">
        <v>290249350</v>
      </c>
      <c r="V96" s="125">
        <f t="shared" si="79"/>
        <v>0</v>
      </c>
      <c r="W96" s="87">
        <f t="shared" si="59"/>
        <v>9781450</v>
      </c>
      <c r="X96" s="1"/>
    </row>
    <row r="97" spans="1:24" ht="15" x14ac:dyDescent="0.25">
      <c r="A97" s="83" t="s">
        <v>70</v>
      </c>
      <c r="B97" s="103" t="s">
        <v>33</v>
      </c>
      <c r="C97" s="103" t="s">
        <v>33</v>
      </c>
      <c r="D97" s="11"/>
      <c r="E97" s="7"/>
      <c r="F97" s="88">
        <v>4799697021.71</v>
      </c>
      <c r="G97" s="88">
        <v>6072429385.9899998</v>
      </c>
      <c r="H97" s="24">
        <f t="shared" si="80"/>
        <v>1272732364.2799997</v>
      </c>
      <c r="I97" s="106">
        <v>6432766556.0699997</v>
      </c>
      <c r="J97" s="125">
        <f t="shared" si="76"/>
        <v>360337170.07999992</v>
      </c>
      <c r="K97" s="126">
        <v>6629083343.4300003</v>
      </c>
      <c r="L97" s="125">
        <f t="shared" si="77"/>
        <v>196316787.36000061</v>
      </c>
      <c r="M97" s="126">
        <v>6629083343.4300003</v>
      </c>
      <c r="N97" s="125">
        <f t="shared" si="78"/>
        <v>0</v>
      </c>
      <c r="O97" s="126">
        <v>6652389161.3599997</v>
      </c>
      <c r="P97" s="125">
        <f t="shared" si="78"/>
        <v>23305817.929999352</v>
      </c>
      <c r="Q97" s="126">
        <v>6677164454.8999996</v>
      </c>
      <c r="R97" s="125">
        <f t="shared" si="78"/>
        <v>24775293.539999962</v>
      </c>
      <c r="S97" s="126">
        <v>7696810752.3500004</v>
      </c>
      <c r="T97" s="125">
        <f t="shared" si="78"/>
        <v>1019646297.4500008</v>
      </c>
      <c r="U97" s="126">
        <v>7719855325.7200003</v>
      </c>
      <c r="V97" s="125">
        <f t="shared" si="79"/>
        <v>23044573.369999886</v>
      </c>
      <c r="W97" s="87">
        <f t="shared" si="59"/>
        <v>2920158304.0100002</v>
      </c>
    </row>
    <row r="98" spans="1:24" s="61" customFormat="1" ht="14.25" x14ac:dyDescent="0.2">
      <c r="A98" s="130" t="s">
        <v>71</v>
      </c>
      <c r="B98" s="131" t="s">
        <v>21</v>
      </c>
      <c r="C98" s="132" t="s">
        <v>9</v>
      </c>
      <c r="D98" s="6">
        <f t="shared" ref="D98:T98" si="81">SUM(D99:D103)</f>
        <v>0</v>
      </c>
      <c r="E98" s="6">
        <f t="shared" si="81"/>
        <v>0</v>
      </c>
      <c r="F98" s="37">
        <f t="shared" si="81"/>
        <v>28989832168.669998</v>
      </c>
      <c r="G98" s="37">
        <f t="shared" si="81"/>
        <v>30651241590.889999</v>
      </c>
      <c r="H98" s="38">
        <f t="shared" si="81"/>
        <v>1661409422.2200012</v>
      </c>
      <c r="I98" s="105">
        <f t="shared" si="81"/>
        <v>30875806190.080002</v>
      </c>
      <c r="J98" s="123">
        <f t="shared" si="81"/>
        <v>224564599.18999922</v>
      </c>
      <c r="K98" s="124">
        <f t="shared" si="81"/>
        <v>30993630071.080002</v>
      </c>
      <c r="L98" s="123">
        <f t="shared" si="81"/>
        <v>117823881</v>
      </c>
      <c r="M98" s="124">
        <f t="shared" si="81"/>
        <v>30993656103.080002</v>
      </c>
      <c r="N98" s="123">
        <f t="shared" si="81"/>
        <v>26032</v>
      </c>
      <c r="O98" s="124">
        <f t="shared" si="81"/>
        <v>31077512228.84</v>
      </c>
      <c r="P98" s="123">
        <f t="shared" si="81"/>
        <v>83856125.75999999</v>
      </c>
      <c r="Q98" s="124">
        <f t="shared" si="81"/>
        <v>31775839460.07</v>
      </c>
      <c r="R98" s="123">
        <f t="shared" si="81"/>
        <v>698327231.22999954</v>
      </c>
      <c r="S98" s="124">
        <f t="shared" si="81"/>
        <v>31274813516.610001</v>
      </c>
      <c r="T98" s="123">
        <f t="shared" si="81"/>
        <v>-501025943.4599998</v>
      </c>
      <c r="U98" s="124">
        <f t="shared" ref="U98:V98" si="82">SUM(U99:U103)</f>
        <v>31287498757.959999</v>
      </c>
      <c r="V98" s="123">
        <f t="shared" si="82"/>
        <v>12685241.349999428</v>
      </c>
      <c r="W98" s="90">
        <f t="shared" si="59"/>
        <v>2297666589.2900009</v>
      </c>
    </row>
    <row r="99" spans="1:24" ht="15" x14ac:dyDescent="0.25">
      <c r="A99" s="83" t="s">
        <v>72</v>
      </c>
      <c r="B99" s="103" t="s">
        <v>21</v>
      </c>
      <c r="C99" s="103" t="s">
        <v>8</v>
      </c>
      <c r="D99" s="11"/>
      <c r="E99" s="7"/>
      <c r="F99" s="88">
        <v>507754800</v>
      </c>
      <c r="G99" s="88">
        <v>507754800</v>
      </c>
      <c r="H99" s="24">
        <f>G99-F99</f>
        <v>0</v>
      </c>
      <c r="I99" s="106">
        <v>507754800</v>
      </c>
      <c r="J99" s="125">
        <f>I99-G99</f>
        <v>0</v>
      </c>
      <c r="K99" s="126">
        <v>507754800</v>
      </c>
      <c r="L99" s="125">
        <f>K99-I99</f>
        <v>0</v>
      </c>
      <c r="M99" s="126">
        <v>507754800</v>
      </c>
      <c r="N99" s="125">
        <f>M99-K99</f>
        <v>0</v>
      </c>
      <c r="O99" s="126">
        <v>603754800</v>
      </c>
      <c r="P99" s="125">
        <f>O99-M99</f>
        <v>96000000</v>
      </c>
      <c r="Q99" s="126">
        <v>681755276</v>
      </c>
      <c r="R99" s="125">
        <f>Q99-O99</f>
        <v>78000476</v>
      </c>
      <c r="S99" s="126">
        <v>687851397</v>
      </c>
      <c r="T99" s="125">
        <f>S99-Q99</f>
        <v>6096121</v>
      </c>
      <c r="U99" s="126">
        <v>687788597</v>
      </c>
      <c r="V99" s="125">
        <f>U99-S99</f>
        <v>-62800</v>
      </c>
      <c r="W99" s="87">
        <f t="shared" si="59"/>
        <v>180033797</v>
      </c>
    </row>
    <row r="100" spans="1:24" ht="15" x14ac:dyDescent="0.25">
      <c r="A100" s="83" t="s">
        <v>73</v>
      </c>
      <c r="B100" s="103" t="s">
        <v>21</v>
      </c>
      <c r="C100" s="103" t="s">
        <v>10</v>
      </c>
      <c r="D100" s="11"/>
      <c r="E100" s="7"/>
      <c r="F100" s="88">
        <v>6137783423.0200005</v>
      </c>
      <c r="G100" s="88">
        <v>6320785467.2399998</v>
      </c>
      <c r="H100" s="24">
        <f t="shared" ref="H100:H103" si="83">G100-F100</f>
        <v>183002044.21999931</v>
      </c>
      <c r="I100" s="106">
        <v>6360285467.2399998</v>
      </c>
      <c r="J100" s="125">
        <f>I100-G100</f>
        <v>39500000</v>
      </c>
      <c r="K100" s="126">
        <v>6476633700.2399998</v>
      </c>
      <c r="L100" s="125">
        <f>K100-I100</f>
        <v>116348233</v>
      </c>
      <c r="M100" s="126">
        <v>6476633700.2399998</v>
      </c>
      <c r="N100" s="125">
        <f>M100-K100</f>
        <v>0</v>
      </c>
      <c r="O100" s="126">
        <v>6459239680.8199997</v>
      </c>
      <c r="P100" s="125">
        <f>O100-M100</f>
        <v>-17394019.420000076</v>
      </c>
      <c r="Q100" s="126">
        <v>6485372075.8199997</v>
      </c>
      <c r="R100" s="125">
        <f>Q100-O100</f>
        <v>26132395</v>
      </c>
      <c r="S100" s="126">
        <v>6626692235.1499996</v>
      </c>
      <c r="T100" s="125">
        <f>S100-Q100</f>
        <v>141320159.32999992</v>
      </c>
      <c r="U100" s="126">
        <v>6680181703.1499996</v>
      </c>
      <c r="V100" s="125">
        <f>U100-S100</f>
        <v>53489468</v>
      </c>
      <c r="W100" s="87">
        <f t="shared" si="59"/>
        <v>542398280.12999916</v>
      </c>
    </row>
    <row r="101" spans="1:24" ht="15" x14ac:dyDescent="0.25">
      <c r="A101" s="83" t="s">
        <v>74</v>
      </c>
      <c r="B101" s="103" t="s">
        <v>21</v>
      </c>
      <c r="C101" s="103" t="s">
        <v>12</v>
      </c>
      <c r="D101" s="12"/>
      <c r="E101" s="7"/>
      <c r="F101" s="88">
        <v>16014518384.65</v>
      </c>
      <c r="G101" s="88">
        <v>17474684039.650002</v>
      </c>
      <c r="H101" s="24">
        <f>G101-F101</f>
        <v>1460165655.0000019</v>
      </c>
      <c r="I101" s="106">
        <v>17651861018.700001</v>
      </c>
      <c r="J101" s="125">
        <f>I101-G101</f>
        <v>177176979.04999924</v>
      </c>
      <c r="K101" s="126">
        <v>17651887050.700001</v>
      </c>
      <c r="L101" s="125">
        <f>K101-I101</f>
        <v>26032</v>
      </c>
      <c r="M101" s="126">
        <v>17651913082.700001</v>
      </c>
      <c r="N101" s="125">
        <f>M101-K101</f>
        <v>26032</v>
      </c>
      <c r="O101" s="126">
        <v>17676033046.700001</v>
      </c>
      <c r="P101" s="125">
        <f>O101-M101</f>
        <v>24119964</v>
      </c>
      <c r="Q101" s="126">
        <v>18299925246.93</v>
      </c>
      <c r="R101" s="125">
        <f>Q101-O101</f>
        <v>623892200.22999954</v>
      </c>
      <c r="S101" s="126">
        <v>17646320574.290001</v>
      </c>
      <c r="T101" s="125">
        <f>S101-Q101</f>
        <v>-653604672.63999939</v>
      </c>
      <c r="U101" s="126">
        <v>17746928524.84</v>
      </c>
      <c r="V101" s="125">
        <f>U101-S101</f>
        <v>100607950.54999924</v>
      </c>
      <c r="W101" s="87">
        <f t="shared" si="59"/>
        <v>1732410140.1900005</v>
      </c>
    </row>
    <row r="102" spans="1:24" ht="15" x14ac:dyDescent="0.25">
      <c r="A102" s="83" t="s">
        <v>75</v>
      </c>
      <c r="B102" s="103" t="s">
        <v>21</v>
      </c>
      <c r="C102" s="103" t="s">
        <v>14</v>
      </c>
      <c r="D102" s="11"/>
      <c r="E102" s="7"/>
      <c r="F102" s="88">
        <v>5569518280</v>
      </c>
      <c r="G102" s="88">
        <v>5569518280</v>
      </c>
      <c r="H102" s="24">
        <f t="shared" si="83"/>
        <v>0</v>
      </c>
      <c r="I102" s="106">
        <v>5570518280</v>
      </c>
      <c r="J102" s="125">
        <f>I102-G102</f>
        <v>1000000</v>
      </c>
      <c r="K102" s="126">
        <v>5570518280</v>
      </c>
      <c r="L102" s="125">
        <f>K102-I102</f>
        <v>0</v>
      </c>
      <c r="M102" s="126">
        <v>5570518280</v>
      </c>
      <c r="N102" s="125">
        <f>M102-K102</f>
        <v>0</v>
      </c>
      <c r="O102" s="126">
        <v>5564891012</v>
      </c>
      <c r="P102" s="125">
        <f>O102-M102</f>
        <v>-5627268</v>
      </c>
      <c r="Q102" s="126">
        <v>5536897495</v>
      </c>
      <c r="R102" s="125">
        <f>Q102-O102</f>
        <v>-27993517</v>
      </c>
      <c r="S102" s="126">
        <v>5543008081.2399998</v>
      </c>
      <c r="T102" s="125">
        <f>S102-Q102</f>
        <v>6110586.2399997711</v>
      </c>
      <c r="U102" s="126">
        <v>5406044374.04</v>
      </c>
      <c r="V102" s="125">
        <f>U102-S102</f>
        <v>-136963707.19999981</v>
      </c>
      <c r="W102" s="87">
        <f t="shared" si="59"/>
        <v>-163473905.96000004</v>
      </c>
    </row>
    <row r="103" spans="1:24" ht="15" x14ac:dyDescent="0.25">
      <c r="A103" s="83" t="s">
        <v>76</v>
      </c>
      <c r="B103" s="103" t="s">
        <v>21</v>
      </c>
      <c r="C103" s="103" t="s">
        <v>18</v>
      </c>
      <c r="D103" s="11"/>
      <c r="E103" s="7"/>
      <c r="F103" s="88">
        <v>760257281</v>
      </c>
      <c r="G103" s="88">
        <v>778499004</v>
      </c>
      <c r="H103" s="24">
        <f t="shared" si="83"/>
        <v>18241723</v>
      </c>
      <c r="I103" s="106">
        <v>785386624.13999999</v>
      </c>
      <c r="J103" s="125">
        <f>I103-G103</f>
        <v>6887620.1399999857</v>
      </c>
      <c r="K103" s="126">
        <v>786836240.13999999</v>
      </c>
      <c r="L103" s="125">
        <f>K103-I103</f>
        <v>1449616</v>
      </c>
      <c r="M103" s="126">
        <v>786836240.13999999</v>
      </c>
      <c r="N103" s="125">
        <f>M103-K103</f>
        <v>0</v>
      </c>
      <c r="O103" s="126">
        <v>773593689.32000005</v>
      </c>
      <c r="P103" s="125">
        <f>O103-M103</f>
        <v>-13242550.819999933</v>
      </c>
      <c r="Q103" s="126">
        <v>771889366.32000005</v>
      </c>
      <c r="R103" s="125">
        <f>Q103-O103</f>
        <v>-1704323</v>
      </c>
      <c r="S103" s="126">
        <v>770941228.92999995</v>
      </c>
      <c r="T103" s="125">
        <f>S103-Q103</f>
        <v>-948137.3900001049</v>
      </c>
      <c r="U103" s="126">
        <v>766555558.92999995</v>
      </c>
      <c r="V103" s="125">
        <f>U103-S103</f>
        <v>-4385670</v>
      </c>
      <c r="W103" s="87">
        <f t="shared" si="59"/>
        <v>6298277.9299999475</v>
      </c>
    </row>
    <row r="104" spans="1:24" s="61" customFormat="1" ht="15.6" customHeight="1" x14ac:dyDescent="0.2">
      <c r="A104" s="130" t="s">
        <v>77</v>
      </c>
      <c r="B104" s="131" t="s">
        <v>23</v>
      </c>
      <c r="C104" s="132" t="s">
        <v>9</v>
      </c>
      <c r="D104" s="6">
        <f>SUM(D106:D108)</f>
        <v>0</v>
      </c>
      <c r="E104" s="6"/>
      <c r="F104" s="37">
        <f t="shared" ref="F104:T104" si="84">SUM(F105:F108)</f>
        <v>2205266254.1900001</v>
      </c>
      <c r="G104" s="37">
        <f t="shared" si="84"/>
        <v>2335090674.6999998</v>
      </c>
      <c r="H104" s="38">
        <f t="shared" si="84"/>
        <v>129824420.50999996</v>
      </c>
      <c r="I104" s="105">
        <f t="shared" si="84"/>
        <v>2377021041.46</v>
      </c>
      <c r="J104" s="123">
        <f t="shared" si="84"/>
        <v>41930366.760000005</v>
      </c>
      <c r="K104" s="124">
        <f t="shared" si="84"/>
        <v>2377021041.46</v>
      </c>
      <c r="L104" s="123">
        <f t="shared" si="84"/>
        <v>0</v>
      </c>
      <c r="M104" s="101">
        <f t="shared" si="84"/>
        <v>2389036219.4400005</v>
      </c>
      <c r="N104" s="123">
        <f t="shared" si="84"/>
        <v>12015177.980000019</v>
      </c>
      <c r="O104" s="101">
        <f t="shared" si="84"/>
        <v>2392104409.4399996</v>
      </c>
      <c r="P104" s="123">
        <f t="shared" si="84"/>
        <v>3068189.9999998622</v>
      </c>
      <c r="Q104" s="101">
        <f t="shared" si="84"/>
        <v>2394650975.9799995</v>
      </c>
      <c r="R104" s="123">
        <f t="shared" si="84"/>
        <v>2546566.5399999991</v>
      </c>
      <c r="S104" s="101">
        <f t="shared" si="84"/>
        <v>2465338302.79</v>
      </c>
      <c r="T104" s="123">
        <f t="shared" si="84"/>
        <v>70687326.810000181</v>
      </c>
      <c r="U104" s="101">
        <f t="shared" ref="U104:V104" si="85">SUM(U105:U108)</f>
        <v>2472078309.79</v>
      </c>
      <c r="V104" s="123">
        <f t="shared" si="85"/>
        <v>6740007</v>
      </c>
      <c r="W104" s="90">
        <f t="shared" si="59"/>
        <v>266812055.5999999</v>
      </c>
    </row>
    <row r="105" spans="1:24" ht="15.6" customHeight="1" x14ac:dyDescent="0.25">
      <c r="A105" s="83" t="s">
        <v>150</v>
      </c>
      <c r="B105" s="103" t="s">
        <v>23</v>
      </c>
      <c r="C105" s="103" t="s">
        <v>8</v>
      </c>
      <c r="D105" s="7"/>
      <c r="E105" s="7"/>
      <c r="F105" s="129">
        <v>46053175.210000001</v>
      </c>
      <c r="G105" s="129">
        <v>62159871.439999998</v>
      </c>
      <c r="H105" s="24">
        <f>G105-F105</f>
        <v>16106696.229999997</v>
      </c>
      <c r="I105" s="133">
        <v>70605463.439999998</v>
      </c>
      <c r="J105" s="125">
        <f>I105-G105</f>
        <v>8445592</v>
      </c>
      <c r="K105" s="134">
        <v>70605463.439999998</v>
      </c>
      <c r="L105" s="125">
        <f>K105-I105</f>
        <v>0</v>
      </c>
      <c r="M105" s="135">
        <v>70605463.439999998</v>
      </c>
      <c r="N105" s="125">
        <f>M105-K105</f>
        <v>0</v>
      </c>
      <c r="O105" s="135">
        <v>81050858.019999996</v>
      </c>
      <c r="P105" s="125">
        <f>O105-M105</f>
        <v>10445394.579999998</v>
      </c>
      <c r="Q105" s="135">
        <v>81186048.019999996</v>
      </c>
      <c r="R105" s="125">
        <f>Q105-O105</f>
        <v>135190</v>
      </c>
      <c r="S105" s="135">
        <v>85588848.019999996</v>
      </c>
      <c r="T105" s="125">
        <f>S105-Q105</f>
        <v>4402800</v>
      </c>
      <c r="U105" s="135">
        <v>85588848.019999996</v>
      </c>
      <c r="V105" s="125">
        <f>U105-S105</f>
        <v>0</v>
      </c>
      <c r="W105" s="87">
        <f t="shared" si="59"/>
        <v>39535672.809999995</v>
      </c>
    </row>
    <row r="106" spans="1:24" ht="15" x14ac:dyDescent="0.25">
      <c r="A106" s="83" t="s">
        <v>78</v>
      </c>
      <c r="B106" s="103" t="s">
        <v>23</v>
      </c>
      <c r="C106" s="103" t="s">
        <v>10</v>
      </c>
      <c r="D106" s="7"/>
      <c r="E106" s="7"/>
      <c r="F106" s="88">
        <v>679983220</v>
      </c>
      <c r="G106" s="88">
        <v>770970516.03999996</v>
      </c>
      <c r="H106" s="24">
        <f>G106-F106</f>
        <v>90987296.039999962</v>
      </c>
      <c r="I106" s="106">
        <v>798970516.03999996</v>
      </c>
      <c r="J106" s="125">
        <f>I106-G106</f>
        <v>28000000</v>
      </c>
      <c r="K106" s="126">
        <v>798970516.03999996</v>
      </c>
      <c r="L106" s="125">
        <f>K106-I106</f>
        <v>0</v>
      </c>
      <c r="M106" s="126">
        <v>810985694.01999998</v>
      </c>
      <c r="N106" s="125">
        <f>M106-K106</f>
        <v>12015177.980000019</v>
      </c>
      <c r="O106" s="126">
        <v>782273974.01999998</v>
      </c>
      <c r="P106" s="125">
        <f>O106-M106</f>
        <v>-28711720</v>
      </c>
      <c r="Q106" s="126">
        <v>782273974.01999998</v>
      </c>
      <c r="R106" s="125">
        <f>Q106-O106</f>
        <v>0</v>
      </c>
      <c r="S106" s="126">
        <v>846841974.01999998</v>
      </c>
      <c r="T106" s="125">
        <f>S106-Q106</f>
        <v>64568000</v>
      </c>
      <c r="U106" s="126">
        <v>846841974.01999998</v>
      </c>
      <c r="V106" s="125">
        <f>U106-S106</f>
        <v>0</v>
      </c>
      <c r="W106" s="87">
        <f t="shared" si="59"/>
        <v>166858754.01999998</v>
      </c>
    </row>
    <row r="107" spans="1:24" ht="15" x14ac:dyDescent="0.25">
      <c r="A107" s="83" t="s">
        <v>79</v>
      </c>
      <c r="B107" s="103" t="s">
        <v>23</v>
      </c>
      <c r="C107" s="103" t="s">
        <v>12</v>
      </c>
      <c r="D107" s="12"/>
      <c r="E107" s="7"/>
      <c r="F107" s="88">
        <v>1456993858.98</v>
      </c>
      <c r="G107" s="88">
        <v>1479080121.22</v>
      </c>
      <c r="H107" s="24">
        <f t="shared" ref="H107:H108" si="86">G107-F107</f>
        <v>22086262.24000001</v>
      </c>
      <c r="I107" s="106">
        <v>1483329329.22</v>
      </c>
      <c r="J107" s="125">
        <f>I107-G107</f>
        <v>4249208</v>
      </c>
      <c r="K107" s="126">
        <v>1483329329.22</v>
      </c>
      <c r="L107" s="125">
        <f>K107-I107</f>
        <v>0</v>
      </c>
      <c r="M107" s="126">
        <v>1483329329.22</v>
      </c>
      <c r="N107" s="125">
        <f>M107-K107</f>
        <v>0</v>
      </c>
      <c r="O107" s="126">
        <v>1503289931.6099999</v>
      </c>
      <c r="P107" s="125">
        <f>O107-M107</f>
        <v>19960602.389999866</v>
      </c>
      <c r="Q107" s="126">
        <v>1505570201.6099999</v>
      </c>
      <c r="R107" s="125">
        <f>Q107-O107</f>
        <v>2280270</v>
      </c>
      <c r="S107" s="126">
        <v>1507286728.4200001</v>
      </c>
      <c r="T107" s="125">
        <f>S107-Q107</f>
        <v>1716526.8100001812</v>
      </c>
      <c r="U107" s="126">
        <v>1513730228.4200001</v>
      </c>
      <c r="V107" s="125">
        <f>U107-S107</f>
        <v>6443500</v>
      </c>
      <c r="W107" s="87">
        <f t="shared" si="59"/>
        <v>56736369.440000057</v>
      </c>
    </row>
    <row r="108" spans="1:24" ht="15" x14ac:dyDescent="0.25">
      <c r="A108" s="83" t="s">
        <v>80</v>
      </c>
      <c r="B108" s="103" t="s">
        <v>23</v>
      </c>
      <c r="C108" s="103" t="s">
        <v>16</v>
      </c>
      <c r="D108" s="11"/>
      <c r="E108" s="7"/>
      <c r="F108" s="88">
        <v>22236000</v>
      </c>
      <c r="G108" s="88">
        <v>22880166</v>
      </c>
      <c r="H108" s="24">
        <f t="shared" si="86"/>
        <v>644166</v>
      </c>
      <c r="I108" s="106">
        <v>24115732.760000002</v>
      </c>
      <c r="J108" s="125">
        <f>I108-G108</f>
        <v>1235566.7600000016</v>
      </c>
      <c r="K108" s="126">
        <v>24115732.760000002</v>
      </c>
      <c r="L108" s="125">
        <f>K108-I108</f>
        <v>0</v>
      </c>
      <c r="M108" s="126">
        <v>24115732.760000002</v>
      </c>
      <c r="N108" s="125">
        <f>M108-K108</f>
        <v>0</v>
      </c>
      <c r="O108" s="126">
        <v>25489645.789999999</v>
      </c>
      <c r="P108" s="125">
        <f>O108-M108</f>
        <v>1373913.0299999975</v>
      </c>
      <c r="Q108" s="126">
        <v>25620752.329999998</v>
      </c>
      <c r="R108" s="125">
        <f>Q108-O108</f>
        <v>131106.53999999911</v>
      </c>
      <c r="S108" s="126">
        <v>25620752.329999998</v>
      </c>
      <c r="T108" s="125">
        <f>S108-Q108</f>
        <v>0</v>
      </c>
      <c r="U108" s="126">
        <v>25917259.329999998</v>
      </c>
      <c r="V108" s="125">
        <f>U108-S108</f>
        <v>296507</v>
      </c>
      <c r="W108" s="87">
        <f t="shared" si="59"/>
        <v>3681259.3299999982</v>
      </c>
    </row>
    <row r="109" spans="1:24" s="61" customFormat="1" ht="14.25" x14ac:dyDescent="0.2">
      <c r="A109" s="130" t="s">
        <v>81</v>
      </c>
      <c r="B109" s="131" t="s">
        <v>47</v>
      </c>
      <c r="C109" s="132" t="s">
        <v>9</v>
      </c>
      <c r="D109" s="6">
        <f t="shared" ref="D109:T109" si="87">SUM(D110:D112)</f>
        <v>0</v>
      </c>
      <c r="E109" s="6">
        <f t="shared" si="87"/>
        <v>0</v>
      </c>
      <c r="F109" s="37">
        <f t="shared" si="87"/>
        <v>255950350</v>
      </c>
      <c r="G109" s="37">
        <f t="shared" si="87"/>
        <v>256772074</v>
      </c>
      <c r="H109" s="38">
        <f t="shared" si="87"/>
        <v>821724</v>
      </c>
      <c r="I109" s="105">
        <f t="shared" si="87"/>
        <v>262031634.66</v>
      </c>
      <c r="J109" s="123">
        <f t="shared" si="87"/>
        <v>5259560.6599999964</v>
      </c>
      <c r="K109" s="124">
        <f t="shared" si="87"/>
        <v>263520518.66</v>
      </c>
      <c r="L109" s="123">
        <f t="shared" si="87"/>
        <v>1488884</v>
      </c>
      <c r="M109" s="101">
        <f t="shared" si="87"/>
        <v>263520518.66</v>
      </c>
      <c r="N109" s="123">
        <f t="shared" si="87"/>
        <v>0</v>
      </c>
      <c r="O109" s="101">
        <f t="shared" si="87"/>
        <v>263520518.66</v>
      </c>
      <c r="P109" s="123">
        <f t="shared" si="87"/>
        <v>0</v>
      </c>
      <c r="Q109" s="101">
        <f t="shared" si="87"/>
        <v>266402238.66</v>
      </c>
      <c r="R109" s="123">
        <f t="shared" si="87"/>
        <v>2881719.9999999925</v>
      </c>
      <c r="S109" s="101">
        <f t="shared" si="87"/>
        <v>266402238.66</v>
      </c>
      <c r="T109" s="123">
        <f t="shared" si="87"/>
        <v>0</v>
      </c>
      <c r="U109" s="101">
        <f t="shared" ref="U109:V109" si="88">SUM(U110:U112)</f>
        <v>266768773.66</v>
      </c>
      <c r="V109" s="123">
        <f t="shared" si="88"/>
        <v>366535</v>
      </c>
      <c r="W109" s="90">
        <f t="shared" si="59"/>
        <v>10818423.659999996</v>
      </c>
    </row>
    <row r="110" spans="1:24" ht="15" x14ac:dyDescent="0.25">
      <c r="A110" s="83" t="s">
        <v>82</v>
      </c>
      <c r="B110" s="103" t="s">
        <v>47</v>
      </c>
      <c r="C110" s="103" t="s">
        <v>8</v>
      </c>
      <c r="D110" s="7"/>
      <c r="E110" s="7"/>
      <c r="F110" s="88">
        <v>90578210</v>
      </c>
      <c r="G110" s="88">
        <v>90578210</v>
      </c>
      <c r="H110" s="24">
        <f>G110-F110</f>
        <v>0</v>
      </c>
      <c r="I110" s="106">
        <v>90578210</v>
      </c>
      <c r="J110" s="125">
        <f>I110-G110</f>
        <v>0</v>
      </c>
      <c r="K110" s="126">
        <v>90578210</v>
      </c>
      <c r="L110" s="125">
        <f>K110-I110</f>
        <v>0</v>
      </c>
      <c r="M110" s="126">
        <v>90578210</v>
      </c>
      <c r="N110" s="125">
        <f>M110-K110</f>
        <v>0</v>
      </c>
      <c r="O110" s="126">
        <v>90578210</v>
      </c>
      <c r="P110" s="125">
        <f>O110-M110</f>
        <v>0</v>
      </c>
      <c r="Q110" s="126">
        <v>91381820</v>
      </c>
      <c r="R110" s="125">
        <f>Q110-O110</f>
        <v>803610</v>
      </c>
      <c r="S110" s="126">
        <v>91381820</v>
      </c>
      <c r="T110" s="125">
        <f>S110-Q110</f>
        <v>0</v>
      </c>
      <c r="U110" s="126">
        <v>91381820</v>
      </c>
      <c r="V110" s="125">
        <f>U110-S110</f>
        <v>0</v>
      </c>
      <c r="W110" s="87">
        <f t="shared" si="59"/>
        <v>803610</v>
      </c>
    </row>
    <row r="111" spans="1:24" ht="15" x14ac:dyDescent="0.25">
      <c r="A111" s="83" t="s">
        <v>83</v>
      </c>
      <c r="B111" s="103" t="s">
        <v>47</v>
      </c>
      <c r="C111" s="103" t="s">
        <v>10</v>
      </c>
      <c r="D111" s="7"/>
      <c r="E111" s="7"/>
      <c r="F111" s="88">
        <v>132941440</v>
      </c>
      <c r="G111" s="88">
        <v>132941440</v>
      </c>
      <c r="H111" s="24">
        <f>G111-F111</f>
        <v>0</v>
      </c>
      <c r="I111" s="106">
        <v>132941440</v>
      </c>
      <c r="J111" s="125">
        <f>I111-G111</f>
        <v>0</v>
      </c>
      <c r="K111" s="126">
        <v>132941440</v>
      </c>
      <c r="L111" s="125">
        <f>K111-I111</f>
        <v>0</v>
      </c>
      <c r="M111" s="126">
        <v>132941440</v>
      </c>
      <c r="N111" s="125">
        <f>M111-K111</f>
        <v>0</v>
      </c>
      <c r="O111" s="126">
        <v>132941440</v>
      </c>
      <c r="P111" s="125">
        <f>O111-M111</f>
        <v>0</v>
      </c>
      <c r="Q111" s="126">
        <v>134997866.47999999</v>
      </c>
      <c r="R111" s="125">
        <f>Q111-O111</f>
        <v>2056426.4799999893</v>
      </c>
      <c r="S111" s="126">
        <v>134997866.47999999</v>
      </c>
      <c r="T111" s="125">
        <f>S111-Q111</f>
        <v>0</v>
      </c>
      <c r="U111" s="126">
        <v>134997866.47999999</v>
      </c>
      <c r="V111" s="125">
        <f>U111-S111</f>
        <v>0</v>
      </c>
      <c r="W111" s="87">
        <f t="shared" si="59"/>
        <v>2056426.4799999893</v>
      </c>
    </row>
    <row r="112" spans="1:24" s="16" customFormat="1" ht="15" x14ac:dyDescent="0.2">
      <c r="A112" s="83" t="s">
        <v>84</v>
      </c>
      <c r="B112" s="103" t="s">
        <v>47</v>
      </c>
      <c r="C112" s="103" t="s">
        <v>14</v>
      </c>
      <c r="D112" s="9"/>
      <c r="E112" s="9"/>
      <c r="F112" s="88">
        <v>32430700</v>
      </c>
      <c r="G112" s="88">
        <v>33252424</v>
      </c>
      <c r="H112" s="24">
        <f>G112-F112</f>
        <v>821724</v>
      </c>
      <c r="I112" s="106">
        <v>38511984.659999996</v>
      </c>
      <c r="J112" s="125">
        <f>I112-G112</f>
        <v>5259560.6599999964</v>
      </c>
      <c r="K112" s="126">
        <v>40000868.659999996</v>
      </c>
      <c r="L112" s="125">
        <f>K112-I112</f>
        <v>1488884</v>
      </c>
      <c r="M112" s="126">
        <v>40000868.659999996</v>
      </c>
      <c r="N112" s="125">
        <f>M112-K112</f>
        <v>0</v>
      </c>
      <c r="O112" s="126">
        <v>40000868.659999996</v>
      </c>
      <c r="P112" s="125">
        <f>O112-M112</f>
        <v>0</v>
      </c>
      <c r="Q112" s="126">
        <v>40022552.18</v>
      </c>
      <c r="R112" s="125">
        <f>Q112-O112</f>
        <v>21683.520000003278</v>
      </c>
      <c r="S112" s="126">
        <v>40022552.18</v>
      </c>
      <c r="T112" s="125">
        <f>S112-Q112</f>
        <v>0</v>
      </c>
      <c r="U112" s="126">
        <v>40389087.18</v>
      </c>
      <c r="V112" s="125">
        <f>U112-S112</f>
        <v>366535</v>
      </c>
      <c r="W112" s="87">
        <f t="shared" si="59"/>
        <v>7958387.1799999997</v>
      </c>
      <c r="X112" s="1"/>
    </row>
    <row r="113" spans="1:24" s="62" customFormat="1" ht="28.5" x14ac:dyDescent="0.2">
      <c r="A113" s="130" t="s">
        <v>152</v>
      </c>
      <c r="B113" s="131" t="s">
        <v>25</v>
      </c>
      <c r="C113" s="132" t="s">
        <v>9</v>
      </c>
      <c r="D113" s="13">
        <f t="shared" ref="D113:E113" si="89">SUM(D114)</f>
        <v>0</v>
      </c>
      <c r="E113" s="13">
        <f t="shared" si="89"/>
        <v>0</v>
      </c>
      <c r="F113" s="37">
        <f>F114</f>
        <v>270000000</v>
      </c>
      <c r="G113" s="37">
        <f>G114</f>
        <v>270000000</v>
      </c>
      <c r="H113" s="38">
        <f>SUM(H114)</f>
        <v>0</v>
      </c>
      <c r="I113" s="105">
        <f>I114</f>
        <v>270000000</v>
      </c>
      <c r="J113" s="123">
        <f>SUM(J114)</f>
        <v>0</v>
      </c>
      <c r="K113" s="124">
        <f>K114</f>
        <v>270000000</v>
      </c>
      <c r="L113" s="123">
        <f>SUM(L114)</f>
        <v>0</v>
      </c>
      <c r="M113" s="101">
        <f>+M114</f>
        <v>270000000</v>
      </c>
      <c r="N113" s="123">
        <f>SUM(N114)</f>
        <v>0</v>
      </c>
      <c r="O113" s="101">
        <f>+O114</f>
        <v>270000000</v>
      </c>
      <c r="P113" s="123">
        <f>SUM(P114)</f>
        <v>0</v>
      </c>
      <c r="Q113" s="101">
        <f>+Q114</f>
        <v>236000000</v>
      </c>
      <c r="R113" s="123">
        <f>SUM(R114)</f>
        <v>-34000000</v>
      </c>
      <c r="S113" s="101">
        <f>+S114</f>
        <v>235821203.19999999</v>
      </c>
      <c r="T113" s="123">
        <f>SUM(T114)</f>
        <v>-178796.80000001192</v>
      </c>
      <c r="U113" s="101">
        <f>+U114</f>
        <v>235821203.19999999</v>
      </c>
      <c r="V113" s="123">
        <f>SUM(V114)</f>
        <v>0</v>
      </c>
      <c r="W113" s="90">
        <f t="shared" si="59"/>
        <v>-34178796.800000012</v>
      </c>
      <c r="X113" s="61"/>
    </row>
    <row r="114" spans="1:24" s="10" customFormat="1" ht="30" x14ac:dyDescent="0.2">
      <c r="A114" s="83" t="s">
        <v>139</v>
      </c>
      <c r="B114" s="103" t="s">
        <v>25</v>
      </c>
      <c r="C114" s="103" t="s">
        <v>8</v>
      </c>
      <c r="D114" s="9"/>
      <c r="E114" s="9"/>
      <c r="F114" s="88">
        <v>270000000</v>
      </c>
      <c r="G114" s="88">
        <v>270000000</v>
      </c>
      <c r="H114" s="24">
        <f>G114-F114</f>
        <v>0</v>
      </c>
      <c r="I114" s="106">
        <v>270000000</v>
      </c>
      <c r="J114" s="125">
        <f>I114-G114</f>
        <v>0</v>
      </c>
      <c r="K114" s="126">
        <v>270000000</v>
      </c>
      <c r="L114" s="125">
        <f>K114-I114</f>
        <v>0</v>
      </c>
      <c r="M114" s="126">
        <v>270000000</v>
      </c>
      <c r="N114" s="125">
        <f>M114-K114</f>
        <v>0</v>
      </c>
      <c r="O114" s="126">
        <v>270000000</v>
      </c>
      <c r="P114" s="125">
        <f>O114-M114</f>
        <v>0</v>
      </c>
      <c r="Q114" s="126">
        <v>236000000</v>
      </c>
      <c r="R114" s="125">
        <f>Q114-O114</f>
        <v>-34000000</v>
      </c>
      <c r="S114" s="126">
        <v>235821203.19999999</v>
      </c>
      <c r="T114" s="125">
        <f>S114-Q114</f>
        <v>-178796.80000001192</v>
      </c>
      <c r="U114" s="126">
        <v>235821203.19999999</v>
      </c>
      <c r="V114" s="125">
        <f>U114-S114</f>
        <v>0</v>
      </c>
      <c r="W114" s="87">
        <f t="shared" si="59"/>
        <v>-34178796.800000012</v>
      </c>
      <c r="X114" s="1"/>
    </row>
    <row r="115" spans="1:24" s="62" customFormat="1" ht="42.75" x14ac:dyDescent="0.2">
      <c r="A115" s="130" t="s">
        <v>94</v>
      </c>
      <c r="B115" s="131" t="s">
        <v>37</v>
      </c>
      <c r="C115" s="132" t="s">
        <v>9</v>
      </c>
      <c r="D115" s="13">
        <f t="shared" ref="D115:T115" si="90">SUM(D116:D118)</f>
        <v>0</v>
      </c>
      <c r="E115" s="13">
        <f t="shared" si="90"/>
        <v>0</v>
      </c>
      <c r="F115" s="37">
        <f t="shared" si="90"/>
        <v>6308787739.6300011</v>
      </c>
      <c r="G115" s="37">
        <f t="shared" si="90"/>
        <v>6927571170.2900009</v>
      </c>
      <c r="H115" s="38">
        <f>SUM(H116:H118)</f>
        <v>618783430.65999985</v>
      </c>
      <c r="I115" s="105">
        <f t="shared" si="90"/>
        <v>7147571170.2900009</v>
      </c>
      <c r="J115" s="123">
        <f t="shared" si="90"/>
        <v>220000000</v>
      </c>
      <c r="K115" s="124">
        <f t="shared" si="90"/>
        <v>7147571170.2900009</v>
      </c>
      <c r="L115" s="123">
        <f t="shared" si="90"/>
        <v>0</v>
      </c>
      <c r="M115" s="124">
        <f t="shared" si="90"/>
        <v>7168213579.25</v>
      </c>
      <c r="N115" s="123">
        <f t="shared" si="90"/>
        <v>20642408.960000038</v>
      </c>
      <c r="O115" s="124">
        <f t="shared" si="90"/>
        <v>7363973270.1499996</v>
      </c>
      <c r="P115" s="123">
        <f t="shared" si="90"/>
        <v>195759690.89999962</v>
      </c>
      <c r="Q115" s="124">
        <f t="shared" si="90"/>
        <v>7463324252.1499996</v>
      </c>
      <c r="R115" s="123">
        <f t="shared" si="90"/>
        <v>99350982</v>
      </c>
      <c r="S115" s="124">
        <f>SUM(S116:S118)</f>
        <v>7463324252.1499996</v>
      </c>
      <c r="T115" s="123">
        <f t="shared" si="90"/>
        <v>0</v>
      </c>
      <c r="U115" s="124">
        <f>SUM(U116:U118)</f>
        <v>7472769234.4200001</v>
      </c>
      <c r="V115" s="123">
        <f t="shared" ref="V115" si="91">SUM(V116:V118)</f>
        <v>9444982.2699999809</v>
      </c>
      <c r="W115" s="90">
        <f t="shared" si="59"/>
        <v>1163981494.789999</v>
      </c>
      <c r="X115" s="61"/>
    </row>
    <row r="116" spans="1:24" s="10" customFormat="1" ht="45" x14ac:dyDescent="0.2">
      <c r="A116" s="83" t="s">
        <v>87</v>
      </c>
      <c r="B116" s="103" t="s">
        <v>37</v>
      </c>
      <c r="C116" s="103" t="s">
        <v>8</v>
      </c>
      <c r="D116" s="9"/>
      <c r="E116" s="9"/>
      <c r="F116" s="88">
        <v>900876020.87</v>
      </c>
      <c r="G116" s="88">
        <v>900876020.87</v>
      </c>
      <c r="H116" s="24">
        <f>G116-F116</f>
        <v>0</v>
      </c>
      <c r="I116" s="106">
        <v>900876020.87</v>
      </c>
      <c r="J116" s="125">
        <f t="shared" ref="J116:J121" si="92">I116-G116</f>
        <v>0</v>
      </c>
      <c r="K116" s="126">
        <v>900876020.87</v>
      </c>
      <c r="L116" s="125">
        <f t="shared" ref="L116:L121" si="93">K116-I116</f>
        <v>0</v>
      </c>
      <c r="M116" s="126">
        <v>900876020.87</v>
      </c>
      <c r="N116" s="125">
        <f t="shared" ref="N116:N121" si="94">M116-K116</f>
        <v>0</v>
      </c>
      <c r="O116" s="126">
        <v>900876020.87</v>
      </c>
      <c r="P116" s="125">
        <f t="shared" ref="P116:P121" si="95">O116-M116</f>
        <v>0</v>
      </c>
      <c r="Q116" s="126">
        <v>900876020.87</v>
      </c>
      <c r="R116" s="125">
        <f t="shared" ref="R116:R121" si="96">Q116-O116</f>
        <v>0</v>
      </c>
      <c r="S116" s="126">
        <v>900876020.87</v>
      </c>
      <c r="T116" s="125">
        <f t="shared" ref="T116:T121" si="97">S116-Q116</f>
        <v>0</v>
      </c>
      <c r="U116" s="126">
        <v>900876020.87</v>
      </c>
      <c r="V116" s="125">
        <f t="shared" ref="V116:V118" si="98">U116-S116</f>
        <v>0</v>
      </c>
      <c r="W116" s="87">
        <f t="shared" si="59"/>
        <v>0</v>
      </c>
      <c r="X116" s="1"/>
    </row>
    <row r="117" spans="1:24" ht="15" x14ac:dyDescent="0.25">
      <c r="A117" s="83" t="s">
        <v>88</v>
      </c>
      <c r="B117" s="103" t="s">
        <v>37</v>
      </c>
      <c r="C117" s="103" t="s">
        <v>10</v>
      </c>
      <c r="D117" s="7"/>
      <c r="E117" s="7"/>
      <c r="F117" s="88">
        <v>3394269169.8200002</v>
      </c>
      <c r="G117" s="88">
        <v>4054269169.8200002</v>
      </c>
      <c r="H117" s="24">
        <f t="shared" ref="H117:H118" si="99">G117-F117</f>
        <v>660000000</v>
      </c>
      <c r="I117" s="106">
        <v>4254269169.8200002</v>
      </c>
      <c r="J117" s="125">
        <f t="shared" si="92"/>
        <v>200000000</v>
      </c>
      <c r="K117" s="126">
        <v>4254269169.8200002</v>
      </c>
      <c r="L117" s="125">
        <f t="shared" si="93"/>
        <v>0</v>
      </c>
      <c r="M117" s="126">
        <v>4254269169.8200002</v>
      </c>
      <c r="N117" s="125">
        <f t="shared" si="94"/>
        <v>0</v>
      </c>
      <c r="O117" s="126">
        <v>4447269169.8199997</v>
      </c>
      <c r="P117" s="125">
        <f t="shared" si="95"/>
        <v>192999999.99999952</v>
      </c>
      <c r="Q117" s="126">
        <v>4547269169.8199997</v>
      </c>
      <c r="R117" s="125">
        <f t="shared" si="96"/>
        <v>100000000</v>
      </c>
      <c r="S117" s="126">
        <v>4547269169.8199997</v>
      </c>
      <c r="T117" s="125">
        <f t="shared" si="97"/>
        <v>0</v>
      </c>
      <c r="U117" s="126">
        <v>4557269169.8199997</v>
      </c>
      <c r="V117" s="125">
        <f t="shared" si="98"/>
        <v>10000000</v>
      </c>
      <c r="W117" s="87">
        <f t="shared" si="59"/>
        <v>1162999999.9999995</v>
      </c>
    </row>
    <row r="118" spans="1:24" ht="15" x14ac:dyDescent="0.25">
      <c r="A118" s="83" t="s">
        <v>89</v>
      </c>
      <c r="B118" s="103" t="s">
        <v>37</v>
      </c>
      <c r="C118" s="103" t="s">
        <v>12</v>
      </c>
      <c r="D118" s="7"/>
      <c r="E118" s="7"/>
      <c r="F118" s="88">
        <v>2013642548.9400001</v>
      </c>
      <c r="G118" s="88">
        <v>1972425979.5999999</v>
      </c>
      <c r="H118" s="24">
        <f t="shared" si="99"/>
        <v>-41216569.340000153</v>
      </c>
      <c r="I118" s="106">
        <v>1992425979.5999999</v>
      </c>
      <c r="J118" s="125">
        <f t="shared" si="92"/>
        <v>20000000</v>
      </c>
      <c r="K118" s="126">
        <v>1992425979.5999999</v>
      </c>
      <c r="L118" s="125">
        <f t="shared" si="93"/>
        <v>0</v>
      </c>
      <c r="M118" s="126">
        <v>2013068388.5599999</v>
      </c>
      <c r="N118" s="125">
        <f t="shared" si="94"/>
        <v>20642408.960000038</v>
      </c>
      <c r="O118" s="126">
        <v>2015828079.46</v>
      </c>
      <c r="P118" s="125">
        <f t="shared" si="95"/>
        <v>2759690.9000000954</v>
      </c>
      <c r="Q118" s="126">
        <v>2015179061.46</v>
      </c>
      <c r="R118" s="125">
        <f t="shared" si="96"/>
        <v>-649018</v>
      </c>
      <c r="S118" s="126">
        <v>2015179061.46</v>
      </c>
      <c r="T118" s="125">
        <f t="shared" si="97"/>
        <v>0</v>
      </c>
      <c r="U118" s="126">
        <v>2014624043.73</v>
      </c>
      <c r="V118" s="125">
        <f t="shared" si="98"/>
        <v>-555017.73000001907</v>
      </c>
      <c r="W118" s="87">
        <f t="shared" si="59"/>
        <v>981494.78999996185</v>
      </c>
    </row>
    <row r="119" spans="1:24" s="115" customFormat="1" ht="15" x14ac:dyDescent="0.25">
      <c r="A119" s="137"/>
      <c r="B119" s="138"/>
      <c r="C119" s="138"/>
      <c r="D119" s="139"/>
      <c r="E119" s="139"/>
      <c r="F119" s="68">
        <f>86205210331.33-F8</f>
        <v>0</v>
      </c>
      <c r="G119" s="68">
        <f>86205210331.33-G8</f>
        <v>0</v>
      </c>
      <c r="H119" s="68">
        <f>G119-F119</f>
        <v>0</v>
      </c>
      <c r="I119" s="68">
        <f>86705210331.33-I8</f>
        <v>0</v>
      </c>
      <c r="J119" s="68">
        <f t="shared" si="92"/>
        <v>0</v>
      </c>
      <c r="K119" s="68">
        <f>86705210331.33-K8</f>
        <v>0</v>
      </c>
      <c r="L119" s="68">
        <f t="shared" si="93"/>
        <v>0</v>
      </c>
      <c r="M119" s="68">
        <f>86705210331.33-M8</f>
        <v>0</v>
      </c>
      <c r="N119" s="68">
        <f t="shared" si="94"/>
        <v>0</v>
      </c>
      <c r="O119" s="68">
        <f>86705210331.33-O8</f>
        <v>0</v>
      </c>
      <c r="P119" s="68">
        <f t="shared" si="95"/>
        <v>0</v>
      </c>
      <c r="Q119" s="68">
        <f>87205210331.33-Q8</f>
        <v>0</v>
      </c>
      <c r="R119" s="68">
        <f t="shared" si="96"/>
        <v>0</v>
      </c>
      <c r="S119" s="68">
        <f>88705210331.33-S8</f>
        <v>0</v>
      </c>
      <c r="T119" s="68">
        <f t="shared" si="97"/>
        <v>0</v>
      </c>
      <c r="U119" s="68">
        <f>88707026339.33-U8</f>
        <v>0</v>
      </c>
      <c r="V119" s="68">
        <f>U119-S119</f>
        <v>0</v>
      </c>
      <c r="W119" s="140"/>
      <c r="X119" s="61"/>
    </row>
    <row r="120" spans="1:24" s="115" customFormat="1" x14ac:dyDescent="0.2">
      <c r="F120" s="68">
        <f>17654109080-F32</f>
        <v>0</v>
      </c>
      <c r="G120" s="116">
        <f>17673540255-G32</f>
        <v>0</v>
      </c>
      <c r="H120" s="68">
        <f>G120-F120</f>
        <v>0</v>
      </c>
      <c r="I120" s="117">
        <f>18030519085-I32</f>
        <v>0</v>
      </c>
      <c r="J120" s="68">
        <f t="shared" si="92"/>
        <v>0</v>
      </c>
      <c r="K120" s="117">
        <f>18030545117-K32</f>
        <v>0</v>
      </c>
      <c r="L120" s="68">
        <f t="shared" si="93"/>
        <v>0</v>
      </c>
      <c r="M120" s="108">
        <f>19256835949-M32</f>
        <v>0</v>
      </c>
      <c r="N120" s="68">
        <f t="shared" si="94"/>
        <v>0</v>
      </c>
      <c r="O120" s="108">
        <f>19516085513-O32</f>
        <v>0</v>
      </c>
      <c r="P120" s="68">
        <f t="shared" si="95"/>
        <v>0</v>
      </c>
      <c r="Q120" s="108">
        <f>19563128445-Q32</f>
        <v>0</v>
      </c>
      <c r="R120" s="68">
        <f t="shared" si="96"/>
        <v>0</v>
      </c>
      <c r="S120" s="118">
        <f>19378480315-S32</f>
        <v>0</v>
      </c>
      <c r="T120" s="68">
        <f t="shared" si="97"/>
        <v>0</v>
      </c>
      <c r="U120" s="118">
        <f>19446038971.91-U32</f>
        <v>0</v>
      </c>
      <c r="V120" s="68">
        <f>U120-S120</f>
        <v>0</v>
      </c>
      <c r="X120" s="61"/>
    </row>
    <row r="121" spans="1:24" x14ac:dyDescent="0.2">
      <c r="F121" s="68">
        <f>120968109354.78-F41</f>
        <v>0</v>
      </c>
      <c r="G121" s="68">
        <f>132945464609.28-G41</f>
        <v>0</v>
      </c>
      <c r="H121" s="68">
        <f>G121-F121</f>
        <v>0</v>
      </c>
      <c r="I121" s="108">
        <f>133802443439.28-I41</f>
        <v>0</v>
      </c>
      <c r="J121" s="68">
        <f t="shared" si="92"/>
        <v>0</v>
      </c>
      <c r="K121" s="108">
        <f>133802469471.28-K41</f>
        <v>0</v>
      </c>
      <c r="L121" s="68">
        <f t="shared" si="93"/>
        <v>0</v>
      </c>
      <c r="M121" s="108">
        <f>135028760303.28-M41</f>
        <v>0</v>
      </c>
      <c r="N121" s="68">
        <f t="shared" si="94"/>
        <v>0</v>
      </c>
      <c r="O121" s="108">
        <f>135288009867.28-O41</f>
        <v>0</v>
      </c>
      <c r="P121" s="68">
        <f t="shared" si="95"/>
        <v>0</v>
      </c>
      <c r="Q121" s="108">
        <f>135675878272.95-Q41</f>
        <v>0</v>
      </c>
      <c r="R121" s="68">
        <f t="shared" si="96"/>
        <v>0</v>
      </c>
      <c r="S121" s="108">
        <f>136976801367.31-S41</f>
        <v>0</v>
      </c>
      <c r="T121" s="68">
        <f t="shared" si="97"/>
        <v>0</v>
      </c>
      <c r="U121" s="108">
        <f>137046176032.22-U41</f>
        <v>0</v>
      </c>
      <c r="V121" s="68">
        <f>U121-S121</f>
        <v>0</v>
      </c>
      <c r="W121" s="71">
        <f>W41-W43-W52-W55-W60-W71-W76-W79-W88-W91-W98-W104-W109-W113-W115</f>
        <v>-1.430511474609375E-5</v>
      </c>
      <c r="X121" s="61"/>
    </row>
    <row r="122" spans="1:24" x14ac:dyDescent="0.2">
      <c r="F122" s="45"/>
      <c r="G122" s="47"/>
      <c r="H122" s="46"/>
      <c r="I122" s="107"/>
      <c r="J122" s="46"/>
      <c r="K122" s="107"/>
      <c r="L122" s="46"/>
      <c r="M122" s="107"/>
      <c r="N122" s="46"/>
      <c r="O122" s="107"/>
      <c r="P122" s="46"/>
      <c r="Q122" s="107"/>
      <c r="R122" s="46"/>
      <c r="S122" s="107"/>
      <c r="T122" s="46"/>
      <c r="U122" s="107"/>
      <c r="V122" s="46"/>
    </row>
    <row r="123" spans="1:24" x14ac:dyDescent="0.2">
      <c r="F123" s="45"/>
      <c r="G123" s="45"/>
      <c r="H123" s="46"/>
      <c r="I123" s="107"/>
      <c r="J123" s="46"/>
      <c r="K123" s="107"/>
      <c r="L123" s="46"/>
      <c r="M123" s="107"/>
      <c r="N123" s="46"/>
      <c r="O123" s="107"/>
      <c r="P123" s="46"/>
      <c r="Q123" s="107"/>
      <c r="R123" s="46"/>
      <c r="S123" s="107"/>
      <c r="T123" s="46"/>
      <c r="U123" s="107"/>
      <c r="V123" s="46"/>
    </row>
    <row r="124" spans="1:24" x14ac:dyDescent="0.2">
      <c r="F124" s="45"/>
      <c r="G124" s="45"/>
      <c r="H124" s="46"/>
      <c r="I124" s="107"/>
      <c r="J124" s="46"/>
      <c r="K124" s="107"/>
      <c r="L124" s="46"/>
      <c r="M124" s="107"/>
      <c r="N124" s="46"/>
      <c r="O124" s="107"/>
      <c r="P124" s="46"/>
      <c r="Q124" s="107"/>
      <c r="R124" s="46"/>
      <c r="S124" s="107"/>
      <c r="T124" s="46"/>
      <c r="U124" s="107"/>
      <c r="V124" s="46"/>
    </row>
    <row r="125" spans="1:24" x14ac:dyDescent="0.2">
      <c r="F125" s="45"/>
      <c r="G125" s="45"/>
      <c r="H125" s="46"/>
      <c r="I125" s="107"/>
      <c r="J125" s="46"/>
      <c r="K125" s="107"/>
      <c r="L125" s="46"/>
      <c r="M125" s="107"/>
      <c r="N125" s="46"/>
      <c r="O125" s="107"/>
      <c r="P125" s="46"/>
      <c r="Q125" s="107"/>
      <c r="R125" s="46"/>
      <c r="S125" s="107"/>
      <c r="T125" s="46"/>
      <c r="U125" s="107"/>
      <c r="V125" s="46"/>
    </row>
    <row r="126" spans="1:24" x14ac:dyDescent="0.2">
      <c r="F126" s="45"/>
      <c r="G126" s="45"/>
      <c r="H126" s="46"/>
      <c r="I126" s="107"/>
      <c r="J126" s="46"/>
      <c r="K126" s="107"/>
      <c r="L126" s="46"/>
      <c r="M126" s="107"/>
      <c r="N126" s="46"/>
      <c r="O126" s="107"/>
      <c r="P126" s="46"/>
      <c r="Q126" s="107"/>
      <c r="R126" s="46"/>
      <c r="S126" s="107"/>
      <c r="T126" s="46"/>
      <c r="U126" s="107"/>
      <c r="V126" s="46"/>
    </row>
    <row r="127" spans="1:24" x14ac:dyDescent="0.2">
      <c r="F127" s="45"/>
      <c r="G127" s="45"/>
      <c r="H127" s="46"/>
      <c r="I127" s="107"/>
      <c r="J127" s="46"/>
      <c r="K127" s="107"/>
      <c r="L127" s="46"/>
      <c r="M127" s="107"/>
      <c r="N127" s="46"/>
      <c r="O127" s="107"/>
      <c r="P127" s="46"/>
      <c r="Q127" s="107"/>
      <c r="R127" s="46"/>
      <c r="S127" s="107"/>
      <c r="T127" s="46"/>
      <c r="U127" s="107"/>
      <c r="V127" s="46"/>
    </row>
    <row r="128" spans="1:24" x14ac:dyDescent="0.2">
      <c r="F128" s="45"/>
      <c r="G128" s="45"/>
      <c r="H128" s="46"/>
      <c r="I128" s="107"/>
      <c r="J128" s="46"/>
      <c r="K128" s="107"/>
      <c r="L128" s="46"/>
      <c r="M128" s="107"/>
      <c r="N128" s="46"/>
      <c r="O128" s="107"/>
      <c r="P128" s="46"/>
      <c r="Q128" s="107"/>
      <c r="R128" s="46"/>
      <c r="S128" s="107"/>
      <c r="T128" s="46"/>
      <c r="U128" s="107"/>
      <c r="V128" s="46"/>
    </row>
    <row r="129" spans="6:22" x14ac:dyDescent="0.2">
      <c r="F129" s="45"/>
      <c r="G129" s="45"/>
      <c r="H129" s="46"/>
      <c r="I129" s="107"/>
      <c r="J129" s="46"/>
      <c r="K129" s="107"/>
      <c r="L129" s="46"/>
      <c r="M129" s="107"/>
      <c r="N129" s="46"/>
      <c r="O129" s="107"/>
      <c r="P129" s="46"/>
      <c r="Q129" s="107"/>
      <c r="R129" s="46"/>
      <c r="S129" s="107"/>
      <c r="T129" s="46"/>
      <c r="U129" s="107"/>
      <c r="V129" s="46"/>
    </row>
    <row r="130" spans="6:22" x14ac:dyDescent="0.2">
      <c r="F130" s="45"/>
      <c r="G130" s="45"/>
      <c r="H130" s="46"/>
      <c r="I130" s="107"/>
      <c r="J130" s="46"/>
      <c r="K130" s="107"/>
      <c r="L130" s="46"/>
      <c r="M130" s="107"/>
      <c r="N130" s="46"/>
      <c r="O130" s="107"/>
      <c r="P130" s="46"/>
      <c r="Q130" s="107"/>
      <c r="R130" s="46"/>
      <c r="S130" s="107"/>
      <c r="T130" s="46"/>
      <c r="U130" s="107"/>
      <c r="V130" s="46"/>
    </row>
    <row r="131" spans="6:22" x14ac:dyDescent="0.2">
      <c r="F131" s="45"/>
      <c r="G131" s="45"/>
      <c r="H131" s="46"/>
      <c r="I131" s="107"/>
      <c r="J131" s="46"/>
      <c r="K131" s="107"/>
      <c r="L131" s="46"/>
      <c r="M131" s="107"/>
      <c r="N131" s="46"/>
      <c r="O131" s="107"/>
      <c r="P131" s="46"/>
      <c r="Q131" s="107"/>
      <c r="R131" s="46"/>
      <c r="S131" s="107"/>
      <c r="T131" s="46"/>
      <c r="U131" s="107"/>
      <c r="V131" s="46"/>
    </row>
    <row r="132" spans="6:22" x14ac:dyDescent="0.2">
      <c r="F132" s="45"/>
      <c r="G132" s="45"/>
      <c r="H132" s="46"/>
      <c r="I132" s="107"/>
      <c r="J132" s="46"/>
      <c r="K132" s="107"/>
      <c r="L132" s="46"/>
      <c r="M132" s="107"/>
      <c r="N132" s="46"/>
      <c r="O132" s="107"/>
      <c r="P132" s="46"/>
      <c r="Q132" s="107"/>
      <c r="R132" s="46"/>
      <c r="S132" s="107"/>
      <c r="T132" s="46"/>
      <c r="U132" s="107"/>
      <c r="V132" s="46"/>
    </row>
    <row r="133" spans="6:22" x14ac:dyDescent="0.2">
      <c r="F133" s="45"/>
      <c r="G133" s="45"/>
      <c r="H133" s="46"/>
      <c r="I133" s="107"/>
      <c r="J133" s="46"/>
      <c r="K133" s="107"/>
      <c r="L133" s="46"/>
      <c r="M133" s="107"/>
      <c r="N133" s="46"/>
      <c r="O133" s="107"/>
      <c r="P133" s="46"/>
      <c r="Q133" s="107"/>
      <c r="R133" s="46"/>
      <c r="S133" s="107"/>
      <c r="T133" s="46"/>
      <c r="U133" s="107"/>
      <c r="V133" s="46"/>
    </row>
    <row r="134" spans="6:22" x14ac:dyDescent="0.2">
      <c r="F134" s="45"/>
      <c r="G134" s="45"/>
      <c r="H134" s="46"/>
      <c r="I134" s="107"/>
      <c r="J134" s="46"/>
      <c r="K134" s="107"/>
      <c r="L134" s="46"/>
      <c r="M134" s="107"/>
      <c r="N134" s="46"/>
      <c r="O134" s="107"/>
      <c r="P134" s="46"/>
      <c r="Q134" s="107"/>
      <c r="R134" s="46"/>
      <c r="S134" s="107"/>
      <c r="T134" s="46"/>
      <c r="U134" s="107"/>
      <c r="V134" s="46"/>
    </row>
    <row r="135" spans="6:22" x14ac:dyDescent="0.2">
      <c r="F135" s="45"/>
      <c r="G135" s="45"/>
      <c r="H135" s="46"/>
      <c r="I135" s="107"/>
      <c r="J135" s="46"/>
      <c r="K135" s="107"/>
      <c r="L135" s="46"/>
      <c r="M135" s="107"/>
      <c r="N135" s="46"/>
      <c r="O135" s="107"/>
      <c r="P135" s="46"/>
      <c r="Q135" s="107"/>
      <c r="R135" s="46"/>
      <c r="S135" s="107"/>
      <c r="T135" s="46"/>
      <c r="U135" s="107"/>
      <c r="V135" s="46"/>
    </row>
    <row r="136" spans="6:22" x14ac:dyDescent="0.2">
      <c r="F136" s="45"/>
      <c r="G136" s="45"/>
      <c r="H136" s="46"/>
      <c r="I136" s="107"/>
      <c r="J136" s="46"/>
      <c r="K136" s="107"/>
      <c r="L136" s="46"/>
      <c r="M136" s="107"/>
      <c r="N136" s="46"/>
      <c r="O136" s="107"/>
      <c r="P136" s="46"/>
      <c r="Q136" s="107"/>
      <c r="R136" s="46"/>
      <c r="S136" s="107"/>
      <c r="T136" s="46"/>
      <c r="U136" s="107"/>
      <c r="V136" s="46"/>
    </row>
    <row r="137" spans="6:22" x14ac:dyDescent="0.2">
      <c r="F137" s="45"/>
      <c r="G137" s="45"/>
      <c r="H137" s="46"/>
      <c r="I137" s="107"/>
      <c r="J137" s="46"/>
      <c r="K137" s="107"/>
      <c r="L137" s="46"/>
      <c r="M137" s="107"/>
      <c r="N137" s="46"/>
      <c r="O137" s="107"/>
      <c r="P137" s="46"/>
      <c r="Q137" s="107"/>
      <c r="R137" s="46"/>
      <c r="S137" s="107"/>
      <c r="T137" s="46"/>
      <c r="U137" s="107"/>
      <c r="V137" s="46"/>
    </row>
    <row r="138" spans="6:22" x14ac:dyDescent="0.2">
      <c r="F138" s="45"/>
      <c r="G138" s="45"/>
      <c r="H138" s="46"/>
      <c r="I138" s="107"/>
      <c r="J138" s="46"/>
      <c r="K138" s="107"/>
      <c r="L138" s="46"/>
      <c r="M138" s="107"/>
      <c r="N138" s="46"/>
      <c r="O138" s="107"/>
      <c r="P138" s="46"/>
      <c r="Q138" s="107"/>
      <c r="R138" s="46"/>
      <c r="S138" s="107"/>
      <c r="T138" s="46"/>
      <c r="U138" s="107"/>
      <c r="V138" s="46"/>
    </row>
    <row r="139" spans="6:22" x14ac:dyDescent="0.2">
      <c r="F139" s="45"/>
      <c r="G139" s="45"/>
      <c r="H139" s="46"/>
      <c r="I139" s="107"/>
      <c r="J139" s="46"/>
      <c r="K139" s="107"/>
      <c r="L139" s="46"/>
      <c r="M139" s="107"/>
      <c r="N139" s="46"/>
      <c r="O139" s="107"/>
      <c r="P139" s="46"/>
      <c r="Q139" s="107"/>
      <c r="R139" s="46"/>
      <c r="S139" s="107"/>
      <c r="T139" s="46"/>
      <c r="U139" s="107"/>
      <c r="V139" s="46"/>
    </row>
    <row r="140" spans="6:22" x14ac:dyDescent="0.2">
      <c r="F140" s="45"/>
      <c r="G140" s="45"/>
      <c r="H140" s="46"/>
      <c r="I140" s="107"/>
      <c r="J140" s="46"/>
      <c r="K140" s="107"/>
      <c r="L140" s="46"/>
      <c r="M140" s="107"/>
      <c r="N140" s="46"/>
      <c r="O140" s="107"/>
      <c r="P140" s="46"/>
      <c r="Q140" s="107"/>
      <c r="R140" s="46"/>
      <c r="S140" s="107"/>
      <c r="T140" s="46"/>
      <c r="U140" s="107"/>
      <c r="V140" s="46"/>
    </row>
    <row r="141" spans="6:22" x14ac:dyDescent="0.2">
      <c r="F141" s="45"/>
      <c r="G141" s="45"/>
      <c r="H141" s="46"/>
      <c r="I141" s="107"/>
      <c r="J141" s="46"/>
      <c r="K141" s="107"/>
      <c r="L141" s="46"/>
      <c r="M141" s="107"/>
      <c r="N141" s="46"/>
      <c r="O141" s="107"/>
      <c r="P141" s="46"/>
      <c r="Q141" s="107"/>
      <c r="R141" s="46"/>
      <c r="S141" s="107"/>
      <c r="T141" s="46"/>
      <c r="U141" s="107"/>
      <c r="V141" s="46"/>
    </row>
    <row r="142" spans="6:22" x14ac:dyDescent="0.2">
      <c r="F142" s="45"/>
      <c r="G142" s="45"/>
      <c r="H142" s="46"/>
      <c r="I142" s="107"/>
      <c r="J142" s="46"/>
      <c r="K142" s="107"/>
      <c r="L142" s="46"/>
      <c r="M142" s="107"/>
      <c r="N142" s="46"/>
      <c r="O142" s="107"/>
      <c r="P142" s="46"/>
      <c r="Q142" s="107"/>
      <c r="R142" s="46"/>
      <c r="S142" s="107"/>
      <c r="T142" s="46"/>
      <c r="U142" s="107"/>
      <c r="V142" s="46"/>
    </row>
    <row r="143" spans="6:22" x14ac:dyDescent="0.2">
      <c r="F143" s="45"/>
      <c r="G143" s="45"/>
      <c r="H143" s="46"/>
      <c r="I143" s="107"/>
      <c r="J143" s="46"/>
      <c r="K143" s="107"/>
      <c r="L143" s="46"/>
      <c r="M143" s="107"/>
      <c r="N143" s="46"/>
      <c r="O143" s="107"/>
      <c r="P143" s="46"/>
      <c r="Q143" s="107"/>
      <c r="R143" s="46"/>
      <c r="S143" s="107"/>
      <c r="T143" s="46"/>
      <c r="U143" s="107"/>
      <c r="V143" s="46"/>
    </row>
    <row r="144" spans="6:22" x14ac:dyDescent="0.2">
      <c r="F144" s="45"/>
      <c r="G144" s="45"/>
      <c r="H144" s="46"/>
      <c r="I144" s="107"/>
      <c r="J144" s="46"/>
      <c r="K144" s="107"/>
      <c r="L144" s="46"/>
      <c r="M144" s="107"/>
      <c r="N144" s="46"/>
      <c r="O144" s="107"/>
      <c r="P144" s="46"/>
      <c r="Q144" s="107"/>
      <c r="R144" s="46"/>
      <c r="S144" s="107"/>
      <c r="T144" s="46"/>
      <c r="U144" s="107"/>
      <c r="V144" s="46"/>
    </row>
    <row r="145" spans="6:22" x14ac:dyDescent="0.2">
      <c r="F145" s="45"/>
      <c r="G145" s="45"/>
      <c r="H145" s="46"/>
      <c r="I145" s="107"/>
      <c r="J145" s="46"/>
      <c r="K145" s="107"/>
      <c r="L145" s="46"/>
      <c r="M145" s="107"/>
      <c r="N145" s="46"/>
      <c r="O145" s="107"/>
      <c r="P145" s="46"/>
      <c r="Q145" s="107"/>
      <c r="R145" s="46"/>
      <c r="S145" s="107"/>
      <c r="T145" s="46"/>
      <c r="U145" s="107"/>
      <c r="V145" s="46"/>
    </row>
    <row r="146" spans="6:22" x14ac:dyDescent="0.2">
      <c r="F146" s="45"/>
      <c r="G146" s="45"/>
      <c r="H146" s="46"/>
      <c r="I146" s="107"/>
      <c r="J146" s="46"/>
      <c r="K146" s="107"/>
      <c r="L146" s="46"/>
      <c r="M146" s="107"/>
      <c r="N146" s="46"/>
      <c r="O146" s="107"/>
      <c r="P146" s="46"/>
      <c r="Q146" s="107"/>
      <c r="R146" s="46"/>
      <c r="S146" s="107"/>
      <c r="T146" s="46"/>
      <c r="U146" s="107"/>
      <c r="V146" s="46"/>
    </row>
    <row r="147" spans="6:22" x14ac:dyDescent="0.2">
      <c r="F147" s="45"/>
      <c r="G147" s="45"/>
      <c r="H147" s="46"/>
      <c r="I147" s="107"/>
      <c r="J147" s="46"/>
      <c r="K147" s="107"/>
      <c r="L147" s="46"/>
      <c r="M147" s="107"/>
      <c r="N147" s="46"/>
      <c r="O147" s="107"/>
      <c r="P147" s="46"/>
      <c r="Q147" s="107"/>
      <c r="R147" s="46"/>
      <c r="S147" s="107"/>
      <c r="T147" s="46"/>
      <c r="U147" s="107"/>
      <c r="V147" s="46"/>
    </row>
    <row r="148" spans="6:22" x14ac:dyDescent="0.2">
      <c r="F148" s="45"/>
      <c r="G148" s="45"/>
      <c r="H148" s="46"/>
      <c r="I148" s="107"/>
      <c r="J148" s="46"/>
      <c r="K148" s="107"/>
      <c r="L148" s="46"/>
      <c r="M148" s="107"/>
      <c r="N148" s="46"/>
      <c r="O148" s="107"/>
      <c r="P148" s="46"/>
      <c r="Q148" s="107"/>
      <c r="R148" s="46"/>
      <c r="S148" s="107"/>
      <c r="T148" s="46"/>
      <c r="U148" s="107"/>
      <c r="V148" s="46"/>
    </row>
    <row r="149" spans="6:22" x14ac:dyDescent="0.2">
      <c r="F149" s="45"/>
      <c r="G149" s="45"/>
      <c r="H149" s="46"/>
      <c r="I149" s="107"/>
      <c r="J149" s="46"/>
      <c r="K149" s="107"/>
      <c r="L149" s="46"/>
      <c r="M149" s="107"/>
      <c r="N149" s="46"/>
      <c r="O149" s="107"/>
      <c r="P149" s="46"/>
      <c r="Q149" s="107"/>
      <c r="R149" s="46"/>
      <c r="S149" s="107"/>
      <c r="T149" s="46"/>
      <c r="U149" s="107"/>
      <c r="V149" s="46"/>
    </row>
    <row r="150" spans="6:22" x14ac:dyDescent="0.2">
      <c r="F150" s="45"/>
      <c r="G150" s="45"/>
      <c r="H150" s="46"/>
      <c r="I150" s="107"/>
      <c r="J150" s="46"/>
      <c r="K150" s="107"/>
      <c r="L150" s="46"/>
      <c r="M150" s="107"/>
      <c r="N150" s="46"/>
      <c r="O150" s="107"/>
      <c r="P150" s="46"/>
      <c r="Q150" s="107"/>
      <c r="R150" s="46"/>
      <c r="S150" s="107"/>
      <c r="T150" s="46"/>
      <c r="U150" s="107"/>
      <c r="V150" s="46"/>
    </row>
    <row r="151" spans="6:22" x14ac:dyDescent="0.2">
      <c r="F151" s="45"/>
      <c r="G151" s="45"/>
      <c r="H151" s="46"/>
      <c r="I151" s="107"/>
      <c r="J151" s="46"/>
      <c r="K151" s="107"/>
      <c r="L151" s="46"/>
      <c r="M151" s="107"/>
      <c r="N151" s="46"/>
      <c r="O151" s="107"/>
      <c r="P151" s="46"/>
      <c r="Q151" s="107"/>
      <c r="R151" s="46"/>
      <c r="S151" s="107"/>
      <c r="T151" s="46"/>
      <c r="U151" s="107"/>
      <c r="V151" s="46"/>
    </row>
    <row r="152" spans="6:22" x14ac:dyDescent="0.2">
      <c r="F152" s="45"/>
      <c r="G152" s="45"/>
      <c r="H152" s="46"/>
      <c r="I152" s="107"/>
      <c r="J152" s="46"/>
      <c r="K152" s="107"/>
      <c r="L152" s="46"/>
      <c r="M152" s="107"/>
      <c r="N152" s="46"/>
      <c r="O152" s="107"/>
      <c r="P152" s="46"/>
      <c r="Q152" s="107"/>
      <c r="R152" s="46"/>
      <c r="S152" s="107"/>
      <c r="T152" s="46"/>
      <c r="U152" s="107"/>
      <c r="V152" s="46"/>
    </row>
    <row r="153" spans="6:22" x14ac:dyDescent="0.2">
      <c r="F153" s="45"/>
      <c r="G153" s="45"/>
      <c r="H153" s="46"/>
      <c r="I153" s="107"/>
      <c r="J153" s="46"/>
      <c r="K153" s="107"/>
      <c r="L153" s="46"/>
      <c r="M153" s="107"/>
      <c r="N153" s="46"/>
      <c r="O153" s="107"/>
      <c r="P153" s="46"/>
      <c r="Q153" s="107"/>
      <c r="R153" s="46"/>
      <c r="S153" s="107"/>
      <c r="T153" s="46"/>
      <c r="U153" s="107"/>
      <c r="V153" s="46"/>
    </row>
    <row r="154" spans="6:22" x14ac:dyDescent="0.2">
      <c r="F154" s="45"/>
      <c r="G154" s="45"/>
      <c r="H154" s="46"/>
      <c r="I154" s="107"/>
      <c r="J154" s="46"/>
      <c r="K154" s="107"/>
      <c r="L154" s="46"/>
      <c r="M154" s="107"/>
      <c r="N154" s="46"/>
      <c r="O154" s="107"/>
      <c r="P154" s="46"/>
      <c r="Q154" s="107"/>
      <c r="R154" s="46"/>
      <c r="S154" s="107"/>
      <c r="T154" s="46"/>
      <c r="U154" s="107"/>
      <c r="V154" s="46"/>
    </row>
    <row r="155" spans="6:22" x14ac:dyDescent="0.2">
      <c r="F155" s="45"/>
      <c r="G155" s="45"/>
      <c r="H155" s="46"/>
      <c r="I155" s="107"/>
      <c r="J155" s="46"/>
      <c r="K155" s="107"/>
      <c r="L155" s="46"/>
      <c r="M155" s="107"/>
      <c r="N155" s="46"/>
      <c r="O155" s="107"/>
      <c r="P155" s="46"/>
      <c r="Q155" s="107"/>
      <c r="R155" s="46"/>
      <c r="S155" s="107"/>
      <c r="T155" s="46"/>
      <c r="U155" s="107"/>
      <c r="V155" s="46"/>
    </row>
    <row r="156" spans="6:22" x14ac:dyDescent="0.2">
      <c r="F156" s="45"/>
      <c r="G156" s="45"/>
      <c r="H156" s="46"/>
      <c r="I156" s="107"/>
      <c r="J156" s="46"/>
      <c r="K156" s="107"/>
      <c r="L156" s="46"/>
      <c r="M156" s="107"/>
      <c r="N156" s="46"/>
      <c r="O156" s="107"/>
      <c r="P156" s="46"/>
      <c r="Q156" s="107"/>
      <c r="R156" s="46"/>
      <c r="S156" s="107"/>
      <c r="T156" s="46"/>
      <c r="U156" s="107"/>
      <c r="V156" s="46"/>
    </row>
    <row r="157" spans="6:22" x14ac:dyDescent="0.2">
      <c r="F157" s="45"/>
      <c r="G157" s="45"/>
      <c r="H157" s="46"/>
      <c r="I157" s="107"/>
      <c r="J157" s="46"/>
      <c r="K157" s="107"/>
      <c r="L157" s="46"/>
      <c r="M157" s="107"/>
      <c r="N157" s="46"/>
      <c r="O157" s="107"/>
      <c r="P157" s="46"/>
      <c r="Q157" s="107"/>
      <c r="R157" s="46"/>
      <c r="S157" s="107"/>
      <c r="T157" s="46"/>
      <c r="U157" s="107"/>
      <c r="V157" s="46"/>
    </row>
    <row r="158" spans="6:22" x14ac:dyDescent="0.2">
      <c r="F158" s="45"/>
      <c r="G158" s="45"/>
      <c r="H158" s="46"/>
      <c r="I158" s="107"/>
      <c r="J158" s="46"/>
      <c r="K158" s="107"/>
      <c r="L158" s="46"/>
      <c r="M158" s="107"/>
      <c r="N158" s="46"/>
      <c r="O158" s="107"/>
      <c r="P158" s="46"/>
      <c r="Q158" s="107"/>
      <c r="R158" s="46"/>
      <c r="S158" s="107"/>
      <c r="T158" s="46"/>
      <c r="U158" s="107"/>
      <c r="V158" s="46"/>
    </row>
    <row r="159" spans="6:22" x14ac:dyDescent="0.2">
      <c r="F159" s="45"/>
      <c r="G159" s="45"/>
      <c r="H159" s="46"/>
      <c r="I159" s="107"/>
      <c r="J159" s="46"/>
      <c r="K159" s="107"/>
      <c r="L159" s="46"/>
      <c r="M159" s="107"/>
      <c r="N159" s="46"/>
      <c r="O159" s="107"/>
      <c r="P159" s="46"/>
      <c r="Q159" s="107"/>
      <c r="R159" s="46"/>
      <c r="S159" s="107"/>
      <c r="T159" s="46"/>
      <c r="U159" s="107"/>
      <c r="V159" s="46"/>
    </row>
    <row r="160" spans="6:22" x14ac:dyDescent="0.2">
      <c r="F160" s="45"/>
      <c r="G160" s="45"/>
      <c r="H160" s="46"/>
      <c r="I160" s="107"/>
      <c r="J160" s="46"/>
      <c r="K160" s="107"/>
      <c r="L160" s="46"/>
      <c r="M160" s="107"/>
      <c r="N160" s="46"/>
      <c r="O160" s="107"/>
      <c r="P160" s="46"/>
      <c r="Q160" s="107"/>
      <c r="R160" s="46"/>
      <c r="S160" s="107"/>
      <c r="T160" s="46"/>
      <c r="U160" s="107"/>
      <c r="V160" s="46"/>
    </row>
    <row r="161" spans="6:22" x14ac:dyDescent="0.2">
      <c r="F161" s="45"/>
      <c r="G161" s="45"/>
      <c r="H161" s="46"/>
      <c r="I161" s="107"/>
      <c r="J161" s="46"/>
      <c r="K161" s="107"/>
      <c r="L161" s="46"/>
      <c r="M161" s="107"/>
      <c r="N161" s="46"/>
      <c r="O161" s="107"/>
      <c r="P161" s="46"/>
      <c r="Q161" s="107"/>
      <c r="R161" s="46"/>
      <c r="S161" s="107"/>
      <c r="T161" s="46"/>
      <c r="U161" s="107"/>
      <c r="V161" s="46"/>
    </row>
    <row r="162" spans="6:22" x14ac:dyDescent="0.2">
      <c r="F162" s="45"/>
      <c r="G162" s="45"/>
      <c r="H162" s="46"/>
      <c r="I162" s="107"/>
      <c r="J162" s="46"/>
      <c r="K162" s="107"/>
      <c r="L162" s="46"/>
      <c r="M162" s="107"/>
      <c r="N162" s="46"/>
      <c r="O162" s="107"/>
      <c r="P162" s="46"/>
      <c r="Q162" s="107"/>
      <c r="R162" s="46"/>
      <c r="S162" s="107"/>
      <c r="T162" s="46"/>
      <c r="U162" s="107"/>
      <c r="V162" s="46"/>
    </row>
    <row r="163" spans="6:22" x14ac:dyDescent="0.2">
      <c r="F163" s="45"/>
      <c r="G163" s="45"/>
      <c r="H163" s="46"/>
      <c r="I163" s="107"/>
      <c r="J163" s="46"/>
      <c r="K163" s="107"/>
      <c r="L163" s="46"/>
      <c r="M163" s="107"/>
      <c r="N163" s="46"/>
      <c r="O163" s="107"/>
      <c r="P163" s="46"/>
      <c r="Q163" s="107"/>
      <c r="R163" s="46"/>
      <c r="S163" s="107"/>
      <c r="T163" s="46"/>
      <c r="U163" s="107"/>
      <c r="V163" s="46"/>
    </row>
    <row r="164" spans="6:22" x14ac:dyDescent="0.2">
      <c r="F164" s="45"/>
      <c r="G164" s="45"/>
      <c r="H164" s="46"/>
      <c r="I164" s="107"/>
      <c r="J164" s="46"/>
      <c r="K164" s="107"/>
      <c r="L164" s="46"/>
      <c r="M164" s="107"/>
      <c r="N164" s="46"/>
      <c r="O164" s="107"/>
      <c r="P164" s="46"/>
      <c r="Q164" s="107"/>
      <c r="R164" s="46"/>
      <c r="S164" s="107"/>
      <c r="T164" s="46"/>
      <c r="U164" s="107"/>
      <c r="V164" s="46"/>
    </row>
    <row r="165" spans="6:22" x14ac:dyDescent="0.2">
      <c r="F165" s="45"/>
      <c r="G165" s="45"/>
      <c r="H165" s="46"/>
      <c r="I165" s="107"/>
      <c r="J165" s="46"/>
      <c r="K165" s="107"/>
      <c r="L165" s="46"/>
      <c r="M165" s="107"/>
      <c r="N165" s="46"/>
      <c r="O165" s="107"/>
      <c r="P165" s="46"/>
      <c r="Q165" s="107"/>
      <c r="R165" s="46"/>
      <c r="S165" s="107"/>
      <c r="T165" s="46"/>
      <c r="U165" s="107"/>
      <c r="V165" s="46"/>
    </row>
    <row r="166" spans="6:22" x14ac:dyDescent="0.2">
      <c r="F166" s="45"/>
      <c r="G166" s="45"/>
      <c r="H166" s="46"/>
      <c r="I166" s="107"/>
      <c r="J166" s="46"/>
      <c r="K166" s="107"/>
      <c r="L166" s="46"/>
      <c r="M166" s="107"/>
      <c r="N166" s="46"/>
      <c r="O166" s="107"/>
      <c r="P166" s="46"/>
      <c r="Q166" s="107"/>
      <c r="R166" s="46"/>
      <c r="S166" s="107"/>
      <c r="T166" s="46"/>
      <c r="U166" s="107"/>
      <c r="V166" s="46"/>
    </row>
    <row r="167" spans="6:22" x14ac:dyDescent="0.2">
      <c r="F167" s="45"/>
      <c r="G167" s="45"/>
      <c r="H167" s="46"/>
      <c r="I167" s="107"/>
      <c r="J167" s="46"/>
      <c r="K167" s="107"/>
      <c r="L167" s="46"/>
      <c r="M167" s="107"/>
      <c r="N167" s="46"/>
      <c r="O167" s="107"/>
      <c r="P167" s="46"/>
      <c r="Q167" s="107"/>
      <c r="R167" s="46"/>
      <c r="S167" s="107"/>
      <c r="T167" s="46"/>
      <c r="U167" s="107"/>
      <c r="V167" s="46"/>
    </row>
    <row r="168" spans="6:22" x14ac:dyDescent="0.2">
      <c r="F168" s="45"/>
      <c r="G168" s="45"/>
      <c r="H168" s="46"/>
      <c r="I168" s="107"/>
      <c r="J168" s="46"/>
      <c r="K168" s="107"/>
      <c r="L168" s="46"/>
      <c r="M168" s="107"/>
      <c r="N168" s="46"/>
      <c r="O168" s="107"/>
      <c r="P168" s="46"/>
      <c r="Q168" s="107"/>
      <c r="R168" s="46"/>
      <c r="S168" s="107"/>
      <c r="T168" s="46"/>
      <c r="U168" s="107"/>
      <c r="V168" s="46"/>
    </row>
    <row r="169" spans="6:22" x14ac:dyDescent="0.2">
      <c r="F169" s="45"/>
      <c r="G169" s="45"/>
      <c r="H169" s="46"/>
      <c r="I169" s="107"/>
      <c r="J169" s="46"/>
      <c r="K169" s="107"/>
      <c r="L169" s="46"/>
      <c r="M169" s="107"/>
      <c r="N169" s="46"/>
      <c r="O169" s="107"/>
      <c r="P169" s="46"/>
      <c r="Q169" s="107"/>
      <c r="R169" s="46"/>
      <c r="S169" s="107"/>
      <c r="T169" s="46"/>
      <c r="U169" s="107"/>
      <c r="V169" s="46"/>
    </row>
    <row r="170" spans="6:22" x14ac:dyDescent="0.2">
      <c r="F170" s="45"/>
      <c r="G170" s="45"/>
      <c r="H170" s="46"/>
      <c r="I170" s="107"/>
      <c r="J170" s="46"/>
      <c r="K170" s="107"/>
      <c r="L170" s="46"/>
      <c r="M170" s="107"/>
      <c r="N170" s="46"/>
      <c r="O170" s="107"/>
      <c r="P170" s="46"/>
      <c r="Q170" s="107"/>
      <c r="R170" s="46"/>
      <c r="S170" s="107"/>
      <c r="T170" s="46"/>
      <c r="U170" s="107"/>
      <c r="V170" s="46"/>
    </row>
    <row r="171" spans="6:22" x14ac:dyDescent="0.2">
      <c r="F171" s="45"/>
      <c r="G171" s="45"/>
      <c r="H171" s="46"/>
      <c r="I171" s="107"/>
      <c r="J171" s="46"/>
      <c r="K171" s="107"/>
      <c r="L171" s="46"/>
      <c r="M171" s="107"/>
      <c r="N171" s="46"/>
      <c r="O171" s="107"/>
      <c r="P171" s="46"/>
      <c r="Q171" s="107"/>
      <c r="R171" s="46"/>
      <c r="S171" s="107"/>
      <c r="T171" s="46"/>
      <c r="U171" s="107"/>
      <c r="V171" s="46"/>
    </row>
    <row r="172" spans="6:22" x14ac:dyDescent="0.2">
      <c r="F172" s="45"/>
      <c r="G172" s="45"/>
      <c r="H172" s="46"/>
      <c r="I172" s="107"/>
      <c r="J172" s="46"/>
      <c r="K172" s="107"/>
      <c r="L172" s="46"/>
      <c r="M172" s="107"/>
      <c r="N172" s="46"/>
      <c r="O172" s="107"/>
      <c r="P172" s="46"/>
      <c r="Q172" s="107"/>
      <c r="R172" s="46"/>
      <c r="S172" s="107"/>
      <c r="T172" s="46"/>
      <c r="U172" s="107"/>
      <c r="V172" s="46"/>
    </row>
    <row r="173" spans="6:22" x14ac:dyDescent="0.2">
      <c r="F173" s="45"/>
      <c r="G173" s="45"/>
      <c r="H173" s="46"/>
      <c r="I173" s="107"/>
      <c r="J173" s="46"/>
      <c r="K173" s="107"/>
      <c r="L173" s="46"/>
      <c r="M173" s="107"/>
      <c r="N173" s="46"/>
      <c r="O173" s="107"/>
      <c r="P173" s="46"/>
      <c r="Q173" s="107"/>
      <c r="R173" s="46"/>
      <c r="S173" s="107"/>
      <c r="T173" s="46"/>
      <c r="U173" s="107"/>
      <c r="V173" s="46"/>
    </row>
    <row r="174" spans="6:22" x14ac:dyDescent="0.2">
      <c r="F174" s="45"/>
      <c r="G174" s="45"/>
      <c r="H174" s="46"/>
      <c r="I174" s="107"/>
      <c r="J174" s="46"/>
      <c r="K174" s="107"/>
      <c r="L174" s="46"/>
      <c r="M174" s="107"/>
      <c r="N174" s="46"/>
      <c r="O174" s="107"/>
      <c r="P174" s="46"/>
      <c r="Q174" s="107"/>
      <c r="R174" s="46"/>
      <c r="S174" s="107"/>
      <c r="T174" s="46"/>
      <c r="U174" s="107"/>
      <c r="V174" s="46"/>
    </row>
    <row r="175" spans="6:22" x14ac:dyDescent="0.2">
      <c r="F175" s="45"/>
      <c r="G175" s="45"/>
      <c r="H175" s="46"/>
      <c r="I175" s="107"/>
      <c r="J175" s="46"/>
      <c r="K175" s="107"/>
      <c r="L175" s="46"/>
      <c r="M175" s="107"/>
      <c r="N175" s="46"/>
      <c r="O175" s="107"/>
      <c r="P175" s="46"/>
      <c r="Q175" s="107"/>
      <c r="R175" s="46"/>
      <c r="S175" s="107"/>
      <c r="T175" s="46"/>
      <c r="U175" s="107"/>
      <c r="V175" s="46"/>
    </row>
    <row r="176" spans="6:22" x14ac:dyDescent="0.2">
      <c r="F176" s="45"/>
      <c r="G176" s="45"/>
      <c r="H176" s="46"/>
      <c r="I176" s="107"/>
      <c r="J176" s="46"/>
      <c r="K176" s="107"/>
      <c r="L176" s="46"/>
      <c r="M176" s="107"/>
      <c r="N176" s="46"/>
      <c r="O176" s="107"/>
      <c r="P176" s="46"/>
      <c r="Q176" s="107"/>
      <c r="R176" s="46"/>
      <c r="S176" s="107"/>
      <c r="T176" s="46"/>
      <c r="U176" s="107"/>
      <c r="V176" s="46"/>
    </row>
    <row r="177" spans="6:22" x14ac:dyDescent="0.2">
      <c r="F177" s="45"/>
      <c r="G177" s="45"/>
      <c r="H177" s="46"/>
      <c r="I177" s="107"/>
      <c r="J177" s="46"/>
      <c r="K177" s="107"/>
      <c r="L177" s="46"/>
      <c r="M177" s="107"/>
      <c r="N177" s="46"/>
      <c r="O177" s="107"/>
      <c r="P177" s="46"/>
      <c r="Q177" s="107"/>
      <c r="R177" s="46"/>
      <c r="S177" s="107"/>
      <c r="T177" s="46"/>
      <c r="U177" s="107"/>
      <c r="V177" s="46"/>
    </row>
    <row r="178" spans="6:22" x14ac:dyDescent="0.2">
      <c r="F178" s="45"/>
      <c r="G178" s="45"/>
      <c r="H178" s="46"/>
      <c r="I178" s="107"/>
      <c r="J178" s="46"/>
      <c r="K178" s="107"/>
      <c r="L178" s="46"/>
      <c r="M178" s="107"/>
      <c r="N178" s="46"/>
      <c r="O178" s="107"/>
      <c r="P178" s="46"/>
      <c r="Q178" s="107"/>
      <c r="R178" s="46"/>
      <c r="S178" s="107"/>
      <c r="T178" s="46"/>
      <c r="U178" s="107"/>
      <c r="V178" s="46"/>
    </row>
    <row r="179" spans="6:22" x14ac:dyDescent="0.2">
      <c r="F179" s="45"/>
      <c r="G179" s="45"/>
      <c r="H179" s="46"/>
      <c r="I179" s="107"/>
      <c r="J179" s="46"/>
      <c r="K179" s="107"/>
      <c r="L179" s="46"/>
      <c r="M179" s="107"/>
      <c r="N179" s="46"/>
      <c r="O179" s="107"/>
      <c r="P179" s="46"/>
      <c r="Q179" s="107"/>
      <c r="R179" s="46"/>
      <c r="S179" s="107"/>
      <c r="T179" s="46"/>
      <c r="U179" s="107"/>
      <c r="V179" s="46"/>
    </row>
    <row r="180" spans="6:22" x14ac:dyDescent="0.2">
      <c r="F180" s="45"/>
      <c r="G180" s="45"/>
      <c r="H180" s="46"/>
      <c r="I180" s="107"/>
      <c r="J180" s="46"/>
      <c r="K180" s="107"/>
      <c r="L180" s="46"/>
      <c r="M180" s="107"/>
      <c r="N180" s="46"/>
      <c r="O180" s="107"/>
      <c r="P180" s="46"/>
      <c r="Q180" s="107"/>
      <c r="R180" s="46"/>
      <c r="S180" s="107"/>
      <c r="T180" s="46"/>
      <c r="U180" s="107"/>
      <c r="V180" s="46"/>
    </row>
    <row r="181" spans="6:22" x14ac:dyDescent="0.2">
      <c r="F181" s="45"/>
      <c r="G181" s="45"/>
      <c r="H181" s="46"/>
      <c r="I181" s="107"/>
      <c r="J181" s="46"/>
      <c r="K181" s="107"/>
      <c r="L181" s="46"/>
      <c r="M181" s="107"/>
      <c r="N181" s="46"/>
      <c r="O181" s="107"/>
      <c r="P181" s="46"/>
      <c r="Q181" s="107"/>
      <c r="R181" s="46"/>
      <c r="S181" s="107"/>
      <c r="T181" s="46"/>
      <c r="U181" s="107"/>
      <c r="V181" s="46"/>
    </row>
    <row r="182" spans="6:22" x14ac:dyDescent="0.2">
      <c r="F182" s="45"/>
      <c r="G182" s="45"/>
      <c r="H182" s="46"/>
      <c r="I182" s="107"/>
      <c r="J182" s="46"/>
      <c r="K182" s="107"/>
      <c r="L182" s="46"/>
      <c r="M182" s="107"/>
      <c r="N182" s="46"/>
      <c r="O182" s="107"/>
      <c r="P182" s="46"/>
      <c r="Q182" s="107"/>
      <c r="R182" s="46"/>
      <c r="S182" s="107"/>
      <c r="T182" s="46"/>
      <c r="U182" s="107"/>
      <c r="V182" s="46"/>
    </row>
    <row r="183" spans="6:22" x14ac:dyDescent="0.2">
      <c r="F183" s="45"/>
      <c r="G183" s="45"/>
      <c r="H183" s="46"/>
      <c r="I183" s="107"/>
      <c r="J183" s="46"/>
      <c r="K183" s="107"/>
      <c r="L183" s="46"/>
      <c r="M183" s="107"/>
      <c r="N183" s="46"/>
      <c r="O183" s="107"/>
      <c r="P183" s="46"/>
      <c r="Q183" s="107"/>
      <c r="R183" s="46"/>
      <c r="S183" s="107"/>
      <c r="T183" s="46"/>
      <c r="U183" s="107"/>
      <c r="V183" s="46"/>
    </row>
    <row r="184" spans="6:22" x14ac:dyDescent="0.2">
      <c r="F184" s="45"/>
      <c r="G184" s="45"/>
      <c r="H184" s="46"/>
      <c r="I184" s="107"/>
      <c r="J184" s="46"/>
      <c r="K184" s="107"/>
      <c r="L184" s="46"/>
      <c r="M184" s="107"/>
      <c r="N184" s="46"/>
      <c r="O184" s="107"/>
      <c r="P184" s="46"/>
      <c r="Q184" s="107"/>
      <c r="R184" s="46"/>
      <c r="S184" s="107"/>
      <c r="T184" s="46"/>
      <c r="U184" s="107"/>
      <c r="V184" s="46"/>
    </row>
    <row r="185" spans="6:22" x14ac:dyDescent="0.2">
      <c r="F185" s="45"/>
      <c r="G185" s="45"/>
      <c r="H185" s="46"/>
      <c r="I185" s="107"/>
      <c r="J185" s="46"/>
      <c r="K185" s="107"/>
      <c r="L185" s="46"/>
      <c r="M185" s="107"/>
      <c r="N185" s="46"/>
      <c r="O185" s="107"/>
      <c r="P185" s="46"/>
      <c r="Q185" s="107"/>
      <c r="R185" s="46"/>
      <c r="S185" s="107"/>
      <c r="T185" s="46"/>
      <c r="U185" s="107"/>
      <c r="V185" s="46"/>
    </row>
    <row r="186" spans="6:22" x14ac:dyDescent="0.2">
      <c r="F186" s="45"/>
      <c r="G186" s="45"/>
      <c r="H186" s="46"/>
      <c r="I186" s="107"/>
      <c r="J186" s="46"/>
      <c r="K186" s="107"/>
      <c r="L186" s="46"/>
      <c r="M186" s="107"/>
      <c r="N186" s="46"/>
      <c r="O186" s="107"/>
      <c r="P186" s="46"/>
      <c r="Q186" s="107"/>
      <c r="R186" s="46"/>
      <c r="S186" s="107"/>
      <c r="T186" s="46"/>
      <c r="U186" s="107"/>
      <c r="V186" s="46"/>
    </row>
    <row r="187" spans="6:22" x14ac:dyDescent="0.2">
      <c r="F187" s="45"/>
      <c r="G187" s="45"/>
      <c r="H187" s="46"/>
      <c r="I187" s="107"/>
      <c r="J187" s="46"/>
      <c r="K187" s="107"/>
      <c r="L187" s="46"/>
      <c r="M187" s="107"/>
      <c r="N187" s="46"/>
      <c r="O187" s="107"/>
      <c r="P187" s="46"/>
      <c r="Q187" s="107"/>
      <c r="R187" s="46"/>
      <c r="S187" s="107"/>
      <c r="T187" s="46"/>
      <c r="U187" s="107"/>
      <c r="V187" s="46"/>
    </row>
    <row r="188" spans="6:22" x14ac:dyDescent="0.2">
      <c r="F188" s="45"/>
      <c r="G188" s="45"/>
      <c r="H188" s="46"/>
      <c r="I188" s="107"/>
      <c r="J188" s="46"/>
      <c r="K188" s="107"/>
      <c r="L188" s="46"/>
      <c r="M188" s="107"/>
      <c r="N188" s="46"/>
      <c r="O188" s="107"/>
      <c r="P188" s="46"/>
      <c r="Q188" s="107"/>
      <c r="R188" s="46"/>
      <c r="S188" s="107"/>
      <c r="T188" s="46"/>
      <c r="U188" s="107"/>
      <c r="V188" s="46"/>
    </row>
    <row r="189" spans="6:22" x14ac:dyDescent="0.2">
      <c r="F189" s="45"/>
      <c r="G189" s="45"/>
      <c r="H189" s="46"/>
      <c r="I189" s="107"/>
      <c r="J189" s="46"/>
      <c r="K189" s="107"/>
      <c r="L189" s="46"/>
      <c r="M189" s="107"/>
      <c r="N189" s="46"/>
      <c r="O189" s="107"/>
      <c r="P189" s="46"/>
      <c r="Q189" s="107"/>
      <c r="R189" s="46"/>
      <c r="S189" s="107"/>
      <c r="T189" s="46"/>
      <c r="U189" s="107"/>
      <c r="V189" s="46"/>
    </row>
    <row r="190" spans="6:22" x14ac:dyDescent="0.2">
      <c r="F190" s="45"/>
      <c r="G190" s="45"/>
      <c r="H190" s="46"/>
      <c r="I190" s="107"/>
      <c r="J190" s="46"/>
      <c r="K190" s="107"/>
      <c r="L190" s="46"/>
      <c r="M190" s="107"/>
      <c r="N190" s="46"/>
      <c r="O190" s="107"/>
      <c r="P190" s="46"/>
      <c r="Q190" s="107"/>
      <c r="R190" s="46"/>
      <c r="S190" s="107"/>
      <c r="T190" s="46"/>
      <c r="U190" s="107"/>
      <c r="V190" s="46"/>
    </row>
    <row r="191" spans="6:22" x14ac:dyDescent="0.2">
      <c r="F191" s="45"/>
      <c r="G191" s="45"/>
      <c r="H191" s="46"/>
      <c r="I191" s="107"/>
      <c r="J191" s="46"/>
      <c r="K191" s="107"/>
      <c r="L191" s="46"/>
      <c r="M191" s="107"/>
      <c r="N191" s="46"/>
      <c r="O191" s="107"/>
      <c r="P191" s="46"/>
      <c r="Q191" s="107"/>
      <c r="R191" s="46"/>
      <c r="S191" s="107"/>
      <c r="T191" s="46"/>
      <c r="U191" s="107"/>
      <c r="V191" s="46"/>
    </row>
    <row r="192" spans="6:22" x14ac:dyDescent="0.2">
      <c r="F192" s="45"/>
      <c r="G192" s="45"/>
      <c r="H192" s="46"/>
      <c r="I192" s="107"/>
      <c r="J192" s="46"/>
      <c r="K192" s="107"/>
      <c r="L192" s="46"/>
      <c r="M192" s="107"/>
      <c r="N192" s="46"/>
      <c r="O192" s="107"/>
      <c r="P192" s="46"/>
      <c r="Q192" s="107"/>
      <c r="R192" s="46"/>
      <c r="S192" s="107"/>
      <c r="T192" s="46"/>
      <c r="U192" s="107"/>
      <c r="V192" s="46"/>
    </row>
    <row r="193" spans="6:22" x14ac:dyDescent="0.2">
      <c r="F193" s="45"/>
      <c r="G193" s="45"/>
      <c r="H193" s="46"/>
      <c r="I193" s="107"/>
      <c r="J193" s="46"/>
      <c r="K193" s="107"/>
      <c r="L193" s="46"/>
      <c r="M193" s="107"/>
      <c r="N193" s="46"/>
      <c r="O193" s="107"/>
      <c r="P193" s="46"/>
      <c r="Q193" s="107"/>
      <c r="R193" s="46"/>
      <c r="S193" s="107"/>
      <c r="T193" s="46"/>
      <c r="U193" s="107"/>
      <c r="V193" s="46"/>
    </row>
    <row r="194" spans="6:22" x14ac:dyDescent="0.2">
      <c r="F194" s="45"/>
      <c r="G194" s="45"/>
      <c r="H194" s="46"/>
      <c r="I194" s="107"/>
      <c r="J194" s="46"/>
      <c r="K194" s="107"/>
      <c r="L194" s="46"/>
      <c r="M194" s="107"/>
      <c r="N194" s="46"/>
      <c r="O194" s="107"/>
      <c r="P194" s="46"/>
      <c r="Q194" s="107"/>
      <c r="R194" s="46"/>
      <c r="S194" s="107"/>
      <c r="T194" s="46"/>
      <c r="U194" s="107"/>
      <c r="V194" s="46"/>
    </row>
    <row r="195" spans="6:22" x14ac:dyDescent="0.2">
      <c r="F195" s="45"/>
      <c r="G195" s="45"/>
      <c r="H195" s="46"/>
      <c r="I195" s="107"/>
      <c r="J195" s="46"/>
      <c r="K195" s="107"/>
      <c r="L195" s="46"/>
      <c r="M195" s="107"/>
      <c r="N195" s="46"/>
      <c r="O195" s="107"/>
      <c r="P195" s="46"/>
      <c r="Q195" s="107"/>
      <c r="R195" s="46"/>
      <c r="S195" s="107"/>
      <c r="T195" s="46"/>
      <c r="U195" s="107"/>
      <c r="V195" s="46"/>
    </row>
    <row r="196" spans="6:22" x14ac:dyDescent="0.2">
      <c r="F196" s="45"/>
      <c r="G196" s="45"/>
      <c r="H196" s="46"/>
      <c r="I196" s="107"/>
      <c r="J196" s="46"/>
      <c r="K196" s="107"/>
      <c r="L196" s="46"/>
      <c r="M196" s="107"/>
      <c r="N196" s="46"/>
      <c r="O196" s="107"/>
      <c r="P196" s="46"/>
      <c r="Q196" s="107"/>
      <c r="R196" s="46"/>
      <c r="S196" s="107"/>
      <c r="T196" s="46"/>
      <c r="U196" s="107"/>
      <c r="V196" s="46"/>
    </row>
    <row r="197" spans="6:22" x14ac:dyDescent="0.2">
      <c r="F197" s="45"/>
      <c r="G197" s="45"/>
      <c r="H197" s="46"/>
      <c r="I197" s="107"/>
      <c r="J197" s="46"/>
      <c r="K197" s="107"/>
      <c r="L197" s="46"/>
      <c r="M197" s="107"/>
      <c r="N197" s="46"/>
      <c r="O197" s="107"/>
      <c r="P197" s="46"/>
      <c r="Q197" s="107"/>
      <c r="R197" s="46"/>
      <c r="S197" s="107"/>
      <c r="T197" s="46"/>
      <c r="U197" s="107"/>
      <c r="V197" s="46"/>
    </row>
    <row r="198" spans="6:22" x14ac:dyDescent="0.2">
      <c r="F198" s="45"/>
      <c r="G198" s="45"/>
      <c r="H198" s="46"/>
      <c r="I198" s="107"/>
      <c r="J198" s="46"/>
      <c r="K198" s="107"/>
      <c r="L198" s="46"/>
      <c r="M198" s="107"/>
      <c r="N198" s="46"/>
      <c r="O198" s="107"/>
      <c r="P198" s="46"/>
      <c r="Q198" s="107"/>
      <c r="R198" s="46"/>
      <c r="S198" s="107"/>
      <c r="T198" s="46"/>
      <c r="U198" s="107"/>
      <c r="V198" s="46"/>
    </row>
    <row r="199" spans="6:22" x14ac:dyDescent="0.2">
      <c r="F199" s="10"/>
      <c r="G199" s="10"/>
      <c r="H199" s="26"/>
      <c r="I199" s="109"/>
      <c r="J199" s="26"/>
      <c r="K199" s="109"/>
      <c r="L199" s="26"/>
      <c r="M199" s="109"/>
      <c r="N199" s="26"/>
      <c r="O199" s="109"/>
      <c r="P199" s="26"/>
      <c r="Q199" s="109"/>
      <c r="R199" s="26"/>
      <c r="S199" s="109"/>
      <c r="T199" s="26"/>
      <c r="U199" s="109"/>
      <c r="V199" s="26"/>
    </row>
    <row r="200" spans="6:22" x14ac:dyDescent="0.2">
      <c r="F200" s="10"/>
      <c r="G200" s="10"/>
      <c r="H200" s="26"/>
      <c r="I200" s="109"/>
      <c r="J200" s="26"/>
      <c r="K200" s="109"/>
      <c r="L200" s="26"/>
      <c r="M200" s="109"/>
      <c r="N200" s="26"/>
      <c r="O200" s="109"/>
      <c r="P200" s="26"/>
      <c r="Q200" s="109"/>
      <c r="R200" s="26"/>
      <c r="S200" s="109"/>
      <c r="T200" s="26"/>
      <c r="U200" s="109"/>
      <c r="V200" s="26"/>
    </row>
    <row r="201" spans="6:22" x14ac:dyDescent="0.2">
      <c r="F201" s="10"/>
      <c r="G201" s="10"/>
      <c r="H201" s="26"/>
      <c r="I201" s="109"/>
      <c r="J201" s="26"/>
      <c r="K201" s="109"/>
      <c r="L201" s="26"/>
      <c r="M201" s="109"/>
      <c r="N201" s="26"/>
      <c r="O201" s="109"/>
      <c r="P201" s="26"/>
      <c r="Q201" s="109"/>
      <c r="R201" s="26"/>
      <c r="S201" s="109"/>
      <c r="T201" s="26"/>
      <c r="U201" s="109"/>
      <c r="V201" s="26"/>
    </row>
    <row r="202" spans="6:22" x14ac:dyDescent="0.2">
      <c r="F202" s="10"/>
      <c r="G202" s="10"/>
      <c r="H202" s="26"/>
      <c r="I202" s="109"/>
      <c r="J202" s="26"/>
      <c r="K202" s="109"/>
      <c r="L202" s="26"/>
      <c r="M202" s="109"/>
      <c r="N202" s="26"/>
      <c r="O202" s="109"/>
      <c r="P202" s="26"/>
      <c r="Q202" s="109"/>
      <c r="R202" s="26"/>
      <c r="S202" s="109"/>
      <c r="T202" s="26"/>
      <c r="U202" s="109"/>
      <c r="V202" s="26"/>
    </row>
    <row r="203" spans="6:22" x14ac:dyDescent="0.2">
      <c r="F203" s="10"/>
      <c r="G203" s="10"/>
      <c r="H203" s="26"/>
      <c r="I203" s="109"/>
      <c r="J203" s="26"/>
      <c r="K203" s="109"/>
      <c r="L203" s="26"/>
      <c r="M203" s="109"/>
      <c r="N203" s="26"/>
      <c r="O203" s="109"/>
      <c r="P203" s="26"/>
      <c r="Q203" s="109"/>
      <c r="R203" s="26"/>
      <c r="S203" s="109"/>
      <c r="T203" s="26"/>
      <c r="U203" s="109"/>
      <c r="V203" s="26"/>
    </row>
    <row r="204" spans="6:22" x14ac:dyDescent="0.2">
      <c r="F204" s="10"/>
      <c r="G204" s="10"/>
      <c r="H204" s="26"/>
      <c r="I204" s="109"/>
      <c r="J204" s="26"/>
      <c r="K204" s="109"/>
      <c r="L204" s="26"/>
      <c r="M204" s="109"/>
      <c r="N204" s="26"/>
      <c r="O204" s="109"/>
      <c r="P204" s="26"/>
      <c r="Q204" s="109"/>
      <c r="R204" s="26"/>
      <c r="S204" s="109"/>
      <c r="T204" s="26"/>
      <c r="U204" s="109"/>
      <c r="V204" s="26"/>
    </row>
    <row r="205" spans="6:22" x14ac:dyDescent="0.2">
      <c r="F205" s="10"/>
      <c r="G205" s="10"/>
      <c r="H205" s="26"/>
      <c r="I205" s="109"/>
      <c r="J205" s="26"/>
      <c r="K205" s="109"/>
      <c r="L205" s="26"/>
      <c r="M205" s="109"/>
      <c r="N205" s="26"/>
      <c r="O205" s="109"/>
      <c r="P205" s="26"/>
      <c r="Q205" s="109"/>
      <c r="R205" s="26"/>
      <c r="S205" s="109"/>
      <c r="T205" s="26"/>
      <c r="U205" s="109"/>
      <c r="V205" s="26"/>
    </row>
    <row r="206" spans="6:22" x14ac:dyDescent="0.2">
      <c r="F206" s="10"/>
      <c r="G206" s="10"/>
      <c r="H206" s="26"/>
      <c r="I206" s="109"/>
      <c r="J206" s="26"/>
      <c r="K206" s="109"/>
      <c r="L206" s="26"/>
      <c r="M206" s="109"/>
      <c r="N206" s="26"/>
      <c r="O206" s="109"/>
      <c r="P206" s="26"/>
      <c r="Q206" s="109"/>
      <c r="R206" s="26"/>
      <c r="S206" s="109"/>
      <c r="T206" s="26"/>
      <c r="U206" s="109"/>
      <c r="V206" s="26"/>
    </row>
    <row r="207" spans="6:22" x14ac:dyDescent="0.2">
      <c r="F207" s="10"/>
      <c r="G207" s="10"/>
      <c r="H207" s="26"/>
      <c r="I207" s="109"/>
      <c r="J207" s="26"/>
      <c r="K207" s="109"/>
      <c r="L207" s="26"/>
      <c r="M207" s="109"/>
      <c r="N207" s="26"/>
      <c r="O207" s="109"/>
      <c r="P207" s="26"/>
      <c r="Q207" s="109"/>
      <c r="R207" s="26"/>
      <c r="S207" s="109"/>
      <c r="T207" s="26"/>
      <c r="U207" s="109"/>
      <c r="V207" s="26"/>
    </row>
    <row r="208" spans="6:22" x14ac:dyDescent="0.2">
      <c r="F208" s="10"/>
      <c r="G208" s="10"/>
      <c r="H208" s="26"/>
      <c r="I208" s="109"/>
      <c r="J208" s="26"/>
      <c r="K208" s="109"/>
      <c r="L208" s="26"/>
      <c r="M208" s="109"/>
      <c r="N208" s="26"/>
      <c r="O208" s="109"/>
      <c r="P208" s="26"/>
      <c r="Q208" s="109"/>
      <c r="R208" s="26"/>
      <c r="S208" s="109"/>
      <c r="T208" s="26"/>
      <c r="U208" s="109"/>
      <c r="V208" s="26"/>
    </row>
    <row r="209" spans="6:22" x14ac:dyDescent="0.2">
      <c r="F209" s="10"/>
      <c r="G209" s="10"/>
      <c r="H209" s="26"/>
      <c r="I209" s="109"/>
      <c r="J209" s="26"/>
      <c r="K209" s="109"/>
      <c r="L209" s="26"/>
      <c r="M209" s="109"/>
      <c r="N209" s="26"/>
      <c r="O209" s="109"/>
      <c r="P209" s="26"/>
      <c r="Q209" s="109"/>
      <c r="R209" s="26"/>
      <c r="S209" s="109"/>
      <c r="T209" s="26"/>
      <c r="U209" s="109"/>
      <c r="V209" s="26"/>
    </row>
    <row r="210" spans="6:22" x14ac:dyDescent="0.2">
      <c r="F210" s="10"/>
      <c r="G210" s="10"/>
      <c r="H210" s="26"/>
      <c r="I210" s="109"/>
      <c r="J210" s="26"/>
      <c r="K210" s="109"/>
      <c r="L210" s="26"/>
      <c r="M210" s="109"/>
      <c r="N210" s="26"/>
      <c r="O210" s="109"/>
      <c r="P210" s="26"/>
      <c r="Q210" s="109"/>
      <c r="R210" s="26"/>
      <c r="S210" s="109"/>
      <c r="T210" s="26"/>
      <c r="U210" s="109"/>
      <c r="V210" s="26"/>
    </row>
    <row r="211" spans="6:22" x14ac:dyDescent="0.2">
      <c r="F211" s="10"/>
      <c r="G211" s="10"/>
      <c r="H211" s="26"/>
      <c r="I211" s="109"/>
      <c r="J211" s="26"/>
      <c r="K211" s="109"/>
      <c r="L211" s="26"/>
      <c r="M211" s="109"/>
      <c r="N211" s="26"/>
      <c r="O211" s="109"/>
      <c r="P211" s="26"/>
      <c r="Q211" s="109"/>
      <c r="R211" s="26"/>
      <c r="S211" s="109"/>
      <c r="T211" s="26"/>
      <c r="U211" s="109"/>
      <c r="V211" s="26"/>
    </row>
    <row r="212" spans="6:22" x14ac:dyDescent="0.2">
      <c r="F212" s="10"/>
      <c r="G212" s="10"/>
      <c r="H212" s="26"/>
      <c r="I212" s="109"/>
      <c r="J212" s="26"/>
      <c r="K212" s="109"/>
      <c r="L212" s="26"/>
      <c r="M212" s="109"/>
      <c r="N212" s="26"/>
      <c r="O212" s="109"/>
      <c r="P212" s="26"/>
      <c r="Q212" s="109"/>
      <c r="R212" s="26"/>
      <c r="S212" s="109"/>
      <c r="T212" s="26"/>
      <c r="U212" s="109"/>
      <c r="V212" s="26"/>
    </row>
    <row r="213" spans="6:22" x14ac:dyDescent="0.2">
      <c r="F213" s="10"/>
      <c r="G213" s="10"/>
      <c r="H213" s="26"/>
      <c r="I213" s="109"/>
      <c r="J213" s="26"/>
      <c r="K213" s="109"/>
      <c r="L213" s="26"/>
      <c r="M213" s="109"/>
      <c r="N213" s="26"/>
      <c r="O213" s="109"/>
      <c r="P213" s="26"/>
      <c r="Q213" s="109"/>
      <c r="R213" s="26"/>
      <c r="S213" s="109"/>
      <c r="T213" s="26"/>
      <c r="U213" s="109"/>
      <c r="V213" s="26"/>
    </row>
    <row r="214" spans="6:22" x14ac:dyDescent="0.2">
      <c r="H214" s="15"/>
      <c r="I214" s="110"/>
      <c r="J214" s="15"/>
      <c r="K214" s="110"/>
      <c r="L214" s="15"/>
      <c r="M214" s="110"/>
      <c r="N214" s="15"/>
      <c r="O214" s="110"/>
      <c r="P214" s="15"/>
      <c r="Q214" s="110"/>
      <c r="R214" s="15"/>
      <c r="S214" s="110"/>
      <c r="T214" s="15"/>
      <c r="U214" s="110"/>
      <c r="V214" s="15"/>
    </row>
    <row r="215" spans="6:22" x14ac:dyDescent="0.2">
      <c r="H215" s="15"/>
      <c r="I215" s="110"/>
      <c r="J215" s="15"/>
      <c r="K215" s="110"/>
      <c r="L215" s="15"/>
      <c r="M215" s="110"/>
      <c r="N215" s="15"/>
      <c r="O215" s="110"/>
      <c r="P215" s="15"/>
      <c r="Q215" s="110"/>
      <c r="R215" s="15"/>
      <c r="S215" s="110"/>
      <c r="T215" s="15"/>
      <c r="U215" s="110"/>
      <c r="V215" s="15"/>
    </row>
    <row r="216" spans="6:22" x14ac:dyDescent="0.2">
      <c r="H216" s="15"/>
      <c r="I216" s="110"/>
      <c r="J216" s="15"/>
      <c r="K216" s="110"/>
      <c r="L216" s="15"/>
      <c r="M216" s="110"/>
      <c r="N216" s="15"/>
      <c r="O216" s="110"/>
      <c r="P216" s="15"/>
      <c r="Q216" s="110"/>
      <c r="R216" s="15"/>
      <c r="S216" s="110"/>
      <c r="T216" s="15"/>
      <c r="U216" s="110"/>
      <c r="V216" s="15"/>
    </row>
    <row r="217" spans="6:22" x14ac:dyDescent="0.2">
      <c r="H217" s="15"/>
      <c r="I217" s="110"/>
      <c r="J217" s="15"/>
      <c r="K217" s="110"/>
      <c r="L217" s="15"/>
      <c r="M217" s="110"/>
      <c r="N217" s="15"/>
      <c r="O217" s="110"/>
      <c r="P217" s="15"/>
      <c r="Q217" s="110"/>
      <c r="R217" s="15"/>
      <c r="S217" s="110"/>
      <c r="T217" s="15"/>
      <c r="U217" s="110"/>
      <c r="V217" s="15"/>
    </row>
    <row r="218" spans="6:22" x14ac:dyDescent="0.2">
      <c r="H218" s="15"/>
      <c r="I218" s="110"/>
      <c r="J218" s="15"/>
      <c r="K218" s="110"/>
      <c r="L218" s="15"/>
      <c r="M218" s="110"/>
      <c r="N218" s="15"/>
      <c r="O218" s="110"/>
      <c r="P218" s="15"/>
      <c r="Q218" s="110"/>
      <c r="R218" s="15"/>
      <c r="S218" s="110"/>
      <c r="T218" s="15"/>
      <c r="U218" s="110"/>
      <c r="V218" s="15"/>
    </row>
    <row r="219" spans="6:22" x14ac:dyDescent="0.2">
      <c r="H219" s="15"/>
      <c r="I219" s="110"/>
      <c r="J219" s="15"/>
      <c r="K219" s="110"/>
      <c r="L219" s="15"/>
      <c r="M219" s="110"/>
      <c r="N219" s="15"/>
      <c r="O219" s="110"/>
      <c r="P219" s="15"/>
      <c r="Q219" s="110"/>
      <c r="R219" s="15"/>
      <c r="S219" s="110"/>
      <c r="T219" s="15"/>
      <c r="U219" s="110"/>
      <c r="V219" s="15"/>
    </row>
    <row r="220" spans="6:22" x14ac:dyDescent="0.2">
      <c r="H220" s="15"/>
      <c r="I220" s="110"/>
      <c r="J220" s="15"/>
      <c r="K220" s="110"/>
      <c r="L220" s="15"/>
      <c r="M220" s="110"/>
      <c r="N220" s="15"/>
      <c r="O220" s="110"/>
      <c r="P220" s="15"/>
      <c r="Q220" s="110"/>
      <c r="R220" s="15"/>
      <c r="S220" s="110"/>
      <c r="T220" s="15"/>
      <c r="U220" s="110"/>
      <c r="V220" s="15"/>
    </row>
    <row r="221" spans="6:22" x14ac:dyDescent="0.2">
      <c r="H221" s="15"/>
      <c r="I221" s="110"/>
      <c r="J221" s="15"/>
      <c r="K221" s="110"/>
      <c r="L221" s="15"/>
      <c r="M221" s="110"/>
      <c r="N221" s="15"/>
      <c r="O221" s="110"/>
      <c r="P221" s="15"/>
      <c r="Q221" s="110"/>
      <c r="R221" s="15"/>
      <c r="S221" s="110"/>
      <c r="T221" s="15"/>
      <c r="U221" s="110"/>
      <c r="V221" s="15"/>
    </row>
    <row r="222" spans="6:22" x14ac:dyDescent="0.2">
      <c r="H222" s="15"/>
      <c r="I222" s="110"/>
      <c r="J222" s="15"/>
      <c r="K222" s="110"/>
      <c r="L222" s="15"/>
      <c r="M222" s="110"/>
      <c r="N222" s="15"/>
      <c r="O222" s="110"/>
      <c r="P222" s="15"/>
      <c r="Q222" s="110"/>
      <c r="R222" s="15"/>
      <c r="S222" s="110"/>
      <c r="T222" s="15"/>
      <c r="U222" s="110"/>
      <c r="V222" s="15"/>
    </row>
    <row r="223" spans="6:22" x14ac:dyDescent="0.2">
      <c r="H223" s="15"/>
      <c r="I223" s="110"/>
      <c r="J223" s="15"/>
      <c r="K223" s="110"/>
      <c r="L223" s="15"/>
      <c r="M223" s="110"/>
      <c r="N223" s="15"/>
      <c r="O223" s="110"/>
      <c r="P223" s="15"/>
      <c r="Q223" s="110"/>
      <c r="R223" s="15"/>
      <c r="S223" s="110"/>
      <c r="T223" s="15"/>
      <c r="U223" s="110"/>
      <c r="V223" s="15"/>
    </row>
    <row r="224" spans="6:22" x14ac:dyDescent="0.2">
      <c r="H224" s="15"/>
      <c r="I224" s="110"/>
      <c r="J224" s="15"/>
      <c r="K224" s="110"/>
      <c r="L224" s="15"/>
      <c r="M224" s="110"/>
      <c r="N224" s="15"/>
      <c r="O224" s="110"/>
      <c r="P224" s="15"/>
      <c r="Q224" s="110"/>
      <c r="R224" s="15"/>
      <c r="S224" s="110"/>
      <c r="T224" s="15"/>
      <c r="U224" s="110"/>
      <c r="V224" s="15"/>
    </row>
    <row r="225" spans="8:22" x14ac:dyDescent="0.2">
      <c r="H225" s="15"/>
      <c r="I225" s="110"/>
      <c r="J225" s="15"/>
      <c r="K225" s="110"/>
      <c r="L225" s="15"/>
      <c r="M225" s="110"/>
      <c r="N225" s="15"/>
      <c r="O225" s="110"/>
      <c r="P225" s="15"/>
      <c r="Q225" s="110"/>
      <c r="R225" s="15"/>
      <c r="S225" s="110"/>
      <c r="T225" s="15"/>
      <c r="U225" s="110"/>
      <c r="V225" s="15"/>
    </row>
    <row r="226" spans="8:22" x14ac:dyDescent="0.2">
      <c r="H226" s="15"/>
      <c r="I226" s="110"/>
      <c r="J226" s="15"/>
      <c r="K226" s="110"/>
      <c r="L226" s="15"/>
      <c r="M226" s="110"/>
      <c r="N226" s="15"/>
      <c r="O226" s="110"/>
      <c r="P226" s="15"/>
      <c r="Q226" s="110"/>
      <c r="R226" s="15"/>
      <c r="S226" s="110"/>
      <c r="T226" s="15"/>
      <c r="U226" s="110"/>
      <c r="V226" s="15"/>
    </row>
    <row r="227" spans="8:22" x14ac:dyDescent="0.2">
      <c r="H227" s="15"/>
      <c r="I227" s="110"/>
      <c r="J227" s="15"/>
      <c r="K227" s="110"/>
      <c r="L227" s="15"/>
      <c r="M227" s="110"/>
      <c r="N227" s="15"/>
      <c r="O227" s="110"/>
      <c r="P227" s="15"/>
      <c r="Q227" s="110"/>
      <c r="R227" s="15"/>
      <c r="S227" s="110"/>
      <c r="T227" s="15"/>
      <c r="U227" s="110"/>
      <c r="V227" s="15"/>
    </row>
    <row r="228" spans="8:22" x14ac:dyDescent="0.2">
      <c r="H228" s="15"/>
      <c r="I228" s="110"/>
      <c r="J228" s="15"/>
      <c r="K228" s="110"/>
      <c r="L228" s="15"/>
      <c r="M228" s="110"/>
      <c r="N228" s="15"/>
      <c r="O228" s="110"/>
      <c r="P228" s="15"/>
      <c r="Q228" s="110"/>
      <c r="R228" s="15"/>
      <c r="S228" s="110"/>
      <c r="T228" s="15"/>
      <c r="U228" s="110"/>
      <c r="V228" s="15"/>
    </row>
    <row r="229" spans="8:22" x14ac:dyDescent="0.2">
      <c r="H229" s="15"/>
      <c r="I229" s="110"/>
      <c r="J229" s="15"/>
      <c r="K229" s="110"/>
      <c r="L229" s="15"/>
      <c r="M229" s="110"/>
      <c r="N229" s="15"/>
      <c r="O229" s="110"/>
      <c r="P229" s="15"/>
      <c r="Q229" s="110"/>
      <c r="R229" s="15"/>
      <c r="S229" s="110"/>
      <c r="T229" s="15"/>
      <c r="U229" s="110"/>
      <c r="V229" s="15"/>
    </row>
    <row r="230" spans="8:22" x14ac:dyDescent="0.2">
      <c r="H230" s="15"/>
      <c r="I230" s="110"/>
      <c r="J230" s="15"/>
      <c r="K230" s="110"/>
      <c r="L230" s="15"/>
      <c r="M230" s="110"/>
      <c r="N230" s="15"/>
      <c r="O230" s="110"/>
      <c r="P230" s="15"/>
      <c r="Q230" s="110"/>
      <c r="R230" s="15"/>
      <c r="S230" s="110"/>
      <c r="T230" s="15"/>
      <c r="U230" s="110"/>
      <c r="V230" s="15"/>
    </row>
    <row r="231" spans="8:22" x14ac:dyDescent="0.2">
      <c r="H231" s="15"/>
      <c r="I231" s="110"/>
      <c r="J231" s="15"/>
      <c r="K231" s="110"/>
      <c r="L231" s="15"/>
      <c r="M231" s="110"/>
      <c r="N231" s="15"/>
      <c r="O231" s="110"/>
      <c r="P231" s="15"/>
      <c r="Q231" s="110"/>
      <c r="R231" s="15"/>
      <c r="S231" s="110"/>
      <c r="T231" s="15"/>
      <c r="U231" s="110"/>
      <c r="V231" s="15"/>
    </row>
    <row r="232" spans="8:22" x14ac:dyDescent="0.2">
      <c r="H232" s="15"/>
      <c r="I232" s="110"/>
      <c r="J232" s="15"/>
      <c r="K232" s="110"/>
      <c r="L232" s="15"/>
      <c r="M232" s="110"/>
      <c r="N232" s="15"/>
      <c r="O232" s="110"/>
      <c r="P232" s="15"/>
      <c r="Q232" s="110"/>
      <c r="R232" s="15"/>
      <c r="S232" s="110"/>
      <c r="T232" s="15"/>
      <c r="U232" s="110"/>
      <c r="V232" s="15"/>
    </row>
    <row r="233" spans="8:22" x14ac:dyDescent="0.2">
      <c r="H233" s="15"/>
      <c r="I233" s="110"/>
      <c r="J233" s="15"/>
      <c r="K233" s="110"/>
      <c r="L233" s="15"/>
      <c r="M233" s="110"/>
      <c r="N233" s="15"/>
      <c r="O233" s="110"/>
      <c r="P233" s="15"/>
      <c r="Q233" s="110"/>
      <c r="R233" s="15"/>
      <c r="S233" s="110"/>
      <c r="T233" s="15"/>
      <c r="U233" s="110"/>
      <c r="V233" s="15"/>
    </row>
    <row r="234" spans="8:22" x14ac:dyDescent="0.2">
      <c r="H234" s="15"/>
      <c r="I234" s="110"/>
      <c r="J234" s="15"/>
      <c r="K234" s="110"/>
      <c r="L234" s="15"/>
      <c r="M234" s="110"/>
      <c r="N234" s="15"/>
      <c r="O234" s="110"/>
      <c r="P234" s="15"/>
      <c r="Q234" s="110"/>
      <c r="R234" s="15"/>
      <c r="S234" s="110"/>
      <c r="T234" s="15"/>
      <c r="U234" s="110"/>
      <c r="V234" s="15"/>
    </row>
    <row r="235" spans="8:22" x14ac:dyDescent="0.2">
      <c r="H235" s="15"/>
      <c r="I235" s="110"/>
      <c r="J235" s="15"/>
      <c r="K235" s="110"/>
      <c r="L235" s="15"/>
      <c r="M235" s="110"/>
      <c r="N235" s="15"/>
      <c r="O235" s="110"/>
      <c r="P235" s="15"/>
      <c r="Q235" s="110"/>
      <c r="R235" s="15"/>
      <c r="S235" s="110"/>
      <c r="T235" s="15"/>
      <c r="U235" s="110"/>
      <c r="V235" s="15"/>
    </row>
    <row r="236" spans="8:22" x14ac:dyDescent="0.2">
      <c r="H236" s="15"/>
      <c r="I236" s="110"/>
      <c r="J236" s="15"/>
      <c r="K236" s="110"/>
      <c r="L236" s="15"/>
      <c r="M236" s="110"/>
      <c r="N236" s="15"/>
      <c r="O236" s="110"/>
      <c r="P236" s="15"/>
      <c r="Q236" s="110"/>
      <c r="R236" s="15"/>
      <c r="S236" s="110"/>
      <c r="T236" s="15"/>
      <c r="U236" s="110"/>
      <c r="V236" s="15"/>
    </row>
    <row r="237" spans="8:22" x14ac:dyDescent="0.2">
      <c r="H237" s="15"/>
      <c r="I237" s="110"/>
      <c r="J237" s="15"/>
      <c r="K237" s="110"/>
      <c r="L237" s="15"/>
      <c r="M237" s="110"/>
      <c r="N237" s="15"/>
      <c r="O237" s="110"/>
      <c r="P237" s="15"/>
      <c r="Q237" s="110"/>
      <c r="R237" s="15"/>
      <c r="S237" s="110"/>
      <c r="T237" s="15"/>
      <c r="U237" s="110"/>
      <c r="V237" s="15"/>
    </row>
    <row r="238" spans="8:22" x14ac:dyDescent="0.2">
      <c r="H238" s="15"/>
      <c r="I238" s="110"/>
      <c r="J238" s="15"/>
      <c r="K238" s="110"/>
      <c r="L238" s="15"/>
      <c r="M238" s="110"/>
      <c r="N238" s="15"/>
      <c r="O238" s="110"/>
      <c r="P238" s="15"/>
      <c r="Q238" s="110"/>
      <c r="R238" s="15"/>
      <c r="S238" s="110"/>
      <c r="T238" s="15"/>
      <c r="U238" s="110"/>
      <c r="V238" s="15"/>
    </row>
    <row r="239" spans="8:22" x14ac:dyDescent="0.2">
      <c r="H239" s="15"/>
      <c r="I239" s="110"/>
      <c r="J239" s="15"/>
      <c r="K239" s="110"/>
      <c r="L239" s="15"/>
      <c r="M239" s="110"/>
      <c r="N239" s="15"/>
      <c r="O239" s="110"/>
      <c r="P239" s="15"/>
      <c r="Q239" s="110"/>
      <c r="R239" s="15"/>
      <c r="S239" s="110"/>
      <c r="T239" s="15"/>
      <c r="U239" s="110"/>
      <c r="V239" s="15"/>
    </row>
    <row r="240" spans="8:22" x14ac:dyDescent="0.2">
      <c r="H240" s="15"/>
      <c r="I240" s="110"/>
      <c r="J240" s="15"/>
      <c r="K240" s="110"/>
      <c r="L240" s="15"/>
      <c r="M240" s="110"/>
      <c r="N240" s="15"/>
      <c r="O240" s="110"/>
      <c r="P240" s="15"/>
      <c r="Q240" s="110"/>
      <c r="R240" s="15"/>
      <c r="S240" s="110"/>
      <c r="T240" s="15"/>
      <c r="U240" s="110"/>
      <c r="V240" s="15"/>
    </row>
    <row r="241" spans="8:22" x14ac:dyDescent="0.2">
      <c r="H241" s="15"/>
      <c r="I241" s="110"/>
      <c r="J241" s="15"/>
      <c r="K241" s="110"/>
      <c r="L241" s="15"/>
      <c r="M241" s="110"/>
      <c r="N241" s="15"/>
      <c r="O241" s="110"/>
      <c r="P241" s="15"/>
      <c r="Q241" s="110"/>
      <c r="R241" s="15"/>
      <c r="S241" s="110"/>
      <c r="T241" s="15"/>
      <c r="U241" s="110"/>
      <c r="V241" s="15"/>
    </row>
    <row r="242" spans="8:22" x14ac:dyDescent="0.2">
      <c r="H242" s="15"/>
      <c r="I242" s="110"/>
      <c r="J242" s="15"/>
      <c r="K242" s="110"/>
      <c r="L242" s="15"/>
      <c r="M242" s="110"/>
      <c r="N242" s="15"/>
      <c r="O242" s="110"/>
      <c r="P242" s="15"/>
      <c r="Q242" s="110"/>
      <c r="R242" s="15"/>
      <c r="S242" s="110"/>
      <c r="T242" s="15"/>
      <c r="U242" s="110"/>
      <c r="V242" s="15"/>
    </row>
    <row r="243" spans="8:22" x14ac:dyDescent="0.2">
      <c r="H243" s="15"/>
      <c r="I243" s="110"/>
      <c r="J243" s="15"/>
      <c r="K243" s="110"/>
      <c r="L243" s="15"/>
      <c r="M243" s="110"/>
      <c r="N243" s="15"/>
      <c r="O243" s="110"/>
      <c r="P243" s="15"/>
      <c r="Q243" s="110"/>
      <c r="R243" s="15"/>
      <c r="S243" s="110"/>
      <c r="T243" s="15"/>
      <c r="U243" s="110"/>
      <c r="V243" s="15"/>
    </row>
    <row r="244" spans="8:22" x14ac:dyDescent="0.2">
      <c r="H244" s="15"/>
      <c r="I244" s="110"/>
      <c r="J244" s="15"/>
      <c r="K244" s="110"/>
      <c r="L244" s="15"/>
      <c r="M244" s="110"/>
      <c r="N244" s="15"/>
      <c r="O244" s="110"/>
      <c r="P244" s="15"/>
      <c r="Q244" s="110"/>
      <c r="R244" s="15"/>
      <c r="S244" s="110"/>
      <c r="T244" s="15"/>
      <c r="U244" s="110"/>
      <c r="V244" s="15"/>
    </row>
    <row r="245" spans="8:22" x14ac:dyDescent="0.2">
      <c r="H245" s="15"/>
      <c r="I245" s="110"/>
      <c r="J245" s="15"/>
      <c r="K245" s="110"/>
      <c r="L245" s="15"/>
      <c r="M245" s="110"/>
      <c r="N245" s="15"/>
      <c r="O245" s="110"/>
      <c r="P245" s="15"/>
      <c r="Q245" s="110"/>
      <c r="R245" s="15"/>
      <c r="S245" s="110"/>
      <c r="T245" s="15"/>
      <c r="U245" s="110"/>
      <c r="V245" s="15"/>
    </row>
    <row r="246" spans="8:22" x14ac:dyDescent="0.2">
      <c r="H246" s="15"/>
      <c r="I246" s="110"/>
      <c r="J246" s="15"/>
      <c r="K246" s="110"/>
      <c r="L246" s="15"/>
      <c r="M246" s="110"/>
      <c r="N246" s="15"/>
      <c r="O246" s="110"/>
      <c r="P246" s="15"/>
      <c r="Q246" s="110"/>
      <c r="R246" s="15"/>
      <c r="S246" s="110"/>
      <c r="T246" s="15"/>
      <c r="U246" s="110"/>
      <c r="V246" s="15"/>
    </row>
    <row r="247" spans="8:22" x14ac:dyDescent="0.2">
      <c r="H247" s="15"/>
      <c r="I247" s="110"/>
      <c r="J247" s="15"/>
      <c r="K247" s="110"/>
      <c r="L247" s="15"/>
      <c r="M247" s="110"/>
      <c r="N247" s="15"/>
      <c r="O247" s="110"/>
      <c r="P247" s="15"/>
      <c r="Q247" s="110"/>
      <c r="R247" s="15"/>
      <c r="S247" s="110"/>
      <c r="T247" s="15"/>
      <c r="U247" s="110"/>
      <c r="V247" s="15"/>
    </row>
    <row r="248" spans="8:22" x14ac:dyDescent="0.2">
      <c r="H248" s="15"/>
      <c r="I248" s="110"/>
      <c r="J248" s="15"/>
      <c r="K248" s="110"/>
      <c r="L248" s="15"/>
      <c r="M248" s="110"/>
      <c r="N248" s="15"/>
      <c r="O248" s="110"/>
      <c r="P248" s="15"/>
      <c r="Q248" s="110"/>
      <c r="R248" s="15"/>
      <c r="S248" s="110"/>
      <c r="T248" s="15"/>
      <c r="U248" s="110"/>
      <c r="V248" s="15"/>
    </row>
    <row r="249" spans="8:22" x14ac:dyDescent="0.2">
      <c r="H249" s="15"/>
      <c r="I249" s="110"/>
      <c r="J249" s="15"/>
      <c r="K249" s="110"/>
      <c r="L249" s="15"/>
      <c r="M249" s="110"/>
      <c r="N249" s="15"/>
      <c r="O249" s="110"/>
      <c r="P249" s="15"/>
      <c r="Q249" s="110"/>
      <c r="R249" s="15"/>
      <c r="S249" s="110"/>
      <c r="T249" s="15"/>
      <c r="U249" s="110"/>
      <c r="V249" s="15"/>
    </row>
    <row r="250" spans="8:22" x14ac:dyDescent="0.2">
      <c r="H250" s="15"/>
      <c r="I250" s="110"/>
      <c r="J250" s="15"/>
      <c r="K250" s="110"/>
      <c r="L250" s="15"/>
      <c r="M250" s="110"/>
      <c r="N250" s="15"/>
      <c r="O250" s="110"/>
      <c r="P250" s="15"/>
      <c r="Q250" s="110"/>
      <c r="R250" s="15"/>
      <c r="S250" s="110"/>
      <c r="T250" s="15"/>
      <c r="U250" s="110"/>
      <c r="V250" s="15"/>
    </row>
    <row r="251" spans="8:22" x14ac:dyDescent="0.2">
      <c r="H251" s="15"/>
      <c r="I251" s="110"/>
      <c r="J251" s="15"/>
      <c r="K251" s="110"/>
      <c r="L251" s="15"/>
      <c r="M251" s="110"/>
      <c r="N251" s="15"/>
      <c r="O251" s="110"/>
      <c r="P251" s="15"/>
      <c r="Q251" s="110"/>
      <c r="R251" s="15"/>
      <c r="S251" s="110"/>
      <c r="T251" s="15"/>
      <c r="U251" s="110"/>
      <c r="V251" s="15"/>
    </row>
    <row r="252" spans="8:22" x14ac:dyDescent="0.2">
      <c r="H252" s="15"/>
      <c r="I252" s="110"/>
      <c r="J252" s="15"/>
      <c r="K252" s="110"/>
      <c r="L252" s="15"/>
      <c r="M252" s="110"/>
      <c r="N252" s="15"/>
      <c r="O252" s="110"/>
      <c r="P252" s="15"/>
      <c r="Q252" s="110"/>
      <c r="R252" s="15"/>
      <c r="S252" s="110"/>
      <c r="T252" s="15"/>
      <c r="U252" s="110"/>
      <c r="V252" s="15"/>
    </row>
    <row r="253" spans="8:22" x14ac:dyDescent="0.2">
      <c r="H253" s="15"/>
      <c r="I253" s="110"/>
      <c r="J253" s="15"/>
      <c r="K253" s="110"/>
      <c r="L253" s="15"/>
      <c r="M253" s="110"/>
      <c r="N253" s="15"/>
      <c r="O253" s="110"/>
      <c r="P253" s="15"/>
      <c r="Q253" s="110"/>
      <c r="R253" s="15"/>
      <c r="S253" s="110"/>
      <c r="T253" s="15"/>
      <c r="U253" s="110"/>
      <c r="V253" s="15"/>
    </row>
    <row r="254" spans="8:22" x14ac:dyDescent="0.2">
      <c r="H254" s="15"/>
      <c r="I254" s="110"/>
      <c r="J254" s="15"/>
      <c r="K254" s="110"/>
      <c r="L254" s="15"/>
      <c r="M254" s="110"/>
      <c r="N254" s="15"/>
      <c r="O254" s="110"/>
      <c r="P254" s="15"/>
      <c r="Q254" s="110"/>
      <c r="R254" s="15"/>
      <c r="S254" s="110"/>
      <c r="T254" s="15"/>
      <c r="U254" s="110"/>
      <c r="V254" s="15"/>
    </row>
    <row r="255" spans="8:22" x14ac:dyDescent="0.2">
      <c r="H255" s="15"/>
      <c r="I255" s="110"/>
      <c r="J255" s="15"/>
      <c r="K255" s="110"/>
      <c r="L255" s="15"/>
      <c r="M255" s="110"/>
      <c r="N255" s="15"/>
      <c r="O255" s="110"/>
      <c r="P255" s="15"/>
      <c r="Q255" s="110"/>
      <c r="R255" s="15"/>
      <c r="S255" s="110"/>
      <c r="T255" s="15"/>
      <c r="U255" s="110"/>
      <c r="V255" s="15"/>
    </row>
    <row r="256" spans="8:22" x14ac:dyDescent="0.2">
      <c r="H256" s="15"/>
      <c r="I256" s="110"/>
      <c r="J256" s="15"/>
      <c r="K256" s="110"/>
      <c r="L256" s="15"/>
      <c r="M256" s="110"/>
      <c r="N256" s="15"/>
      <c r="O256" s="110"/>
      <c r="P256" s="15"/>
      <c r="Q256" s="110"/>
      <c r="R256" s="15"/>
      <c r="S256" s="110"/>
      <c r="T256" s="15"/>
      <c r="U256" s="110"/>
      <c r="V256" s="15"/>
    </row>
    <row r="257" spans="8:22" x14ac:dyDescent="0.2">
      <c r="H257" s="15"/>
      <c r="I257" s="110"/>
      <c r="J257" s="15"/>
      <c r="K257" s="110"/>
      <c r="L257" s="15"/>
      <c r="M257" s="110"/>
      <c r="N257" s="15"/>
      <c r="O257" s="110"/>
      <c r="P257" s="15"/>
      <c r="Q257" s="110"/>
      <c r="R257" s="15"/>
      <c r="S257" s="110"/>
      <c r="T257" s="15"/>
      <c r="U257" s="110"/>
      <c r="V257" s="15"/>
    </row>
    <row r="258" spans="8:22" x14ac:dyDescent="0.2">
      <c r="H258" s="15"/>
      <c r="I258" s="110"/>
      <c r="J258" s="15"/>
      <c r="K258" s="110"/>
      <c r="L258" s="15"/>
      <c r="M258" s="110"/>
      <c r="N258" s="15"/>
      <c r="O258" s="110"/>
      <c r="P258" s="15"/>
      <c r="Q258" s="110"/>
      <c r="R258" s="15"/>
      <c r="S258" s="110"/>
      <c r="T258" s="15"/>
      <c r="U258" s="110"/>
      <c r="V258" s="15"/>
    </row>
    <row r="259" spans="8:22" x14ac:dyDescent="0.2">
      <c r="H259" s="15"/>
      <c r="I259" s="110"/>
      <c r="J259" s="15"/>
      <c r="K259" s="110"/>
      <c r="L259" s="15"/>
      <c r="M259" s="110"/>
      <c r="N259" s="15"/>
      <c r="O259" s="110"/>
      <c r="P259" s="15"/>
      <c r="Q259" s="110"/>
      <c r="R259" s="15"/>
      <c r="S259" s="110"/>
      <c r="T259" s="15"/>
      <c r="U259" s="110"/>
      <c r="V259" s="15"/>
    </row>
    <row r="260" spans="8:22" x14ac:dyDescent="0.2">
      <c r="H260" s="15"/>
      <c r="I260" s="110"/>
      <c r="J260" s="15"/>
      <c r="K260" s="110"/>
      <c r="L260" s="15"/>
      <c r="M260" s="110"/>
      <c r="N260" s="15"/>
      <c r="O260" s="110"/>
      <c r="P260" s="15"/>
      <c r="Q260" s="110"/>
      <c r="R260" s="15"/>
      <c r="S260" s="110"/>
      <c r="T260" s="15"/>
      <c r="U260" s="110"/>
      <c r="V260" s="15"/>
    </row>
    <row r="261" spans="8:22" x14ac:dyDescent="0.2">
      <c r="H261" s="15"/>
      <c r="I261" s="110"/>
      <c r="J261" s="15"/>
      <c r="K261" s="110"/>
      <c r="L261" s="15"/>
      <c r="M261" s="110"/>
      <c r="N261" s="15"/>
      <c r="O261" s="110"/>
      <c r="P261" s="15"/>
      <c r="Q261" s="110"/>
      <c r="R261" s="15"/>
      <c r="S261" s="110"/>
      <c r="T261" s="15"/>
      <c r="U261" s="110"/>
      <c r="V261" s="15"/>
    </row>
    <row r="262" spans="8:22" x14ac:dyDescent="0.2">
      <c r="H262" s="15"/>
      <c r="I262" s="110"/>
      <c r="J262" s="15"/>
      <c r="K262" s="110"/>
      <c r="L262" s="15"/>
      <c r="M262" s="110"/>
      <c r="N262" s="15"/>
      <c r="O262" s="110"/>
      <c r="P262" s="15"/>
      <c r="Q262" s="110"/>
      <c r="R262" s="15"/>
      <c r="S262" s="110"/>
      <c r="T262" s="15"/>
      <c r="U262" s="110"/>
      <c r="V262" s="15"/>
    </row>
    <row r="263" spans="8:22" x14ac:dyDescent="0.2">
      <c r="H263" s="15"/>
      <c r="I263" s="110"/>
      <c r="J263" s="15"/>
      <c r="K263" s="110"/>
      <c r="L263" s="15"/>
      <c r="M263" s="110"/>
      <c r="N263" s="15"/>
      <c r="O263" s="110"/>
      <c r="P263" s="15"/>
      <c r="Q263" s="110"/>
      <c r="R263" s="15"/>
      <c r="S263" s="110"/>
      <c r="T263" s="15"/>
      <c r="U263" s="110"/>
      <c r="V263" s="15"/>
    </row>
    <row r="264" spans="8:22" x14ac:dyDescent="0.2">
      <c r="H264" s="15"/>
      <c r="I264" s="110"/>
      <c r="J264" s="15"/>
      <c r="K264" s="110"/>
      <c r="L264" s="15"/>
      <c r="M264" s="110"/>
      <c r="N264" s="15"/>
      <c r="O264" s="110"/>
      <c r="P264" s="15"/>
      <c r="Q264" s="110"/>
      <c r="R264" s="15"/>
      <c r="S264" s="110"/>
      <c r="T264" s="15"/>
      <c r="U264" s="110"/>
      <c r="V264" s="15"/>
    </row>
    <row r="265" spans="8:22" x14ac:dyDescent="0.2">
      <c r="H265" s="15"/>
      <c r="I265" s="110"/>
      <c r="J265" s="15"/>
      <c r="K265" s="110"/>
      <c r="L265" s="15"/>
      <c r="M265" s="110"/>
      <c r="N265" s="15"/>
      <c r="O265" s="110"/>
      <c r="P265" s="15"/>
      <c r="Q265" s="110"/>
      <c r="R265" s="15"/>
      <c r="S265" s="110"/>
      <c r="T265" s="15"/>
      <c r="U265" s="110"/>
      <c r="V265" s="15"/>
    </row>
    <row r="266" spans="8:22" x14ac:dyDescent="0.2">
      <c r="H266" s="15"/>
      <c r="I266" s="110"/>
      <c r="J266" s="15"/>
      <c r="K266" s="110"/>
      <c r="L266" s="15"/>
      <c r="M266" s="110"/>
      <c r="N266" s="15"/>
      <c r="O266" s="110"/>
      <c r="P266" s="15"/>
      <c r="Q266" s="110"/>
      <c r="R266" s="15"/>
      <c r="S266" s="110"/>
      <c r="T266" s="15"/>
      <c r="U266" s="110"/>
      <c r="V266" s="15"/>
    </row>
    <row r="267" spans="8:22" x14ac:dyDescent="0.2">
      <c r="H267" s="15"/>
      <c r="I267" s="110"/>
      <c r="J267" s="15"/>
      <c r="K267" s="110"/>
      <c r="L267" s="15"/>
      <c r="M267" s="110"/>
      <c r="N267" s="15"/>
      <c r="O267" s="110"/>
      <c r="P267" s="15"/>
      <c r="Q267" s="110"/>
      <c r="R267" s="15"/>
      <c r="S267" s="110"/>
      <c r="T267" s="15"/>
      <c r="U267" s="110"/>
      <c r="V267" s="15"/>
    </row>
    <row r="268" spans="8:22" x14ac:dyDescent="0.2">
      <c r="H268" s="15"/>
      <c r="I268" s="110"/>
      <c r="J268" s="15"/>
      <c r="K268" s="110"/>
      <c r="L268" s="15"/>
      <c r="M268" s="110"/>
      <c r="N268" s="15"/>
      <c r="O268" s="110"/>
      <c r="P268" s="15"/>
      <c r="Q268" s="110"/>
      <c r="R268" s="15"/>
      <c r="S268" s="110"/>
      <c r="T268" s="15"/>
      <c r="U268" s="110"/>
      <c r="V268" s="15"/>
    </row>
    <row r="269" spans="8:22" x14ac:dyDescent="0.2">
      <c r="H269" s="15"/>
      <c r="I269" s="110"/>
      <c r="J269" s="15"/>
      <c r="K269" s="110"/>
      <c r="L269" s="15"/>
      <c r="M269" s="110"/>
      <c r="N269" s="15"/>
      <c r="O269" s="110"/>
      <c r="P269" s="15"/>
      <c r="Q269" s="110"/>
      <c r="R269" s="15"/>
      <c r="S269" s="110"/>
      <c r="T269" s="15"/>
      <c r="U269" s="110"/>
      <c r="V269" s="15"/>
    </row>
    <row r="270" spans="8:22" x14ac:dyDescent="0.2">
      <c r="H270" s="15"/>
      <c r="I270" s="110"/>
      <c r="J270" s="15"/>
      <c r="K270" s="110"/>
      <c r="L270" s="15"/>
      <c r="M270" s="110"/>
      <c r="N270" s="15"/>
      <c r="O270" s="110"/>
      <c r="P270" s="15"/>
      <c r="Q270" s="110"/>
      <c r="R270" s="15"/>
      <c r="S270" s="110"/>
      <c r="T270" s="15"/>
      <c r="U270" s="110"/>
      <c r="V270" s="15"/>
    </row>
    <row r="271" spans="8:22" x14ac:dyDescent="0.2">
      <c r="H271" s="15"/>
      <c r="I271" s="110"/>
      <c r="J271" s="15"/>
      <c r="K271" s="110"/>
      <c r="L271" s="15"/>
      <c r="M271" s="110"/>
      <c r="N271" s="15"/>
      <c r="O271" s="110"/>
      <c r="P271" s="15"/>
      <c r="Q271" s="110"/>
      <c r="R271" s="15"/>
      <c r="S271" s="110"/>
      <c r="T271" s="15"/>
      <c r="U271" s="110"/>
      <c r="V271" s="15"/>
    </row>
    <row r="272" spans="8:22" x14ac:dyDescent="0.2">
      <c r="H272" s="15"/>
      <c r="I272" s="110"/>
      <c r="J272" s="15"/>
      <c r="K272" s="110"/>
      <c r="L272" s="15"/>
      <c r="M272" s="110"/>
      <c r="N272" s="15"/>
      <c r="O272" s="110"/>
      <c r="P272" s="15"/>
      <c r="Q272" s="110"/>
      <c r="R272" s="15"/>
      <c r="S272" s="110"/>
      <c r="T272" s="15"/>
      <c r="U272" s="110"/>
      <c r="V272" s="15"/>
    </row>
    <row r="273" spans="8:22" x14ac:dyDescent="0.2">
      <c r="H273" s="15"/>
      <c r="I273" s="110"/>
      <c r="J273" s="15"/>
      <c r="K273" s="110"/>
      <c r="L273" s="15"/>
      <c r="M273" s="110"/>
      <c r="N273" s="15"/>
      <c r="O273" s="110"/>
      <c r="P273" s="15"/>
      <c r="Q273" s="110"/>
      <c r="R273" s="15"/>
      <c r="S273" s="110"/>
      <c r="T273" s="15"/>
      <c r="U273" s="110"/>
      <c r="V273" s="15"/>
    </row>
    <row r="274" spans="8:22" x14ac:dyDescent="0.2">
      <c r="H274" s="15"/>
      <c r="I274" s="110"/>
      <c r="J274" s="15"/>
      <c r="K274" s="110"/>
      <c r="L274" s="15"/>
      <c r="M274" s="110"/>
      <c r="N274" s="15"/>
      <c r="O274" s="110"/>
      <c r="P274" s="15"/>
      <c r="Q274" s="110"/>
      <c r="R274" s="15"/>
      <c r="S274" s="110"/>
      <c r="T274" s="15"/>
      <c r="U274" s="110"/>
      <c r="V274" s="15"/>
    </row>
    <row r="275" spans="8:22" x14ac:dyDescent="0.2">
      <c r="H275" s="15"/>
      <c r="I275" s="110"/>
      <c r="J275" s="15"/>
      <c r="K275" s="110"/>
      <c r="L275" s="15"/>
      <c r="M275" s="110"/>
      <c r="N275" s="15"/>
      <c r="O275" s="110"/>
      <c r="P275" s="15"/>
      <c r="Q275" s="110"/>
      <c r="R275" s="15"/>
      <c r="S275" s="110"/>
      <c r="T275" s="15"/>
      <c r="U275" s="110"/>
      <c r="V275" s="15"/>
    </row>
    <row r="276" spans="8:22" x14ac:dyDescent="0.2">
      <c r="H276" s="15"/>
      <c r="I276" s="110"/>
      <c r="J276" s="15"/>
      <c r="K276" s="110"/>
      <c r="L276" s="15"/>
      <c r="M276" s="110"/>
      <c r="N276" s="15"/>
      <c r="O276" s="110"/>
      <c r="P276" s="15"/>
      <c r="Q276" s="110"/>
      <c r="R276" s="15"/>
      <c r="S276" s="110"/>
      <c r="T276" s="15"/>
      <c r="U276" s="110"/>
      <c r="V276" s="15"/>
    </row>
    <row r="277" spans="8:22" x14ac:dyDescent="0.2">
      <c r="H277" s="15"/>
      <c r="I277" s="110"/>
      <c r="J277" s="15"/>
      <c r="K277" s="110"/>
      <c r="L277" s="15"/>
      <c r="M277" s="110"/>
      <c r="N277" s="15"/>
      <c r="O277" s="110"/>
      <c r="P277" s="15"/>
      <c r="Q277" s="110"/>
      <c r="R277" s="15"/>
      <c r="S277" s="110"/>
      <c r="T277" s="15"/>
      <c r="U277" s="110"/>
      <c r="V277" s="15"/>
    </row>
    <row r="278" spans="8:22" x14ac:dyDescent="0.2">
      <c r="H278" s="15"/>
      <c r="I278" s="110"/>
      <c r="J278" s="15"/>
      <c r="K278" s="110"/>
      <c r="L278" s="15"/>
      <c r="M278" s="110"/>
      <c r="N278" s="15"/>
      <c r="O278" s="110"/>
      <c r="P278" s="15"/>
      <c r="Q278" s="110"/>
      <c r="R278" s="15"/>
      <c r="S278" s="110"/>
      <c r="T278" s="15"/>
      <c r="U278" s="110"/>
      <c r="V278" s="15"/>
    </row>
    <row r="279" spans="8:22" x14ac:dyDescent="0.2">
      <c r="H279" s="15"/>
      <c r="I279" s="110"/>
      <c r="J279" s="15"/>
      <c r="K279" s="110"/>
      <c r="L279" s="15"/>
      <c r="M279" s="110"/>
      <c r="N279" s="15"/>
      <c r="O279" s="110"/>
      <c r="P279" s="15"/>
      <c r="Q279" s="110"/>
      <c r="R279" s="15"/>
      <c r="S279" s="110"/>
      <c r="T279" s="15"/>
      <c r="U279" s="110"/>
      <c r="V279" s="15"/>
    </row>
    <row r="280" spans="8:22" x14ac:dyDescent="0.2">
      <c r="H280" s="15"/>
      <c r="I280" s="110"/>
      <c r="J280" s="15"/>
      <c r="K280" s="110"/>
      <c r="L280" s="15"/>
      <c r="M280" s="110"/>
      <c r="N280" s="15"/>
      <c r="O280" s="110"/>
      <c r="P280" s="15"/>
      <c r="Q280" s="110"/>
      <c r="R280" s="15"/>
      <c r="S280" s="110"/>
      <c r="T280" s="15"/>
      <c r="U280" s="110"/>
      <c r="V280" s="15"/>
    </row>
    <row r="281" spans="8:22" x14ac:dyDescent="0.2">
      <c r="H281" s="15"/>
      <c r="I281" s="110"/>
      <c r="J281" s="15"/>
      <c r="K281" s="110"/>
      <c r="L281" s="15"/>
      <c r="M281" s="110"/>
      <c r="N281" s="15"/>
      <c r="O281" s="110"/>
      <c r="P281" s="15"/>
      <c r="Q281" s="110"/>
      <c r="R281" s="15"/>
      <c r="S281" s="110"/>
      <c r="T281" s="15"/>
      <c r="U281" s="110"/>
      <c r="V281" s="15"/>
    </row>
    <row r="282" spans="8:22" x14ac:dyDescent="0.2">
      <c r="H282" s="15"/>
      <c r="I282" s="110"/>
      <c r="J282" s="15"/>
      <c r="K282" s="110"/>
      <c r="L282" s="15"/>
      <c r="M282" s="110"/>
      <c r="N282" s="15"/>
      <c r="O282" s="110"/>
      <c r="P282" s="15"/>
      <c r="Q282" s="110"/>
      <c r="R282" s="15"/>
      <c r="S282" s="110"/>
      <c r="T282" s="15"/>
      <c r="U282" s="110"/>
      <c r="V282" s="15"/>
    </row>
    <row r="283" spans="8:22" x14ac:dyDescent="0.2">
      <c r="H283" s="15"/>
      <c r="I283" s="110"/>
      <c r="J283" s="15"/>
      <c r="K283" s="110"/>
      <c r="L283" s="15"/>
      <c r="M283" s="110"/>
      <c r="N283" s="15"/>
      <c r="O283" s="110"/>
      <c r="P283" s="15"/>
      <c r="Q283" s="110"/>
      <c r="R283" s="15"/>
      <c r="S283" s="110"/>
      <c r="T283" s="15"/>
      <c r="U283" s="110"/>
      <c r="V283" s="15"/>
    </row>
    <row r="284" spans="8:22" x14ac:dyDescent="0.2">
      <c r="H284" s="15"/>
      <c r="I284" s="110"/>
      <c r="J284" s="15"/>
      <c r="K284" s="110"/>
      <c r="L284" s="15"/>
      <c r="M284" s="110"/>
      <c r="N284" s="15"/>
      <c r="O284" s="110"/>
      <c r="P284" s="15"/>
      <c r="Q284" s="110"/>
      <c r="R284" s="15"/>
      <c r="S284" s="110"/>
      <c r="T284" s="15"/>
      <c r="U284" s="110"/>
      <c r="V284" s="15"/>
    </row>
    <row r="285" spans="8:22" x14ac:dyDescent="0.2">
      <c r="H285" s="15"/>
      <c r="I285" s="110"/>
      <c r="J285" s="15"/>
      <c r="K285" s="110"/>
      <c r="L285" s="15"/>
      <c r="M285" s="110"/>
      <c r="N285" s="15"/>
      <c r="O285" s="110"/>
      <c r="P285" s="15"/>
      <c r="Q285" s="110"/>
      <c r="R285" s="15"/>
      <c r="S285" s="110"/>
      <c r="T285" s="15"/>
      <c r="U285" s="110"/>
      <c r="V285" s="15"/>
    </row>
    <row r="286" spans="8:22" x14ac:dyDescent="0.2">
      <c r="H286" s="15"/>
      <c r="I286" s="110"/>
      <c r="J286" s="15"/>
      <c r="K286" s="110"/>
      <c r="L286" s="15"/>
      <c r="M286" s="110"/>
      <c r="N286" s="15"/>
      <c r="O286" s="110"/>
      <c r="P286" s="15"/>
      <c r="Q286" s="110"/>
      <c r="R286" s="15"/>
      <c r="S286" s="110"/>
      <c r="T286" s="15"/>
      <c r="U286" s="110"/>
      <c r="V286" s="15"/>
    </row>
    <row r="287" spans="8:22" x14ac:dyDescent="0.2">
      <c r="H287" s="15"/>
      <c r="I287" s="110"/>
      <c r="J287" s="15"/>
      <c r="K287" s="110"/>
      <c r="L287" s="15"/>
      <c r="M287" s="110"/>
      <c r="N287" s="15"/>
      <c r="O287" s="110"/>
      <c r="P287" s="15"/>
      <c r="Q287" s="110"/>
      <c r="R287" s="15"/>
      <c r="S287" s="110"/>
      <c r="T287" s="15"/>
      <c r="U287" s="110"/>
      <c r="V287" s="15"/>
    </row>
    <row r="288" spans="8:22" x14ac:dyDescent="0.2">
      <c r="H288" s="15"/>
      <c r="I288" s="110"/>
      <c r="J288" s="15"/>
      <c r="K288" s="110"/>
      <c r="L288" s="15"/>
      <c r="M288" s="110"/>
      <c r="N288" s="15"/>
      <c r="O288" s="110"/>
      <c r="P288" s="15"/>
      <c r="Q288" s="110"/>
      <c r="R288" s="15"/>
      <c r="S288" s="110"/>
      <c r="T288" s="15"/>
      <c r="U288" s="110"/>
      <c r="V288" s="15"/>
    </row>
    <row r="289" spans="8:22" x14ac:dyDescent="0.2">
      <c r="H289" s="15"/>
      <c r="I289" s="110"/>
      <c r="J289" s="15"/>
      <c r="K289" s="110"/>
      <c r="L289" s="15"/>
      <c r="M289" s="110"/>
      <c r="N289" s="15"/>
      <c r="O289" s="110"/>
      <c r="P289" s="15"/>
      <c r="Q289" s="110"/>
      <c r="R289" s="15"/>
      <c r="S289" s="110"/>
      <c r="T289" s="15"/>
      <c r="U289" s="110"/>
      <c r="V289" s="15"/>
    </row>
    <row r="290" spans="8:22" x14ac:dyDescent="0.2">
      <c r="H290" s="15"/>
      <c r="I290" s="110"/>
      <c r="J290" s="15"/>
      <c r="K290" s="110"/>
      <c r="L290" s="15"/>
      <c r="M290" s="110"/>
      <c r="N290" s="15"/>
      <c r="O290" s="110"/>
      <c r="P290" s="15"/>
      <c r="Q290" s="110"/>
      <c r="R290" s="15"/>
      <c r="S290" s="110"/>
      <c r="T290" s="15"/>
      <c r="U290" s="110"/>
      <c r="V290" s="15"/>
    </row>
    <row r="291" spans="8:22" x14ac:dyDescent="0.2">
      <c r="H291" s="15"/>
      <c r="I291" s="110"/>
      <c r="J291" s="15"/>
      <c r="K291" s="110"/>
      <c r="L291" s="15"/>
      <c r="M291" s="110"/>
      <c r="N291" s="15"/>
      <c r="O291" s="110"/>
      <c r="P291" s="15"/>
      <c r="Q291" s="110"/>
      <c r="R291" s="15"/>
      <c r="S291" s="110"/>
      <c r="T291" s="15"/>
      <c r="U291" s="110"/>
      <c r="V291" s="15"/>
    </row>
    <row r="292" spans="8:22" x14ac:dyDescent="0.2">
      <c r="H292" s="15"/>
      <c r="I292" s="110"/>
      <c r="J292" s="15"/>
      <c r="K292" s="110"/>
      <c r="L292" s="15"/>
      <c r="M292" s="110"/>
      <c r="N292" s="15"/>
      <c r="O292" s="110"/>
      <c r="P292" s="15"/>
      <c r="Q292" s="110"/>
      <c r="R292" s="15"/>
      <c r="S292" s="110"/>
      <c r="T292" s="15"/>
      <c r="U292" s="110"/>
      <c r="V292" s="15"/>
    </row>
    <row r="293" spans="8:22" x14ac:dyDescent="0.2">
      <c r="H293" s="15"/>
      <c r="I293" s="110"/>
      <c r="J293" s="15"/>
      <c r="K293" s="110"/>
      <c r="L293" s="15"/>
      <c r="M293" s="110"/>
      <c r="N293" s="15"/>
      <c r="O293" s="110"/>
      <c r="P293" s="15"/>
      <c r="Q293" s="110"/>
      <c r="R293" s="15"/>
      <c r="S293" s="110"/>
      <c r="T293" s="15"/>
      <c r="U293" s="110"/>
      <c r="V293" s="15"/>
    </row>
    <row r="294" spans="8:22" x14ac:dyDescent="0.2">
      <c r="H294" s="15"/>
      <c r="I294" s="110"/>
      <c r="J294" s="15"/>
      <c r="K294" s="110"/>
      <c r="L294" s="15"/>
      <c r="M294" s="110"/>
      <c r="N294" s="15"/>
      <c r="O294" s="110"/>
      <c r="P294" s="15"/>
      <c r="Q294" s="110"/>
      <c r="R294" s="15"/>
      <c r="S294" s="110"/>
      <c r="T294" s="15"/>
      <c r="U294" s="110"/>
      <c r="V294" s="15"/>
    </row>
    <row r="295" spans="8:22" x14ac:dyDescent="0.2">
      <c r="H295" s="15"/>
      <c r="I295" s="110"/>
      <c r="J295" s="15"/>
      <c r="K295" s="110"/>
      <c r="L295" s="15"/>
      <c r="M295" s="110"/>
      <c r="N295" s="15"/>
      <c r="O295" s="110"/>
      <c r="P295" s="15"/>
      <c r="Q295" s="110"/>
      <c r="R295" s="15"/>
      <c r="S295" s="110"/>
      <c r="T295" s="15"/>
      <c r="U295" s="110"/>
      <c r="V295" s="15"/>
    </row>
    <row r="296" spans="8:22" x14ac:dyDescent="0.2">
      <c r="H296" s="15"/>
      <c r="I296" s="110"/>
      <c r="J296" s="15"/>
      <c r="K296" s="110"/>
      <c r="L296" s="15"/>
      <c r="M296" s="110"/>
      <c r="N296" s="15"/>
      <c r="O296" s="110"/>
      <c r="P296" s="15"/>
      <c r="Q296" s="110"/>
      <c r="R296" s="15"/>
      <c r="S296" s="110"/>
      <c r="T296" s="15"/>
      <c r="U296" s="110"/>
      <c r="V296" s="15"/>
    </row>
    <row r="297" spans="8:22" x14ac:dyDescent="0.2">
      <c r="H297" s="15"/>
      <c r="I297" s="110"/>
      <c r="J297" s="15"/>
      <c r="K297" s="110"/>
      <c r="L297" s="15"/>
      <c r="M297" s="110"/>
      <c r="N297" s="15"/>
      <c r="O297" s="110"/>
      <c r="P297" s="15"/>
      <c r="Q297" s="110"/>
      <c r="R297" s="15"/>
      <c r="S297" s="110"/>
      <c r="T297" s="15"/>
      <c r="U297" s="110"/>
      <c r="V297" s="15"/>
    </row>
    <row r="298" spans="8:22" x14ac:dyDescent="0.2">
      <c r="H298" s="15"/>
      <c r="I298" s="110"/>
      <c r="J298" s="15"/>
      <c r="K298" s="110"/>
      <c r="L298" s="15"/>
      <c r="M298" s="110"/>
      <c r="N298" s="15"/>
      <c r="O298" s="110"/>
      <c r="P298" s="15"/>
      <c r="Q298" s="110"/>
      <c r="R298" s="15"/>
      <c r="S298" s="110"/>
      <c r="T298" s="15"/>
      <c r="U298" s="110"/>
      <c r="V298" s="15"/>
    </row>
    <row r="299" spans="8:22" x14ac:dyDescent="0.2">
      <c r="H299" s="15"/>
      <c r="I299" s="110"/>
      <c r="J299" s="15"/>
      <c r="K299" s="110"/>
      <c r="L299" s="15"/>
      <c r="M299" s="110"/>
      <c r="N299" s="15"/>
      <c r="O299" s="110"/>
      <c r="P299" s="15"/>
      <c r="Q299" s="110"/>
      <c r="R299" s="15"/>
      <c r="S299" s="110"/>
      <c r="T299" s="15"/>
      <c r="U299" s="110"/>
      <c r="V299" s="15"/>
    </row>
    <row r="300" spans="8:22" x14ac:dyDescent="0.2">
      <c r="H300" s="15"/>
      <c r="I300" s="110"/>
      <c r="J300" s="15"/>
      <c r="K300" s="110"/>
      <c r="L300" s="15"/>
      <c r="M300" s="110"/>
      <c r="N300" s="15"/>
      <c r="O300" s="110"/>
      <c r="P300" s="15"/>
      <c r="Q300" s="110"/>
      <c r="R300" s="15"/>
      <c r="S300" s="110"/>
      <c r="T300" s="15"/>
      <c r="U300" s="110"/>
      <c r="V300" s="15"/>
    </row>
    <row r="301" spans="8:22" x14ac:dyDescent="0.2">
      <c r="H301" s="15"/>
      <c r="I301" s="110"/>
      <c r="J301" s="15"/>
      <c r="K301" s="110"/>
      <c r="L301" s="15"/>
      <c r="M301" s="110"/>
      <c r="N301" s="15"/>
      <c r="O301" s="110"/>
      <c r="P301" s="15"/>
      <c r="Q301" s="110"/>
      <c r="R301" s="15"/>
      <c r="S301" s="110"/>
      <c r="T301" s="15"/>
      <c r="U301" s="110"/>
      <c r="V301" s="15"/>
    </row>
    <row r="302" spans="8:22" x14ac:dyDescent="0.2">
      <c r="H302" s="15"/>
      <c r="I302" s="110"/>
      <c r="J302" s="15"/>
      <c r="K302" s="110"/>
      <c r="L302" s="15"/>
      <c r="M302" s="110"/>
      <c r="N302" s="15"/>
      <c r="O302" s="110"/>
      <c r="P302" s="15"/>
      <c r="Q302" s="110"/>
      <c r="R302" s="15"/>
      <c r="S302" s="110"/>
      <c r="T302" s="15"/>
      <c r="U302" s="110"/>
      <c r="V302" s="15"/>
    </row>
    <row r="303" spans="8:22" x14ac:dyDescent="0.2">
      <c r="H303" s="15"/>
      <c r="I303" s="110"/>
      <c r="J303" s="15"/>
      <c r="K303" s="110"/>
      <c r="L303" s="15"/>
      <c r="M303" s="110"/>
      <c r="N303" s="15"/>
      <c r="O303" s="110"/>
      <c r="P303" s="15"/>
      <c r="Q303" s="110"/>
      <c r="R303" s="15"/>
      <c r="S303" s="110"/>
      <c r="T303" s="15"/>
      <c r="U303" s="110"/>
      <c r="V303" s="15"/>
    </row>
    <row r="304" spans="8:22" x14ac:dyDescent="0.2">
      <c r="H304" s="15"/>
      <c r="I304" s="110"/>
      <c r="J304" s="15"/>
      <c r="K304" s="110"/>
      <c r="L304" s="15"/>
      <c r="M304" s="110"/>
      <c r="N304" s="15"/>
      <c r="O304" s="110"/>
      <c r="P304" s="15"/>
      <c r="Q304" s="110"/>
      <c r="R304" s="15"/>
      <c r="S304" s="110"/>
      <c r="T304" s="15"/>
      <c r="U304" s="110"/>
      <c r="V304" s="15"/>
    </row>
    <row r="305" spans="8:22" x14ac:dyDescent="0.2">
      <c r="H305" s="15"/>
      <c r="I305" s="110"/>
      <c r="J305" s="15"/>
      <c r="K305" s="110"/>
      <c r="L305" s="15"/>
      <c r="M305" s="110"/>
      <c r="N305" s="15"/>
      <c r="O305" s="110"/>
      <c r="P305" s="15"/>
      <c r="Q305" s="110"/>
      <c r="R305" s="15"/>
      <c r="S305" s="110"/>
      <c r="T305" s="15"/>
      <c r="U305" s="110"/>
      <c r="V305" s="15"/>
    </row>
    <row r="306" spans="8:22" x14ac:dyDescent="0.2">
      <c r="H306" s="15"/>
      <c r="I306" s="110"/>
      <c r="J306" s="15"/>
      <c r="K306" s="110"/>
      <c r="L306" s="15"/>
      <c r="M306" s="110"/>
      <c r="N306" s="15"/>
      <c r="O306" s="110"/>
      <c r="P306" s="15"/>
      <c r="Q306" s="110"/>
      <c r="R306" s="15"/>
      <c r="S306" s="110"/>
      <c r="T306" s="15"/>
      <c r="U306" s="110"/>
      <c r="V306" s="15"/>
    </row>
    <row r="307" spans="8:22" x14ac:dyDescent="0.2">
      <c r="H307" s="15"/>
      <c r="I307" s="110"/>
      <c r="J307" s="15"/>
      <c r="K307" s="110"/>
      <c r="L307" s="15"/>
      <c r="M307" s="110"/>
      <c r="N307" s="15"/>
      <c r="O307" s="110"/>
      <c r="P307" s="15"/>
      <c r="Q307" s="110"/>
      <c r="R307" s="15"/>
      <c r="S307" s="110"/>
      <c r="T307" s="15"/>
      <c r="U307" s="110"/>
      <c r="V307" s="15"/>
    </row>
    <row r="308" spans="8:22" x14ac:dyDescent="0.2">
      <c r="H308" s="15"/>
      <c r="I308" s="110"/>
      <c r="J308" s="15"/>
      <c r="K308" s="110"/>
      <c r="L308" s="15"/>
      <c r="M308" s="110"/>
      <c r="N308" s="15"/>
      <c r="O308" s="110"/>
      <c r="P308" s="15"/>
      <c r="Q308" s="110"/>
      <c r="R308" s="15"/>
      <c r="S308" s="110"/>
      <c r="T308" s="15"/>
      <c r="U308" s="110"/>
      <c r="V308" s="15"/>
    </row>
    <row r="309" spans="8:22" x14ac:dyDescent="0.2">
      <c r="H309" s="15"/>
      <c r="I309" s="110"/>
      <c r="J309" s="15"/>
      <c r="K309" s="110"/>
      <c r="L309" s="15"/>
      <c r="M309" s="110"/>
      <c r="N309" s="15"/>
      <c r="O309" s="110"/>
      <c r="P309" s="15"/>
      <c r="Q309" s="110"/>
      <c r="R309" s="15"/>
      <c r="S309" s="110"/>
      <c r="T309" s="15"/>
      <c r="U309" s="110"/>
      <c r="V309" s="15"/>
    </row>
    <row r="310" spans="8:22" x14ac:dyDescent="0.2">
      <c r="H310" s="15"/>
      <c r="I310" s="110"/>
      <c r="J310" s="15"/>
      <c r="K310" s="110"/>
      <c r="L310" s="15"/>
      <c r="M310" s="110"/>
      <c r="N310" s="15"/>
      <c r="O310" s="110"/>
      <c r="P310" s="15"/>
      <c r="Q310" s="110"/>
      <c r="R310" s="15"/>
      <c r="S310" s="110"/>
      <c r="T310" s="15"/>
      <c r="U310" s="110"/>
      <c r="V310" s="15"/>
    </row>
    <row r="311" spans="8:22" x14ac:dyDescent="0.2">
      <c r="H311" s="15"/>
      <c r="I311" s="110"/>
      <c r="J311" s="15"/>
      <c r="K311" s="110"/>
      <c r="L311" s="15"/>
      <c r="M311" s="110"/>
      <c r="N311" s="15"/>
      <c r="O311" s="110"/>
      <c r="P311" s="15"/>
      <c r="Q311" s="110"/>
      <c r="R311" s="15"/>
      <c r="S311" s="110"/>
      <c r="T311" s="15"/>
      <c r="U311" s="110"/>
      <c r="V311" s="15"/>
    </row>
    <row r="312" spans="8:22" x14ac:dyDescent="0.2">
      <c r="H312" s="15"/>
      <c r="I312" s="110"/>
      <c r="J312" s="15"/>
      <c r="K312" s="110"/>
      <c r="L312" s="15"/>
      <c r="M312" s="110"/>
      <c r="N312" s="15"/>
      <c r="O312" s="110"/>
      <c r="P312" s="15"/>
      <c r="Q312" s="110"/>
      <c r="R312" s="15"/>
      <c r="S312" s="110"/>
      <c r="T312" s="15"/>
      <c r="U312" s="110"/>
      <c r="V312" s="15"/>
    </row>
    <row r="313" spans="8:22" x14ac:dyDescent="0.2">
      <c r="H313" s="15"/>
      <c r="I313" s="110"/>
      <c r="J313" s="15"/>
      <c r="K313" s="110"/>
      <c r="L313" s="15"/>
      <c r="M313" s="110"/>
      <c r="N313" s="15"/>
      <c r="O313" s="110"/>
      <c r="P313" s="15"/>
      <c r="Q313" s="110"/>
      <c r="R313" s="15"/>
      <c r="S313" s="110"/>
      <c r="T313" s="15"/>
      <c r="U313" s="110"/>
      <c r="V313" s="15"/>
    </row>
    <row r="314" spans="8:22" x14ac:dyDescent="0.2">
      <c r="H314" s="15"/>
      <c r="I314" s="110"/>
      <c r="J314" s="15"/>
      <c r="K314" s="110"/>
      <c r="L314" s="15"/>
      <c r="M314" s="110"/>
      <c r="N314" s="15"/>
      <c r="O314" s="110"/>
      <c r="P314" s="15"/>
      <c r="Q314" s="110"/>
      <c r="R314" s="15"/>
      <c r="S314" s="110"/>
      <c r="T314" s="15"/>
      <c r="U314" s="110"/>
      <c r="V314" s="15"/>
    </row>
    <row r="315" spans="8:22" x14ac:dyDescent="0.2">
      <c r="H315" s="15"/>
      <c r="I315" s="110"/>
      <c r="J315" s="15"/>
      <c r="K315" s="110"/>
      <c r="L315" s="15"/>
      <c r="M315" s="110"/>
      <c r="N315" s="15"/>
      <c r="O315" s="110"/>
      <c r="P315" s="15"/>
      <c r="Q315" s="110"/>
      <c r="R315" s="15"/>
      <c r="S315" s="110"/>
      <c r="T315" s="15"/>
      <c r="U315" s="110"/>
      <c r="V315" s="15"/>
    </row>
    <row r="316" spans="8:22" x14ac:dyDescent="0.2">
      <c r="H316" s="15"/>
      <c r="I316" s="110"/>
      <c r="J316" s="15"/>
      <c r="K316" s="110"/>
      <c r="L316" s="15"/>
      <c r="M316" s="110"/>
      <c r="N316" s="15"/>
      <c r="O316" s="110"/>
      <c r="P316" s="15"/>
      <c r="Q316" s="110"/>
      <c r="R316" s="15"/>
      <c r="S316" s="110"/>
      <c r="T316" s="15"/>
      <c r="U316" s="110"/>
      <c r="V316" s="15"/>
    </row>
    <row r="317" spans="8:22" x14ac:dyDescent="0.2">
      <c r="H317" s="15"/>
      <c r="I317" s="110"/>
      <c r="J317" s="15"/>
      <c r="K317" s="110"/>
      <c r="L317" s="15"/>
      <c r="M317" s="110"/>
      <c r="N317" s="15"/>
      <c r="O317" s="110"/>
      <c r="P317" s="15"/>
      <c r="Q317" s="110"/>
      <c r="R317" s="15"/>
      <c r="S317" s="110"/>
      <c r="T317" s="15"/>
      <c r="U317" s="110"/>
      <c r="V317" s="15"/>
    </row>
    <row r="318" spans="8:22" x14ac:dyDescent="0.2">
      <c r="H318" s="15"/>
      <c r="I318" s="110"/>
      <c r="J318" s="15"/>
      <c r="K318" s="110"/>
      <c r="L318" s="15"/>
      <c r="M318" s="110"/>
      <c r="N318" s="15"/>
      <c r="O318" s="110"/>
      <c r="P318" s="15"/>
      <c r="Q318" s="110"/>
      <c r="R318" s="15"/>
      <c r="S318" s="110"/>
      <c r="T318" s="15"/>
      <c r="U318" s="110"/>
      <c r="V318" s="15"/>
    </row>
    <row r="319" spans="8:22" x14ac:dyDescent="0.2">
      <c r="H319" s="15"/>
      <c r="I319" s="110"/>
      <c r="J319" s="15"/>
      <c r="K319" s="110"/>
      <c r="L319" s="15"/>
      <c r="M319" s="110"/>
      <c r="N319" s="15"/>
      <c r="O319" s="110"/>
      <c r="P319" s="15"/>
      <c r="Q319" s="110"/>
      <c r="R319" s="15"/>
      <c r="S319" s="110"/>
      <c r="T319" s="15"/>
      <c r="U319" s="110"/>
      <c r="V319" s="15"/>
    </row>
    <row r="320" spans="8:22" x14ac:dyDescent="0.2">
      <c r="H320" s="15"/>
      <c r="I320" s="110"/>
      <c r="J320" s="15"/>
      <c r="K320" s="110"/>
      <c r="L320" s="15"/>
      <c r="M320" s="110"/>
      <c r="N320" s="15"/>
      <c r="O320" s="110"/>
      <c r="P320" s="15"/>
      <c r="Q320" s="110"/>
      <c r="R320" s="15"/>
      <c r="S320" s="110"/>
      <c r="T320" s="15"/>
      <c r="U320" s="110"/>
      <c r="V320" s="15"/>
    </row>
    <row r="321" spans="8:22" x14ac:dyDescent="0.2">
      <c r="H321" s="15"/>
      <c r="I321" s="110"/>
      <c r="J321" s="15"/>
      <c r="K321" s="110"/>
      <c r="L321" s="15"/>
      <c r="M321" s="110"/>
      <c r="N321" s="15"/>
      <c r="O321" s="110"/>
      <c r="P321" s="15"/>
      <c r="Q321" s="110"/>
      <c r="R321" s="15"/>
      <c r="S321" s="110"/>
      <c r="T321" s="15"/>
      <c r="U321" s="110"/>
      <c r="V321" s="15"/>
    </row>
    <row r="322" spans="8:22" x14ac:dyDescent="0.2">
      <c r="H322" s="15"/>
      <c r="I322" s="110"/>
      <c r="J322" s="15"/>
      <c r="K322" s="110"/>
      <c r="L322" s="15"/>
      <c r="M322" s="110"/>
      <c r="N322" s="15"/>
      <c r="O322" s="110"/>
      <c r="P322" s="15"/>
      <c r="Q322" s="110"/>
      <c r="R322" s="15"/>
      <c r="S322" s="110"/>
      <c r="T322" s="15"/>
      <c r="U322" s="110"/>
      <c r="V322" s="15"/>
    </row>
    <row r="323" spans="8:22" x14ac:dyDescent="0.2">
      <c r="H323" s="15"/>
      <c r="I323" s="110"/>
      <c r="J323" s="15"/>
      <c r="K323" s="110"/>
      <c r="L323" s="15"/>
      <c r="M323" s="110"/>
      <c r="N323" s="15"/>
      <c r="O323" s="110"/>
      <c r="P323" s="15"/>
      <c r="Q323" s="110"/>
      <c r="R323" s="15"/>
      <c r="S323" s="110"/>
      <c r="T323" s="15"/>
      <c r="U323" s="110"/>
      <c r="V323" s="15"/>
    </row>
    <row r="324" spans="8:22" x14ac:dyDescent="0.2">
      <c r="H324" s="15"/>
      <c r="I324" s="110"/>
      <c r="J324" s="15"/>
      <c r="K324" s="110"/>
      <c r="L324" s="15"/>
      <c r="M324" s="110"/>
      <c r="N324" s="15"/>
      <c r="O324" s="110"/>
      <c r="P324" s="15"/>
      <c r="Q324" s="110"/>
      <c r="R324" s="15"/>
      <c r="S324" s="110"/>
      <c r="T324" s="15"/>
      <c r="U324" s="110"/>
      <c r="V324" s="15"/>
    </row>
    <row r="325" spans="8:22" x14ac:dyDescent="0.2">
      <c r="H325" s="15"/>
      <c r="I325" s="110"/>
      <c r="J325" s="15"/>
      <c r="K325" s="110"/>
      <c r="L325" s="15"/>
      <c r="M325" s="110"/>
      <c r="N325" s="15"/>
      <c r="O325" s="110"/>
      <c r="P325" s="15"/>
      <c r="Q325" s="110"/>
      <c r="R325" s="15"/>
      <c r="S325" s="110"/>
      <c r="T325" s="15"/>
      <c r="U325" s="110"/>
      <c r="V325" s="15"/>
    </row>
    <row r="326" spans="8:22" x14ac:dyDescent="0.2">
      <c r="H326" s="15"/>
      <c r="I326" s="110"/>
      <c r="J326" s="15"/>
      <c r="K326" s="110"/>
      <c r="L326" s="15"/>
      <c r="M326" s="110"/>
      <c r="N326" s="15"/>
      <c r="O326" s="110"/>
      <c r="P326" s="15"/>
      <c r="Q326" s="110"/>
      <c r="R326" s="15"/>
      <c r="S326" s="110"/>
      <c r="T326" s="15"/>
      <c r="U326" s="110"/>
      <c r="V326" s="15"/>
    </row>
    <row r="327" spans="8:22" x14ac:dyDescent="0.2">
      <c r="H327" s="15"/>
      <c r="I327" s="110"/>
      <c r="J327" s="15"/>
      <c r="K327" s="110"/>
      <c r="L327" s="15"/>
      <c r="M327" s="110"/>
      <c r="N327" s="15"/>
      <c r="O327" s="110"/>
      <c r="P327" s="15"/>
      <c r="Q327" s="110"/>
      <c r="R327" s="15"/>
      <c r="S327" s="110"/>
      <c r="T327" s="15"/>
      <c r="U327" s="110"/>
      <c r="V327" s="15"/>
    </row>
    <row r="328" spans="8:22" x14ac:dyDescent="0.2">
      <c r="H328" s="15"/>
      <c r="I328" s="110"/>
      <c r="J328" s="15"/>
      <c r="K328" s="110"/>
      <c r="L328" s="15"/>
      <c r="M328" s="110"/>
      <c r="N328" s="15"/>
      <c r="O328" s="110"/>
      <c r="P328" s="15"/>
      <c r="Q328" s="110"/>
      <c r="R328" s="15"/>
      <c r="S328" s="110"/>
      <c r="T328" s="15"/>
      <c r="U328" s="110"/>
      <c r="V328" s="15"/>
    </row>
    <row r="329" spans="8:22" x14ac:dyDescent="0.2">
      <c r="H329" s="15"/>
      <c r="I329" s="110"/>
      <c r="J329" s="15"/>
      <c r="K329" s="110"/>
      <c r="L329" s="15"/>
      <c r="M329" s="110"/>
      <c r="N329" s="15"/>
      <c r="O329" s="110"/>
      <c r="P329" s="15"/>
      <c r="Q329" s="110"/>
      <c r="R329" s="15"/>
      <c r="S329" s="110"/>
      <c r="T329" s="15"/>
      <c r="U329" s="110"/>
      <c r="V329" s="15"/>
    </row>
    <row r="330" spans="8:22" x14ac:dyDescent="0.2">
      <c r="H330" s="15"/>
      <c r="I330" s="110"/>
      <c r="J330" s="15"/>
      <c r="K330" s="110"/>
      <c r="L330" s="15"/>
      <c r="M330" s="110"/>
      <c r="N330" s="15"/>
      <c r="O330" s="110"/>
      <c r="P330" s="15"/>
      <c r="Q330" s="110"/>
      <c r="R330" s="15"/>
      <c r="S330" s="110"/>
      <c r="T330" s="15"/>
      <c r="U330" s="110"/>
      <c r="V330" s="15"/>
    </row>
    <row r="331" spans="8:22" x14ac:dyDescent="0.2">
      <c r="H331" s="15"/>
      <c r="I331" s="110"/>
      <c r="J331" s="15"/>
      <c r="K331" s="110"/>
      <c r="L331" s="15"/>
      <c r="M331" s="110"/>
      <c r="N331" s="15"/>
      <c r="O331" s="110"/>
      <c r="P331" s="15"/>
      <c r="Q331" s="110"/>
      <c r="R331" s="15"/>
      <c r="S331" s="110"/>
      <c r="T331" s="15"/>
      <c r="U331" s="110"/>
      <c r="V331" s="15"/>
    </row>
    <row r="332" spans="8:22" x14ac:dyDescent="0.2">
      <c r="H332" s="15"/>
      <c r="I332" s="110"/>
      <c r="J332" s="15"/>
      <c r="K332" s="110"/>
      <c r="L332" s="15"/>
      <c r="M332" s="110"/>
      <c r="N332" s="15"/>
      <c r="O332" s="110"/>
      <c r="P332" s="15"/>
      <c r="Q332" s="110"/>
      <c r="R332" s="15"/>
      <c r="S332" s="110"/>
      <c r="T332" s="15"/>
      <c r="U332" s="110"/>
      <c r="V332" s="15"/>
    </row>
    <row r="333" spans="8:22" x14ac:dyDescent="0.2">
      <c r="H333" s="15"/>
      <c r="I333" s="110"/>
      <c r="J333" s="15"/>
      <c r="K333" s="110"/>
      <c r="L333" s="15"/>
      <c r="M333" s="110"/>
      <c r="N333" s="15"/>
      <c r="O333" s="110"/>
      <c r="P333" s="15"/>
      <c r="Q333" s="110"/>
      <c r="R333" s="15"/>
      <c r="S333" s="110"/>
      <c r="T333" s="15"/>
      <c r="U333" s="110"/>
      <c r="V333" s="15"/>
    </row>
    <row r="334" spans="8:22" x14ac:dyDescent="0.2">
      <c r="H334" s="15"/>
      <c r="I334" s="110"/>
      <c r="J334" s="15"/>
      <c r="K334" s="110"/>
      <c r="L334" s="15"/>
      <c r="M334" s="110"/>
      <c r="N334" s="15"/>
      <c r="O334" s="110"/>
      <c r="P334" s="15"/>
      <c r="Q334" s="110"/>
      <c r="R334" s="15"/>
      <c r="S334" s="110"/>
      <c r="T334" s="15"/>
      <c r="U334" s="110"/>
      <c r="V334" s="15"/>
    </row>
    <row r="335" spans="8:22" x14ac:dyDescent="0.2">
      <c r="H335" s="15"/>
      <c r="I335" s="110"/>
      <c r="J335" s="15"/>
      <c r="K335" s="110"/>
      <c r="L335" s="15"/>
      <c r="M335" s="110"/>
      <c r="N335" s="15"/>
      <c r="O335" s="110"/>
      <c r="P335" s="15"/>
      <c r="Q335" s="110"/>
      <c r="R335" s="15"/>
      <c r="S335" s="110"/>
      <c r="T335" s="15"/>
      <c r="U335" s="110"/>
      <c r="V335" s="15"/>
    </row>
    <row r="336" spans="8:22" x14ac:dyDescent="0.2">
      <c r="H336" s="15"/>
      <c r="I336" s="110"/>
      <c r="J336" s="15"/>
      <c r="K336" s="110"/>
      <c r="L336" s="15"/>
      <c r="M336" s="110"/>
      <c r="N336" s="15"/>
      <c r="O336" s="110"/>
      <c r="P336" s="15"/>
      <c r="Q336" s="110"/>
      <c r="R336" s="15"/>
      <c r="S336" s="110"/>
      <c r="T336" s="15"/>
      <c r="U336" s="110"/>
      <c r="V336" s="15"/>
    </row>
    <row r="337" spans="8:22" x14ac:dyDescent="0.2">
      <c r="H337" s="15"/>
      <c r="I337" s="110"/>
      <c r="J337" s="15"/>
      <c r="K337" s="110"/>
      <c r="L337" s="15"/>
      <c r="M337" s="110"/>
      <c r="N337" s="15"/>
      <c r="O337" s="110"/>
      <c r="P337" s="15"/>
      <c r="Q337" s="110"/>
      <c r="R337" s="15"/>
      <c r="S337" s="110"/>
      <c r="T337" s="15"/>
      <c r="U337" s="110"/>
      <c r="V337" s="15"/>
    </row>
    <row r="338" spans="8:22" x14ac:dyDescent="0.2">
      <c r="H338" s="15"/>
      <c r="I338" s="110"/>
      <c r="J338" s="15"/>
      <c r="K338" s="110"/>
      <c r="L338" s="15"/>
      <c r="M338" s="110"/>
      <c r="N338" s="15"/>
      <c r="O338" s="110"/>
      <c r="P338" s="15"/>
      <c r="Q338" s="110"/>
      <c r="R338" s="15"/>
      <c r="S338" s="110"/>
      <c r="T338" s="15"/>
      <c r="U338" s="110"/>
      <c r="V338" s="15"/>
    </row>
    <row r="339" spans="8:22" x14ac:dyDescent="0.2">
      <c r="H339" s="15"/>
      <c r="I339" s="110"/>
      <c r="J339" s="15"/>
      <c r="K339" s="110"/>
      <c r="L339" s="15"/>
      <c r="M339" s="110"/>
      <c r="N339" s="15"/>
      <c r="O339" s="110"/>
      <c r="P339" s="15"/>
      <c r="Q339" s="110"/>
      <c r="R339" s="15"/>
      <c r="S339" s="110"/>
      <c r="T339" s="15"/>
      <c r="U339" s="110"/>
      <c r="V339" s="15"/>
    </row>
    <row r="340" spans="8:22" x14ac:dyDescent="0.2">
      <c r="H340" s="15"/>
      <c r="I340" s="110"/>
      <c r="J340" s="15"/>
      <c r="K340" s="110"/>
      <c r="L340" s="15"/>
      <c r="M340" s="110"/>
      <c r="N340" s="15"/>
      <c r="O340" s="110"/>
      <c r="P340" s="15"/>
      <c r="Q340" s="110"/>
      <c r="R340" s="15"/>
      <c r="S340" s="110"/>
      <c r="T340" s="15"/>
      <c r="U340" s="110"/>
      <c r="V340" s="15"/>
    </row>
    <row r="341" spans="8:22" x14ac:dyDescent="0.2">
      <c r="H341" s="15"/>
      <c r="I341" s="110"/>
      <c r="J341" s="15"/>
      <c r="K341" s="110"/>
      <c r="L341" s="15"/>
      <c r="M341" s="110"/>
      <c r="N341" s="15"/>
      <c r="O341" s="110"/>
      <c r="P341" s="15"/>
      <c r="Q341" s="110"/>
      <c r="R341" s="15"/>
      <c r="S341" s="110"/>
      <c r="T341" s="15"/>
      <c r="U341" s="110"/>
      <c r="V341" s="15"/>
    </row>
    <row r="342" spans="8:22" x14ac:dyDescent="0.2">
      <c r="H342" s="15"/>
      <c r="I342" s="110"/>
      <c r="J342" s="15"/>
      <c r="K342" s="110"/>
      <c r="L342" s="15"/>
      <c r="M342" s="110"/>
      <c r="N342" s="15"/>
      <c r="O342" s="110"/>
      <c r="P342" s="15"/>
      <c r="Q342" s="110"/>
      <c r="R342" s="15"/>
      <c r="S342" s="110"/>
      <c r="T342" s="15"/>
      <c r="U342" s="110"/>
      <c r="V342" s="15"/>
    </row>
    <row r="343" spans="8:22" x14ac:dyDescent="0.2">
      <c r="H343" s="15"/>
      <c r="I343" s="110"/>
      <c r="J343" s="15"/>
      <c r="K343" s="110"/>
      <c r="L343" s="15"/>
      <c r="M343" s="110"/>
      <c r="N343" s="15"/>
      <c r="O343" s="110"/>
      <c r="P343" s="15"/>
      <c r="Q343" s="110"/>
      <c r="R343" s="15"/>
      <c r="S343" s="110"/>
      <c r="T343" s="15"/>
      <c r="U343" s="110"/>
      <c r="V343" s="15"/>
    </row>
    <row r="344" spans="8:22" x14ac:dyDescent="0.2">
      <c r="H344" s="15"/>
      <c r="I344" s="110"/>
      <c r="J344" s="15"/>
      <c r="K344" s="110"/>
      <c r="L344" s="15"/>
      <c r="M344" s="110"/>
      <c r="N344" s="15"/>
      <c r="O344" s="110"/>
      <c r="P344" s="15"/>
      <c r="Q344" s="110"/>
      <c r="R344" s="15"/>
      <c r="S344" s="110"/>
      <c r="T344" s="15"/>
      <c r="U344" s="110"/>
      <c r="V344" s="15"/>
    </row>
    <row r="345" spans="8:22" x14ac:dyDescent="0.2">
      <c r="H345" s="15"/>
      <c r="I345" s="110"/>
      <c r="J345" s="15"/>
      <c r="K345" s="110"/>
      <c r="L345" s="15"/>
      <c r="M345" s="110"/>
      <c r="N345" s="15"/>
      <c r="O345" s="110"/>
      <c r="P345" s="15"/>
      <c r="Q345" s="110"/>
      <c r="R345" s="15"/>
      <c r="S345" s="110"/>
      <c r="T345" s="15"/>
      <c r="U345" s="110"/>
      <c r="V345" s="15"/>
    </row>
    <row r="346" spans="8:22" x14ac:dyDescent="0.2">
      <c r="H346" s="15"/>
      <c r="I346" s="110"/>
      <c r="J346" s="15"/>
      <c r="K346" s="110"/>
      <c r="L346" s="15"/>
      <c r="M346" s="110"/>
      <c r="N346" s="15"/>
      <c r="O346" s="110"/>
      <c r="P346" s="15"/>
      <c r="Q346" s="110"/>
      <c r="R346" s="15"/>
      <c r="S346" s="110"/>
      <c r="T346" s="15"/>
      <c r="U346" s="110"/>
      <c r="V346" s="15"/>
    </row>
    <row r="347" spans="8:22" x14ac:dyDescent="0.2">
      <c r="H347" s="15"/>
      <c r="I347" s="110"/>
      <c r="J347" s="15"/>
      <c r="K347" s="110"/>
      <c r="L347" s="15"/>
      <c r="M347" s="110"/>
      <c r="N347" s="15"/>
      <c r="O347" s="110"/>
      <c r="P347" s="15"/>
      <c r="Q347" s="110"/>
      <c r="R347" s="15"/>
      <c r="S347" s="110"/>
      <c r="T347" s="15"/>
      <c r="U347" s="110"/>
      <c r="V347" s="15"/>
    </row>
    <row r="348" spans="8:22" x14ac:dyDescent="0.2">
      <c r="H348" s="15"/>
      <c r="I348" s="110"/>
      <c r="J348" s="15"/>
      <c r="K348" s="110"/>
      <c r="L348" s="15"/>
      <c r="M348" s="110"/>
      <c r="N348" s="15"/>
      <c r="O348" s="110"/>
      <c r="P348" s="15"/>
      <c r="Q348" s="110"/>
      <c r="R348" s="15"/>
      <c r="S348" s="110"/>
      <c r="T348" s="15"/>
      <c r="U348" s="110"/>
      <c r="V348" s="15"/>
    </row>
    <row r="349" spans="8:22" x14ac:dyDescent="0.2">
      <c r="H349" s="15"/>
      <c r="I349" s="110"/>
      <c r="J349" s="15"/>
      <c r="K349" s="110"/>
      <c r="L349" s="15"/>
      <c r="M349" s="110"/>
      <c r="N349" s="15"/>
      <c r="O349" s="110"/>
      <c r="P349" s="15"/>
      <c r="Q349" s="110"/>
      <c r="R349" s="15"/>
      <c r="S349" s="110"/>
      <c r="T349" s="15"/>
      <c r="U349" s="110"/>
      <c r="V349" s="15"/>
    </row>
    <row r="350" spans="8:22" x14ac:dyDescent="0.2">
      <c r="H350" s="15"/>
      <c r="I350" s="110"/>
      <c r="J350" s="15"/>
      <c r="K350" s="110"/>
      <c r="L350" s="15"/>
      <c r="M350" s="110"/>
      <c r="N350" s="15"/>
      <c r="O350" s="110"/>
      <c r="P350" s="15"/>
      <c r="Q350" s="110"/>
      <c r="R350" s="15"/>
      <c r="S350" s="110"/>
      <c r="T350" s="15"/>
      <c r="U350" s="110"/>
      <c r="V350" s="15"/>
    </row>
    <row r="351" spans="8:22" x14ac:dyDescent="0.2">
      <c r="H351" s="15"/>
      <c r="I351" s="110"/>
      <c r="J351" s="15"/>
      <c r="K351" s="110"/>
      <c r="L351" s="15"/>
      <c r="M351" s="110"/>
      <c r="N351" s="15"/>
      <c r="O351" s="110"/>
      <c r="P351" s="15"/>
      <c r="Q351" s="110"/>
      <c r="R351" s="15"/>
      <c r="S351" s="110"/>
      <c r="T351" s="15"/>
      <c r="U351" s="110"/>
      <c r="V351" s="15"/>
    </row>
    <row r="352" spans="8:22" x14ac:dyDescent="0.2">
      <c r="H352" s="15"/>
      <c r="I352" s="110"/>
      <c r="J352" s="15"/>
      <c r="K352" s="110"/>
      <c r="L352" s="15"/>
      <c r="M352" s="110"/>
      <c r="N352" s="15"/>
      <c r="O352" s="110"/>
      <c r="P352" s="15"/>
      <c r="Q352" s="110"/>
      <c r="R352" s="15"/>
      <c r="S352" s="110"/>
      <c r="T352" s="15"/>
      <c r="U352" s="110"/>
      <c r="V352" s="15"/>
    </row>
    <row r="353" spans="8:22" x14ac:dyDescent="0.2">
      <c r="H353" s="15"/>
      <c r="I353" s="110"/>
      <c r="J353" s="15"/>
      <c r="K353" s="110"/>
      <c r="L353" s="15"/>
      <c r="M353" s="110"/>
      <c r="N353" s="15"/>
      <c r="O353" s="110"/>
      <c r="P353" s="15"/>
      <c r="Q353" s="110"/>
      <c r="R353" s="15"/>
      <c r="S353" s="110"/>
      <c r="T353" s="15"/>
      <c r="U353" s="110"/>
      <c r="V353" s="15"/>
    </row>
    <row r="354" spans="8:22" x14ac:dyDescent="0.2">
      <c r="H354" s="15"/>
      <c r="I354" s="110"/>
      <c r="J354" s="15"/>
      <c r="K354" s="110"/>
      <c r="L354" s="15"/>
      <c r="M354" s="110"/>
      <c r="N354" s="15"/>
      <c r="O354" s="110"/>
      <c r="P354" s="15"/>
      <c r="Q354" s="110"/>
      <c r="R354" s="15"/>
      <c r="S354" s="110"/>
      <c r="T354" s="15"/>
      <c r="U354" s="110"/>
      <c r="V354" s="15"/>
    </row>
    <row r="355" spans="8:22" x14ac:dyDescent="0.2">
      <c r="H355" s="15"/>
      <c r="I355" s="110"/>
      <c r="J355" s="15"/>
      <c r="K355" s="110"/>
      <c r="L355" s="15"/>
      <c r="M355" s="110"/>
      <c r="N355" s="15"/>
      <c r="O355" s="110"/>
      <c r="P355" s="15"/>
      <c r="Q355" s="110"/>
      <c r="R355" s="15"/>
      <c r="S355" s="110"/>
      <c r="T355" s="15"/>
      <c r="U355" s="110"/>
      <c r="V355" s="15"/>
    </row>
    <row r="356" spans="8:22" x14ac:dyDescent="0.2">
      <c r="H356" s="15"/>
      <c r="I356" s="110"/>
      <c r="J356" s="15"/>
      <c r="K356" s="110"/>
      <c r="L356" s="15"/>
      <c r="M356" s="110"/>
      <c r="N356" s="15"/>
      <c r="O356" s="110"/>
      <c r="P356" s="15"/>
      <c r="Q356" s="110"/>
      <c r="R356" s="15"/>
      <c r="S356" s="110"/>
      <c r="T356" s="15"/>
      <c r="U356" s="110"/>
      <c r="V356" s="15"/>
    </row>
    <row r="357" spans="8:22" x14ac:dyDescent="0.2">
      <c r="H357" s="15"/>
      <c r="I357" s="110"/>
      <c r="J357" s="15"/>
      <c r="K357" s="110"/>
      <c r="L357" s="15"/>
      <c r="M357" s="110"/>
      <c r="N357" s="15"/>
      <c r="O357" s="110"/>
      <c r="P357" s="15"/>
      <c r="Q357" s="110"/>
      <c r="R357" s="15"/>
      <c r="S357" s="110"/>
      <c r="T357" s="15"/>
      <c r="U357" s="110"/>
      <c r="V357" s="15"/>
    </row>
    <row r="358" spans="8:22" x14ac:dyDescent="0.2">
      <c r="H358" s="15"/>
      <c r="I358" s="110"/>
      <c r="J358" s="15"/>
      <c r="K358" s="110"/>
      <c r="L358" s="15"/>
      <c r="M358" s="110"/>
      <c r="N358" s="15"/>
      <c r="O358" s="110"/>
      <c r="P358" s="15"/>
      <c r="Q358" s="110"/>
      <c r="R358" s="15"/>
      <c r="S358" s="110"/>
      <c r="T358" s="15"/>
      <c r="U358" s="110"/>
      <c r="V358" s="15"/>
    </row>
    <row r="359" spans="8:22" x14ac:dyDescent="0.2">
      <c r="H359" s="15"/>
      <c r="I359" s="110"/>
      <c r="J359" s="15"/>
      <c r="K359" s="110"/>
      <c r="L359" s="15"/>
      <c r="M359" s="110"/>
      <c r="N359" s="15"/>
      <c r="O359" s="110"/>
      <c r="P359" s="15"/>
      <c r="Q359" s="110"/>
      <c r="R359" s="15"/>
      <c r="S359" s="110"/>
      <c r="T359" s="15"/>
      <c r="U359" s="110"/>
      <c r="V359" s="15"/>
    </row>
    <row r="360" spans="8:22" x14ac:dyDescent="0.2">
      <c r="H360" s="15"/>
      <c r="I360" s="110"/>
      <c r="J360" s="15"/>
      <c r="K360" s="110"/>
      <c r="L360" s="15"/>
      <c r="M360" s="110"/>
      <c r="N360" s="15"/>
      <c r="O360" s="110"/>
      <c r="P360" s="15"/>
      <c r="Q360" s="110"/>
      <c r="R360" s="15"/>
      <c r="S360" s="110"/>
      <c r="T360" s="15"/>
      <c r="U360" s="110"/>
      <c r="V360" s="15"/>
    </row>
    <row r="361" spans="8:22" x14ac:dyDescent="0.2">
      <c r="H361" s="15"/>
      <c r="I361" s="110"/>
      <c r="J361" s="15"/>
      <c r="K361" s="110"/>
      <c r="L361" s="15"/>
      <c r="M361" s="110"/>
      <c r="N361" s="15"/>
      <c r="O361" s="110"/>
      <c r="P361" s="15"/>
      <c r="Q361" s="110"/>
      <c r="R361" s="15"/>
      <c r="S361" s="110"/>
      <c r="T361" s="15"/>
      <c r="U361" s="110"/>
      <c r="V361" s="15"/>
    </row>
    <row r="362" spans="8:22" x14ac:dyDescent="0.2">
      <c r="H362" s="15"/>
      <c r="I362" s="110"/>
      <c r="J362" s="15"/>
      <c r="K362" s="110"/>
      <c r="L362" s="15"/>
      <c r="M362" s="110"/>
      <c r="N362" s="15"/>
      <c r="O362" s="110"/>
      <c r="P362" s="15"/>
      <c r="Q362" s="110"/>
      <c r="R362" s="15"/>
      <c r="S362" s="110"/>
      <c r="T362" s="15"/>
      <c r="U362" s="110"/>
      <c r="V362" s="15"/>
    </row>
    <row r="363" spans="8:22" x14ac:dyDescent="0.2">
      <c r="H363" s="15"/>
      <c r="I363" s="110"/>
      <c r="J363" s="15"/>
      <c r="K363" s="110"/>
      <c r="L363" s="15"/>
      <c r="M363" s="110"/>
      <c r="N363" s="15"/>
      <c r="O363" s="110"/>
      <c r="P363" s="15"/>
      <c r="Q363" s="110"/>
      <c r="R363" s="15"/>
      <c r="S363" s="110"/>
      <c r="T363" s="15"/>
      <c r="U363" s="110"/>
      <c r="V363" s="15"/>
    </row>
    <row r="364" spans="8:22" x14ac:dyDescent="0.2">
      <c r="H364" s="15"/>
      <c r="I364" s="110"/>
      <c r="J364" s="15"/>
      <c r="K364" s="110"/>
      <c r="L364" s="15"/>
      <c r="M364" s="110"/>
      <c r="N364" s="15"/>
      <c r="O364" s="110"/>
      <c r="P364" s="15"/>
      <c r="Q364" s="110"/>
      <c r="R364" s="15"/>
      <c r="S364" s="110"/>
      <c r="T364" s="15"/>
      <c r="U364" s="110"/>
      <c r="V364" s="15"/>
    </row>
    <row r="365" spans="8:22" x14ac:dyDescent="0.2">
      <c r="H365" s="15"/>
      <c r="I365" s="110"/>
      <c r="J365" s="15"/>
      <c r="K365" s="110"/>
      <c r="L365" s="15"/>
      <c r="M365" s="110"/>
      <c r="N365" s="15"/>
      <c r="O365" s="110"/>
      <c r="P365" s="15"/>
      <c r="Q365" s="110"/>
      <c r="R365" s="15"/>
      <c r="S365" s="110"/>
      <c r="T365" s="15"/>
      <c r="U365" s="110"/>
      <c r="V365" s="15"/>
    </row>
    <row r="366" spans="8:22" x14ac:dyDescent="0.2">
      <c r="H366" s="15"/>
      <c r="I366" s="110"/>
      <c r="J366" s="15"/>
      <c r="K366" s="110"/>
      <c r="L366" s="15"/>
      <c r="M366" s="110"/>
      <c r="N366" s="15"/>
      <c r="O366" s="110"/>
      <c r="P366" s="15"/>
      <c r="Q366" s="110"/>
      <c r="R366" s="15"/>
      <c r="S366" s="110"/>
      <c r="T366" s="15"/>
      <c r="U366" s="110"/>
      <c r="V366" s="15"/>
    </row>
    <row r="367" spans="8:22" x14ac:dyDescent="0.2">
      <c r="H367" s="15"/>
      <c r="I367" s="110"/>
      <c r="J367" s="15"/>
      <c r="K367" s="110"/>
      <c r="L367" s="15"/>
      <c r="M367" s="110"/>
      <c r="N367" s="15"/>
      <c r="O367" s="110"/>
      <c r="P367" s="15"/>
      <c r="Q367" s="110"/>
      <c r="R367" s="15"/>
      <c r="S367" s="110"/>
      <c r="T367" s="15"/>
      <c r="U367" s="110"/>
      <c r="V367" s="15"/>
    </row>
    <row r="368" spans="8:22" x14ac:dyDescent="0.2">
      <c r="H368" s="15"/>
      <c r="I368" s="110"/>
      <c r="J368" s="15"/>
      <c r="K368" s="110"/>
      <c r="L368" s="15"/>
      <c r="M368" s="110"/>
      <c r="N368" s="15"/>
      <c r="O368" s="110"/>
      <c r="P368" s="15"/>
      <c r="Q368" s="110"/>
      <c r="R368" s="15"/>
      <c r="S368" s="110"/>
      <c r="T368" s="15"/>
      <c r="U368" s="110"/>
      <c r="V368" s="15"/>
    </row>
    <row r="369" spans="8:22" x14ac:dyDescent="0.2">
      <c r="H369" s="15"/>
      <c r="I369" s="110"/>
      <c r="J369" s="15"/>
      <c r="K369" s="110"/>
      <c r="L369" s="15"/>
      <c r="M369" s="110"/>
      <c r="N369" s="15"/>
      <c r="O369" s="110"/>
      <c r="P369" s="15"/>
      <c r="Q369" s="110"/>
      <c r="R369" s="15"/>
      <c r="S369" s="110"/>
      <c r="T369" s="15"/>
      <c r="U369" s="110"/>
      <c r="V369" s="15"/>
    </row>
    <row r="370" spans="8:22" x14ac:dyDescent="0.2">
      <c r="H370" s="15"/>
      <c r="I370" s="110"/>
      <c r="J370" s="15"/>
      <c r="K370" s="110"/>
      <c r="L370" s="15"/>
      <c r="M370" s="110"/>
      <c r="N370" s="15"/>
      <c r="O370" s="110"/>
      <c r="P370" s="15"/>
      <c r="Q370" s="110"/>
      <c r="R370" s="15"/>
      <c r="S370" s="110"/>
      <c r="T370" s="15"/>
      <c r="U370" s="110"/>
      <c r="V370" s="15"/>
    </row>
    <row r="371" spans="8:22" x14ac:dyDescent="0.2">
      <c r="H371" s="15"/>
      <c r="I371" s="110"/>
      <c r="J371" s="15"/>
      <c r="K371" s="110"/>
      <c r="L371" s="15"/>
      <c r="M371" s="110"/>
      <c r="N371" s="15"/>
      <c r="O371" s="110"/>
      <c r="P371" s="15"/>
      <c r="Q371" s="110"/>
      <c r="R371" s="15"/>
      <c r="S371" s="110"/>
      <c r="T371" s="15"/>
      <c r="U371" s="110"/>
      <c r="V371" s="15"/>
    </row>
    <row r="372" spans="8:22" x14ac:dyDescent="0.2">
      <c r="H372" s="15"/>
      <c r="I372" s="110"/>
      <c r="J372" s="15"/>
      <c r="K372" s="110"/>
      <c r="L372" s="15"/>
      <c r="M372" s="110"/>
      <c r="N372" s="15"/>
      <c r="O372" s="110"/>
      <c r="P372" s="15"/>
      <c r="Q372" s="110"/>
      <c r="R372" s="15"/>
      <c r="S372" s="110"/>
      <c r="T372" s="15"/>
      <c r="U372" s="110"/>
      <c r="V372" s="15"/>
    </row>
    <row r="373" spans="8:22" x14ac:dyDescent="0.2">
      <c r="H373" s="15"/>
      <c r="I373" s="110"/>
      <c r="J373" s="15"/>
      <c r="K373" s="110"/>
      <c r="L373" s="15"/>
      <c r="M373" s="110"/>
      <c r="N373" s="15"/>
      <c r="O373" s="110"/>
      <c r="P373" s="15"/>
      <c r="Q373" s="110"/>
      <c r="R373" s="15"/>
      <c r="S373" s="110"/>
      <c r="T373" s="15"/>
      <c r="U373" s="110"/>
      <c r="V373" s="15"/>
    </row>
    <row r="374" spans="8:22" x14ac:dyDescent="0.2">
      <c r="H374" s="15"/>
      <c r="I374" s="110"/>
      <c r="J374" s="15"/>
      <c r="K374" s="110"/>
      <c r="L374" s="15"/>
      <c r="M374" s="110"/>
      <c r="N374" s="15"/>
      <c r="O374" s="110"/>
      <c r="P374" s="15"/>
      <c r="Q374" s="110"/>
      <c r="R374" s="15"/>
      <c r="S374" s="110"/>
      <c r="T374" s="15"/>
      <c r="U374" s="110"/>
      <c r="V374" s="15"/>
    </row>
    <row r="375" spans="8:22" x14ac:dyDescent="0.2">
      <c r="H375" s="15"/>
      <c r="I375" s="110"/>
      <c r="J375" s="15"/>
      <c r="K375" s="110"/>
      <c r="L375" s="15"/>
      <c r="M375" s="110"/>
      <c r="N375" s="15"/>
      <c r="O375" s="110"/>
      <c r="P375" s="15"/>
      <c r="Q375" s="110"/>
      <c r="R375" s="15"/>
      <c r="S375" s="110"/>
      <c r="T375" s="15"/>
      <c r="U375" s="110"/>
      <c r="V375" s="15"/>
    </row>
    <row r="376" spans="8:22" x14ac:dyDescent="0.2">
      <c r="H376" s="15"/>
      <c r="I376" s="110"/>
      <c r="J376" s="15"/>
      <c r="K376" s="110"/>
      <c r="L376" s="15"/>
      <c r="M376" s="110"/>
      <c r="N376" s="15"/>
      <c r="O376" s="110"/>
      <c r="P376" s="15"/>
      <c r="Q376" s="110"/>
      <c r="R376" s="15"/>
      <c r="S376" s="110"/>
      <c r="T376" s="15"/>
      <c r="U376" s="110"/>
      <c r="V376" s="15"/>
    </row>
    <row r="377" spans="8:22" x14ac:dyDescent="0.2">
      <c r="H377" s="15"/>
      <c r="I377" s="110"/>
      <c r="J377" s="15"/>
      <c r="K377" s="110"/>
      <c r="L377" s="15"/>
      <c r="M377" s="110"/>
      <c r="N377" s="15"/>
      <c r="O377" s="110"/>
      <c r="P377" s="15"/>
      <c r="Q377" s="110"/>
      <c r="R377" s="15"/>
      <c r="S377" s="110"/>
      <c r="T377" s="15"/>
      <c r="U377" s="110"/>
      <c r="V377" s="15"/>
    </row>
    <row r="378" spans="8:22" x14ac:dyDescent="0.2">
      <c r="H378" s="15"/>
      <c r="I378" s="110"/>
      <c r="J378" s="15"/>
      <c r="K378" s="110"/>
      <c r="L378" s="15"/>
      <c r="M378" s="110"/>
      <c r="N378" s="15"/>
      <c r="O378" s="110"/>
      <c r="P378" s="15"/>
      <c r="Q378" s="110"/>
      <c r="R378" s="15"/>
      <c r="S378" s="110"/>
      <c r="T378" s="15"/>
      <c r="U378" s="110"/>
      <c r="V378" s="15"/>
    </row>
    <row r="379" spans="8:22" x14ac:dyDescent="0.2">
      <c r="H379" s="15"/>
      <c r="I379" s="110"/>
      <c r="J379" s="15"/>
      <c r="K379" s="110"/>
      <c r="L379" s="15"/>
      <c r="M379" s="110"/>
      <c r="N379" s="15"/>
      <c r="O379" s="110"/>
      <c r="P379" s="15"/>
      <c r="Q379" s="110"/>
      <c r="R379" s="15"/>
      <c r="S379" s="110"/>
      <c r="T379" s="15"/>
      <c r="U379" s="110"/>
      <c r="V379" s="15"/>
    </row>
    <row r="380" spans="8:22" x14ac:dyDescent="0.2">
      <c r="H380" s="15"/>
      <c r="I380" s="110"/>
      <c r="J380" s="15"/>
      <c r="K380" s="110"/>
      <c r="L380" s="15"/>
      <c r="M380" s="110"/>
      <c r="N380" s="15"/>
      <c r="O380" s="110"/>
      <c r="P380" s="15"/>
      <c r="Q380" s="110"/>
      <c r="R380" s="15"/>
      <c r="S380" s="110"/>
      <c r="T380" s="15"/>
      <c r="U380" s="110"/>
      <c r="V380" s="15"/>
    </row>
    <row r="381" spans="8:22" x14ac:dyDescent="0.2">
      <c r="H381" s="15"/>
      <c r="I381" s="110"/>
      <c r="J381" s="15"/>
      <c r="K381" s="110"/>
      <c r="L381" s="15"/>
      <c r="M381" s="110"/>
      <c r="N381" s="15"/>
      <c r="O381" s="110"/>
      <c r="P381" s="15"/>
      <c r="Q381" s="110"/>
      <c r="R381" s="15"/>
      <c r="S381" s="110"/>
      <c r="T381" s="15"/>
      <c r="U381" s="110"/>
      <c r="V381" s="15"/>
    </row>
    <row r="382" spans="8:22" x14ac:dyDescent="0.2">
      <c r="H382" s="15"/>
      <c r="I382" s="110"/>
      <c r="J382" s="15"/>
      <c r="K382" s="110"/>
      <c r="L382" s="15"/>
      <c r="M382" s="110"/>
      <c r="N382" s="15"/>
      <c r="O382" s="110"/>
      <c r="P382" s="15"/>
      <c r="Q382" s="110"/>
      <c r="R382" s="15"/>
      <c r="S382" s="110"/>
      <c r="T382" s="15"/>
      <c r="U382" s="110"/>
      <c r="V382" s="15"/>
    </row>
    <row r="383" spans="8:22" x14ac:dyDescent="0.2">
      <c r="H383" s="15"/>
      <c r="I383" s="110"/>
      <c r="J383" s="15"/>
      <c r="K383" s="110"/>
      <c r="L383" s="15"/>
      <c r="M383" s="110"/>
      <c r="N383" s="15"/>
      <c r="O383" s="110"/>
      <c r="P383" s="15"/>
      <c r="Q383" s="110"/>
      <c r="R383" s="15"/>
      <c r="S383" s="110"/>
      <c r="T383" s="15"/>
      <c r="U383" s="110"/>
      <c r="V383" s="15"/>
    </row>
    <row r="384" spans="8:22" x14ac:dyDescent="0.2">
      <c r="H384" s="15"/>
      <c r="I384" s="110"/>
      <c r="J384" s="15"/>
      <c r="K384" s="110"/>
      <c r="L384" s="15"/>
      <c r="M384" s="110"/>
      <c r="N384" s="15"/>
      <c r="O384" s="110"/>
      <c r="P384" s="15"/>
      <c r="Q384" s="110"/>
      <c r="R384" s="15"/>
      <c r="S384" s="110"/>
      <c r="T384" s="15"/>
      <c r="U384" s="110"/>
      <c r="V384" s="15"/>
    </row>
    <row r="385" spans="8:22" x14ac:dyDescent="0.2">
      <c r="H385" s="15"/>
      <c r="I385" s="110"/>
      <c r="J385" s="15"/>
      <c r="K385" s="110"/>
      <c r="L385" s="15"/>
      <c r="M385" s="110"/>
      <c r="N385" s="15"/>
      <c r="O385" s="110"/>
      <c r="P385" s="15"/>
      <c r="Q385" s="110"/>
      <c r="R385" s="15"/>
      <c r="S385" s="110"/>
      <c r="T385" s="15"/>
      <c r="U385" s="110"/>
      <c r="V385" s="15"/>
    </row>
    <row r="386" spans="8:22" x14ac:dyDescent="0.2">
      <c r="H386" s="15"/>
      <c r="I386" s="110"/>
      <c r="J386" s="15"/>
      <c r="K386" s="110"/>
      <c r="L386" s="15"/>
      <c r="M386" s="110"/>
      <c r="N386" s="15"/>
      <c r="O386" s="110"/>
      <c r="P386" s="15"/>
      <c r="Q386" s="110"/>
      <c r="R386" s="15"/>
      <c r="S386" s="110"/>
      <c r="T386" s="15"/>
      <c r="U386" s="110"/>
      <c r="V386" s="15"/>
    </row>
    <row r="387" spans="8:22" x14ac:dyDescent="0.2">
      <c r="H387" s="15"/>
      <c r="I387" s="110"/>
      <c r="J387" s="15"/>
      <c r="K387" s="110"/>
      <c r="L387" s="15"/>
      <c r="M387" s="110"/>
      <c r="N387" s="15"/>
      <c r="O387" s="110"/>
      <c r="P387" s="15"/>
      <c r="Q387" s="110"/>
      <c r="R387" s="15"/>
      <c r="S387" s="110"/>
      <c r="T387" s="15"/>
      <c r="U387" s="110"/>
      <c r="V387" s="15"/>
    </row>
    <row r="388" spans="8:22" x14ac:dyDescent="0.2">
      <c r="H388" s="15"/>
      <c r="I388" s="110"/>
      <c r="J388" s="15"/>
      <c r="K388" s="110"/>
      <c r="L388" s="15"/>
      <c r="M388" s="110"/>
      <c r="N388" s="15"/>
      <c r="O388" s="110"/>
      <c r="P388" s="15"/>
      <c r="Q388" s="110"/>
      <c r="R388" s="15"/>
      <c r="S388" s="110"/>
      <c r="T388" s="15"/>
      <c r="U388" s="110"/>
      <c r="V388" s="15"/>
    </row>
    <row r="389" spans="8:22" x14ac:dyDescent="0.2">
      <c r="H389" s="15"/>
      <c r="I389" s="110"/>
      <c r="J389" s="15"/>
      <c r="K389" s="110"/>
      <c r="L389" s="15"/>
      <c r="M389" s="110"/>
      <c r="N389" s="15"/>
      <c r="O389" s="110"/>
      <c r="P389" s="15"/>
      <c r="Q389" s="110"/>
      <c r="R389" s="15"/>
      <c r="S389" s="110"/>
      <c r="T389" s="15"/>
      <c r="U389" s="110"/>
      <c r="V389" s="15"/>
    </row>
    <row r="390" spans="8:22" x14ac:dyDescent="0.2">
      <c r="H390" s="15"/>
      <c r="I390" s="110"/>
      <c r="J390" s="15"/>
      <c r="K390" s="110"/>
      <c r="L390" s="15"/>
      <c r="M390" s="110"/>
      <c r="N390" s="15"/>
      <c r="O390" s="110"/>
      <c r="P390" s="15"/>
      <c r="Q390" s="110"/>
      <c r="R390" s="15"/>
      <c r="S390" s="110"/>
      <c r="T390" s="15"/>
      <c r="U390" s="110"/>
      <c r="V390" s="15"/>
    </row>
    <row r="391" spans="8:22" x14ac:dyDescent="0.2">
      <c r="H391" s="15"/>
      <c r="I391" s="110"/>
      <c r="J391" s="15"/>
      <c r="K391" s="110"/>
      <c r="L391" s="15"/>
      <c r="M391" s="110"/>
      <c r="N391" s="15"/>
      <c r="O391" s="110"/>
      <c r="P391" s="15"/>
      <c r="Q391" s="110"/>
      <c r="R391" s="15"/>
      <c r="S391" s="110"/>
      <c r="T391" s="15"/>
      <c r="U391" s="110"/>
      <c r="V391" s="15"/>
    </row>
    <row r="392" spans="8:22" x14ac:dyDescent="0.2">
      <c r="H392" s="15"/>
      <c r="I392" s="110"/>
      <c r="J392" s="15"/>
      <c r="K392" s="110"/>
      <c r="L392" s="15"/>
      <c r="M392" s="110"/>
      <c r="N392" s="15"/>
      <c r="O392" s="110"/>
      <c r="P392" s="15"/>
      <c r="Q392" s="110"/>
      <c r="R392" s="15"/>
      <c r="S392" s="110"/>
      <c r="T392" s="15"/>
      <c r="U392" s="110"/>
      <c r="V392" s="15"/>
    </row>
    <row r="393" spans="8:22" x14ac:dyDescent="0.2">
      <c r="H393" s="15"/>
      <c r="I393" s="110"/>
      <c r="J393" s="15"/>
      <c r="K393" s="110"/>
      <c r="L393" s="15"/>
      <c r="M393" s="110"/>
      <c r="N393" s="15"/>
      <c r="O393" s="110"/>
      <c r="P393" s="15"/>
      <c r="Q393" s="110"/>
      <c r="R393" s="15"/>
      <c r="S393" s="110"/>
      <c r="T393" s="15"/>
      <c r="U393" s="110"/>
      <c r="V393" s="15"/>
    </row>
    <row r="394" spans="8:22" x14ac:dyDescent="0.2">
      <c r="H394" s="15"/>
      <c r="I394" s="110"/>
      <c r="J394" s="15"/>
      <c r="K394" s="110"/>
      <c r="L394" s="15"/>
      <c r="M394" s="110"/>
      <c r="N394" s="15"/>
      <c r="O394" s="110"/>
      <c r="P394" s="15"/>
      <c r="Q394" s="110"/>
      <c r="R394" s="15"/>
      <c r="S394" s="110"/>
      <c r="T394" s="15"/>
      <c r="U394" s="110"/>
      <c r="V394" s="15"/>
    </row>
    <row r="395" spans="8:22" x14ac:dyDescent="0.2">
      <c r="H395" s="15"/>
      <c r="I395" s="110"/>
      <c r="J395" s="15"/>
      <c r="K395" s="110"/>
      <c r="L395" s="15"/>
      <c r="M395" s="110"/>
      <c r="N395" s="15"/>
      <c r="O395" s="110"/>
      <c r="P395" s="15"/>
      <c r="Q395" s="110"/>
      <c r="R395" s="15"/>
      <c r="S395" s="110"/>
      <c r="T395" s="15"/>
      <c r="U395" s="110"/>
      <c r="V395" s="15"/>
    </row>
    <row r="396" spans="8:22" x14ac:dyDescent="0.2">
      <c r="H396" s="15"/>
      <c r="I396" s="110"/>
      <c r="J396" s="15"/>
      <c r="K396" s="110"/>
      <c r="L396" s="15"/>
      <c r="M396" s="110"/>
      <c r="N396" s="15"/>
      <c r="O396" s="110"/>
      <c r="P396" s="15"/>
      <c r="Q396" s="110"/>
      <c r="R396" s="15"/>
      <c r="S396" s="110"/>
      <c r="T396" s="15"/>
      <c r="U396" s="110"/>
      <c r="V396" s="15"/>
    </row>
    <row r="397" spans="8:22" x14ac:dyDescent="0.2">
      <c r="H397" s="15"/>
      <c r="I397" s="110"/>
      <c r="J397" s="15"/>
      <c r="K397" s="110"/>
      <c r="L397" s="15"/>
      <c r="M397" s="110"/>
      <c r="N397" s="15"/>
      <c r="O397" s="110"/>
      <c r="P397" s="15"/>
      <c r="Q397" s="110"/>
      <c r="R397" s="15"/>
      <c r="S397" s="110"/>
      <c r="T397" s="15"/>
      <c r="U397" s="110"/>
      <c r="V397" s="15"/>
    </row>
    <row r="398" spans="8:22" x14ac:dyDescent="0.2">
      <c r="H398" s="15"/>
      <c r="I398" s="110"/>
      <c r="J398" s="15"/>
      <c r="K398" s="110"/>
      <c r="L398" s="15"/>
      <c r="M398" s="110"/>
      <c r="N398" s="15"/>
      <c r="O398" s="110"/>
      <c r="P398" s="15"/>
      <c r="Q398" s="110"/>
      <c r="R398" s="15"/>
      <c r="S398" s="110"/>
      <c r="T398" s="15"/>
      <c r="U398" s="110"/>
      <c r="V398" s="15"/>
    </row>
    <row r="399" spans="8:22" x14ac:dyDescent="0.2">
      <c r="H399" s="15"/>
      <c r="I399" s="110"/>
      <c r="J399" s="15"/>
      <c r="K399" s="110"/>
      <c r="L399" s="15"/>
      <c r="M399" s="110"/>
      <c r="N399" s="15"/>
      <c r="O399" s="110"/>
      <c r="P399" s="15"/>
      <c r="Q399" s="110"/>
      <c r="R399" s="15"/>
      <c r="S399" s="110"/>
      <c r="T399" s="15"/>
      <c r="U399" s="110"/>
      <c r="V399" s="15"/>
    </row>
    <row r="400" spans="8:22" x14ac:dyDescent="0.2">
      <c r="H400" s="15"/>
      <c r="I400" s="110"/>
      <c r="J400" s="15"/>
      <c r="K400" s="110"/>
      <c r="L400" s="15"/>
      <c r="M400" s="110"/>
      <c r="N400" s="15"/>
      <c r="O400" s="110"/>
      <c r="P400" s="15"/>
      <c r="Q400" s="110"/>
      <c r="R400" s="15"/>
      <c r="S400" s="110"/>
      <c r="T400" s="15"/>
      <c r="U400" s="110"/>
      <c r="V400" s="15"/>
    </row>
    <row r="401" spans="8:22" x14ac:dyDescent="0.2">
      <c r="H401" s="15"/>
      <c r="I401" s="110"/>
      <c r="J401" s="15"/>
      <c r="K401" s="110"/>
      <c r="L401" s="15"/>
      <c r="M401" s="110"/>
      <c r="N401" s="15"/>
      <c r="O401" s="110"/>
      <c r="P401" s="15"/>
      <c r="Q401" s="110"/>
      <c r="R401" s="15"/>
      <c r="S401" s="110"/>
      <c r="T401" s="15"/>
      <c r="U401" s="110"/>
      <c r="V401" s="15"/>
    </row>
    <row r="402" spans="8:22" x14ac:dyDescent="0.2">
      <c r="H402" s="15"/>
      <c r="I402" s="110"/>
      <c r="J402" s="15"/>
      <c r="K402" s="110"/>
      <c r="L402" s="15"/>
      <c r="M402" s="110"/>
      <c r="N402" s="15"/>
      <c r="O402" s="110"/>
      <c r="P402" s="15"/>
      <c r="Q402" s="110"/>
      <c r="R402" s="15"/>
      <c r="S402" s="110"/>
      <c r="T402" s="15"/>
      <c r="U402" s="110"/>
      <c r="V402" s="15"/>
    </row>
    <row r="403" spans="8:22" x14ac:dyDescent="0.2">
      <c r="H403" s="15"/>
      <c r="I403" s="110"/>
      <c r="J403" s="15"/>
      <c r="K403" s="110"/>
      <c r="L403" s="15"/>
      <c r="M403" s="110"/>
      <c r="N403" s="15"/>
      <c r="O403" s="110"/>
      <c r="P403" s="15"/>
      <c r="Q403" s="110"/>
      <c r="R403" s="15"/>
      <c r="S403" s="110"/>
      <c r="T403" s="15"/>
      <c r="U403" s="110"/>
      <c r="V403" s="15"/>
    </row>
    <row r="404" spans="8:22" x14ac:dyDescent="0.2">
      <c r="H404" s="15"/>
      <c r="I404" s="110"/>
      <c r="J404" s="15"/>
      <c r="K404" s="110"/>
      <c r="L404" s="15"/>
      <c r="M404" s="110"/>
      <c r="N404" s="15"/>
      <c r="O404" s="110"/>
      <c r="P404" s="15"/>
      <c r="Q404" s="110"/>
      <c r="R404" s="15"/>
      <c r="S404" s="110"/>
      <c r="T404" s="15"/>
      <c r="U404" s="110"/>
      <c r="V404" s="15"/>
    </row>
    <row r="405" spans="8:22" x14ac:dyDescent="0.2">
      <c r="H405" s="15"/>
      <c r="I405" s="110"/>
      <c r="J405" s="15"/>
      <c r="K405" s="110"/>
      <c r="L405" s="15"/>
      <c r="M405" s="110"/>
      <c r="N405" s="15"/>
      <c r="O405" s="110"/>
      <c r="P405" s="15"/>
      <c r="Q405" s="110"/>
      <c r="R405" s="15"/>
      <c r="S405" s="110"/>
      <c r="T405" s="15"/>
      <c r="U405" s="110"/>
      <c r="V405" s="15"/>
    </row>
    <row r="406" spans="8:22" x14ac:dyDescent="0.2">
      <c r="H406" s="15"/>
      <c r="I406" s="110"/>
      <c r="J406" s="15"/>
      <c r="K406" s="110"/>
      <c r="L406" s="15"/>
      <c r="M406" s="110"/>
      <c r="N406" s="15"/>
      <c r="O406" s="110"/>
      <c r="P406" s="15"/>
      <c r="Q406" s="110"/>
      <c r="R406" s="15"/>
      <c r="S406" s="110"/>
      <c r="T406" s="15"/>
      <c r="U406" s="110"/>
      <c r="V406" s="15"/>
    </row>
    <row r="407" spans="8:22" x14ac:dyDescent="0.2">
      <c r="H407" s="15"/>
      <c r="I407" s="110"/>
      <c r="J407" s="15"/>
      <c r="K407" s="110"/>
      <c r="L407" s="15"/>
      <c r="M407" s="110"/>
      <c r="N407" s="15"/>
      <c r="O407" s="110"/>
      <c r="P407" s="15"/>
      <c r="Q407" s="110"/>
      <c r="R407" s="15"/>
      <c r="S407" s="110"/>
      <c r="T407" s="15"/>
      <c r="U407" s="110"/>
      <c r="V407" s="15"/>
    </row>
    <row r="408" spans="8:22" x14ac:dyDescent="0.2">
      <c r="H408" s="15"/>
      <c r="I408" s="110"/>
      <c r="J408" s="15"/>
      <c r="K408" s="110"/>
      <c r="L408" s="15"/>
      <c r="M408" s="110"/>
      <c r="N408" s="15"/>
      <c r="O408" s="110"/>
      <c r="P408" s="15"/>
      <c r="Q408" s="110"/>
      <c r="R408" s="15"/>
      <c r="S408" s="110"/>
      <c r="T408" s="15"/>
      <c r="U408" s="110"/>
      <c r="V408" s="15"/>
    </row>
    <row r="409" spans="8:22" x14ac:dyDescent="0.2">
      <c r="H409" s="15"/>
      <c r="I409" s="110"/>
      <c r="J409" s="15"/>
      <c r="K409" s="110"/>
      <c r="L409" s="15"/>
      <c r="M409" s="110"/>
      <c r="N409" s="15"/>
      <c r="O409" s="110"/>
      <c r="P409" s="15"/>
      <c r="Q409" s="110"/>
      <c r="R409" s="15"/>
      <c r="S409" s="110"/>
      <c r="T409" s="15"/>
      <c r="U409" s="110"/>
      <c r="V409" s="15"/>
    </row>
    <row r="410" spans="8:22" x14ac:dyDescent="0.2">
      <c r="H410" s="15"/>
      <c r="I410" s="110"/>
      <c r="J410" s="15"/>
      <c r="K410" s="110"/>
      <c r="L410" s="15"/>
      <c r="M410" s="110"/>
      <c r="N410" s="15"/>
      <c r="O410" s="110"/>
      <c r="P410" s="15"/>
      <c r="Q410" s="110"/>
      <c r="R410" s="15"/>
      <c r="S410" s="110"/>
      <c r="T410" s="15"/>
      <c r="U410" s="110"/>
      <c r="V410" s="15"/>
    </row>
    <row r="411" spans="8:22" x14ac:dyDescent="0.2">
      <c r="H411" s="15"/>
      <c r="I411" s="110"/>
      <c r="J411" s="15"/>
      <c r="K411" s="110"/>
      <c r="L411" s="15"/>
      <c r="M411" s="110"/>
      <c r="N411" s="15"/>
      <c r="O411" s="110"/>
      <c r="P411" s="15"/>
      <c r="Q411" s="110"/>
      <c r="R411" s="15"/>
      <c r="S411" s="110"/>
      <c r="T411" s="15"/>
      <c r="U411" s="110"/>
      <c r="V411" s="15"/>
    </row>
    <row r="412" spans="8:22" x14ac:dyDescent="0.2">
      <c r="H412" s="15"/>
      <c r="I412" s="110"/>
      <c r="J412" s="15"/>
      <c r="K412" s="110"/>
      <c r="L412" s="15"/>
      <c r="M412" s="110"/>
      <c r="N412" s="15"/>
      <c r="O412" s="110"/>
      <c r="P412" s="15"/>
      <c r="Q412" s="110"/>
      <c r="R412" s="15"/>
      <c r="S412" s="110"/>
      <c r="T412" s="15"/>
      <c r="U412" s="110"/>
      <c r="V412" s="15"/>
    </row>
    <row r="413" spans="8:22" x14ac:dyDescent="0.2">
      <c r="H413" s="15"/>
      <c r="I413" s="110"/>
      <c r="J413" s="15"/>
      <c r="K413" s="110"/>
      <c r="L413" s="15"/>
      <c r="M413" s="110"/>
      <c r="N413" s="15"/>
      <c r="O413" s="110"/>
      <c r="P413" s="15"/>
      <c r="Q413" s="110"/>
      <c r="R413" s="15"/>
      <c r="S413" s="110"/>
      <c r="T413" s="15"/>
      <c r="U413" s="110"/>
      <c r="V413" s="15"/>
    </row>
    <row r="414" spans="8:22" x14ac:dyDescent="0.2">
      <c r="H414" s="15"/>
      <c r="I414" s="110"/>
      <c r="J414" s="15"/>
      <c r="K414" s="110"/>
      <c r="L414" s="15"/>
      <c r="M414" s="110"/>
      <c r="N414" s="15"/>
      <c r="O414" s="110"/>
      <c r="P414" s="15"/>
      <c r="Q414" s="110"/>
      <c r="R414" s="15"/>
      <c r="S414" s="110"/>
      <c r="T414" s="15"/>
      <c r="U414" s="110"/>
      <c r="V414" s="15"/>
    </row>
    <row r="415" spans="8:22" x14ac:dyDescent="0.2">
      <c r="H415" s="15"/>
      <c r="I415" s="110"/>
      <c r="J415" s="15"/>
      <c r="K415" s="110"/>
      <c r="L415" s="15"/>
      <c r="M415" s="110"/>
      <c r="N415" s="15"/>
      <c r="O415" s="110"/>
      <c r="P415" s="15"/>
      <c r="Q415" s="110"/>
      <c r="R415" s="15"/>
      <c r="S415" s="110"/>
      <c r="T415" s="15"/>
      <c r="U415" s="110"/>
      <c r="V415" s="15"/>
    </row>
    <row r="416" spans="8:22" x14ac:dyDescent="0.2">
      <c r="H416" s="15"/>
      <c r="I416" s="110"/>
      <c r="J416" s="15"/>
      <c r="K416" s="110"/>
      <c r="L416" s="15"/>
      <c r="M416" s="110"/>
      <c r="N416" s="15"/>
      <c r="O416" s="110"/>
      <c r="P416" s="15"/>
      <c r="Q416" s="110"/>
      <c r="R416" s="15"/>
      <c r="S416" s="110"/>
      <c r="T416" s="15"/>
      <c r="U416" s="110"/>
      <c r="V416" s="15"/>
    </row>
    <row r="417" spans="8:22" x14ac:dyDescent="0.2">
      <c r="H417" s="15"/>
      <c r="I417" s="110"/>
      <c r="J417" s="15"/>
      <c r="K417" s="110"/>
      <c r="L417" s="15"/>
      <c r="M417" s="110"/>
      <c r="N417" s="15"/>
      <c r="O417" s="110"/>
      <c r="P417" s="15"/>
      <c r="Q417" s="110"/>
      <c r="R417" s="15"/>
      <c r="S417" s="110"/>
      <c r="T417" s="15"/>
      <c r="U417" s="110"/>
      <c r="V417" s="15"/>
    </row>
    <row r="418" spans="8:22" x14ac:dyDescent="0.2">
      <c r="H418" s="15"/>
      <c r="I418" s="110"/>
      <c r="J418" s="15"/>
      <c r="K418" s="110"/>
      <c r="L418" s="15"/>
      <c r="M418" s="110"/>
      <c r="N418" s="15"/>
      <c r="O418" s="110"/>
      <c r="P418" s="15"/>
      <c r="Q418" s="110"/>
      <c r="R418" s="15"/>
      <c r="S418" s="110"/>
      <c r="T418" s="15"/>
      <c r="U418" s="110"/>
      <c r="V418" s="15"/>
    </row>
    <row r="419" spans="8:22" x14ac:dyDescent="0.2">
      <c r="H419" s="15"/>
      <c r="I419" s="110"/>
      <c r="J419" s="15"/>
      <c r="K419" s="110"/>
      <c r="L419" s="15"/>
      <c r="M419" s="110"/>
      <c r="N419" s="15"/>
      <c r="O419" s="110"/>
      <c r="P419" s="15"/>
      <c r="Q419" s="110"/>
      <c r="R419" s="15"/>
      <c r="S419" s="110"/>
      <c r="T419" s="15"/>
      <c r="U419" s="110"/>
      <c r="V419" s="15"/>
    </row>
    <row r="420" spans="8:22" x14ac:dyDescent="0.2">
      <c r="H420" s="15"/>
      <c r="I420" s="110"/>
      <c r="J420" s="15"/>
      <c r="K420" s="110"/>
      <c r="L420" s="15"/>
      <c r="M420" s="110"/>
      <c r="N420" s="15"/>
      <c r="O420" s="110"/>
      <c r="P420" s="15"/>
      <c r="Q420" s="110"/>
      <c r="R420" s="15"/>
      <c r="S420" s="110"/>
      <c r="T420" s="15"/>
      <c r="U420" s="110"/>
      <c r="V420" s="15"/>
    </row>
    <row r="421" spans="8:22" x14ac:dyDescent="0.2">
      <c r="H421" s="15"/>
      <c r="I421" s="110"/>
      <c r="J421" s="15"/>
      <c r="K421" s="110"/>
      <c r="L421" s="15"/>
      <c r="M421" s="110"/>
      <c r="N421" s="15"/>
      <c r="O421" s="110"/>
      <c r="P421" s="15"/>
      <c r="Q421" s="110"/>
      <c r="R421" s="15"/>
      <c r="S421" s="110"/>
      <c r="T421" s="15"/>
      <c r="U421" s="110"/>
      <c r="V421" s="15"/>
    </row>
    <row r="422" spans="8:22" x14ac:dyDescent="0.2">
      <c r="H422" s="15"/>
      <c r="I422" s="110"/>
      <c r="J422" s="15"/>
      <c r="K422" s="110"/>
      <c r="L422" s="15"/>
      <c r="M422" s="110"/>
      <c r="N422" s="15"/>
      <c r="O422" s="110"/>
      <c r="P422" s="15"/>
      <c r="Q422" s="110"/>
      <c r="R422" s="15"/>
      <c r="S422" s="110"/>
      <c r="T422" s="15"/>
      <c r="U422" s="110"/>
      <c r="V422" s="15"/>
    </row>
    <row r="423" spans="8:22" x14ac:dyDescent="0.2">
      <c r="H423" s="15"/>
      <c r="I423" s="110"/>
      <c r="J423" s="15"/>
      <c r="K423" s="110"/>
      <c r="L423" s="15"/>
      <c r="M423" s="110"/>
      <c r="N423" s="15"/>
      <c r="O423" s="110"/>
      <c r="P423" s="15"/>
      <c r="Q423" s="110"/>
      <c r="R423" s="15"/>
      <c r="S423" s="110"/>
      <c r="T423" s="15"/>
      <c r="U423" s="110"/>
      <c r="V423" s="15"/>
    </row>
    <row r="424" spans="8:22" x14ac:dyDescent="0.2">
      <c r="H424" s="15"/>
      <c r="I424" s="110"/>
      <c r="J424" s="15"/>
      <c r="K424" s="110"/>
      <c r="L424" s="15"/>
      <c r="M424" s="110"/>
      <c r="N424" s="15"/>
      <c r="O424" s="110"/>
      <c r="P424" s="15"/>
      <c r="Q424" s="110"/>
      <c r="R424" s="15"/>
      <c r="S424" s="110"/>
      <c r="T424" s="15"/>
      <c r="U424" s="110"/>
      <c r="V424" s="15"/>
    </row>
    <row r="425" spans="8:22" x14ac:dyDescent="0.2">
      <c r="H425" s="15"/>
      <c r="I425" s="110"/>
      <c r="J425" s="15"/>
      <c r="K425" s="110"/>
      <c r="L425" s="15"/>
      <c r="M425" s="110"/>
      <c r="N425" s="15"/>
      <c r="O425" s="110"/>
      <c r="P425" s="15"/>
      <c r="Q425" s="110"/>
      <c r="R425" s="15"/>
      <c r="S425" s="110"/>
      <c r="T425" s="15"/>
      <c r="U425" s="110"/>
      <c r="V425" s="15"/>
    </row>
    <row r="426" spans="8:22" x14ac:dyDescent="0.2">
      <c r="H426" s="15"/>
      <c r="I426" s="110"/>
      <c r="J426" s="15"/>
      <c r="K426" s="110"/>
      <c r="L426" s="15"/>
      <c r="M426" s="110"/>
      <c r="N426" s="15"/>
      <c r="O426" s="110"/>
      <c r="P426" s="15"/>
      <c r="Q426" s="110"/>
      <c r="R426" s="15"/>
      <c r="S426" s="110"/>
      <c r="T426" s="15"/>
      <c r="U426" s="110"/>
      <c r="V426" s="15"/>
    </row>
    <row r="427" spans="8:22" x14ac:dyDescent="0.2">
      <c r="H427" s="15"/>
      <c r="I427" s="110"/>
      <c r="J427" s="15"/>
      <c r="K427" s="110"/>
      <c r="L427" s="15"/>
      <c r="M427" s="110"/>
      <c r="N427" s="15"/>
      <c r="O427" s="110"/>
      <c r="P427" s="15"/>
      <c r="Q427" s="110"/>
      <c r="R427" s="15"/>
      <c r="S427" s="110"/>
      <c r="T427" s="15"/>
      <c r="U427" s="110"/>
      <c r="V427" s="15"/>
    </row>
    <row r="428" spans="8:22" x14ac:dyDescent="0.2">
      <c r="H428" s="15"/>
      <c r="I428" s="110"/>
      <c r="J428" s="15"/>
      <c r="K428" s="110"/>
      <c r="L428" s="15"/>
      <c r="M428" s="110"/>
      <c r="N428" s="15"/>
      <c r="O428" s="110"/>
      <c r="P428" s="15"/>
      <c r="Q428" s="110"/>
      <c r="R428" s="15"/>
      <c r="S428" s="110"/>
      <c r="T428" s="15"/>
      <c r="U428" s="110"/>
      <c r="V428" s="15"/>
    </row>
    <row r="429" spans="8:22" x14ac:dyDescent="0.2">
      <c r="H429" s="15"/>
      <c r="I429" s="110"/>
      <c r="J429" s="15"/>
      <c r="K429" s="110"/>
      <c r="L429" s="15"/>
      <c r="M429" s="110"/>
      <c r="N429" s="15"/>
      <c r="O429" s="110"/>
      <c r="P429" s="15"/>
      <c r="Q429" s="110"/>
      <c r="R429" s="15"/>
      <c r="S429" s="110"/>
      <c r="T429" s="15"/>
      <c r="U429" s="110"/>
      <c r="V429" s="15"/>
    </row>
    <row r="430" spans="8:22" x14ac:dyDescent="0.2">
      <c r="H430" s="15"/>
      <c r="I430" s="110"/>
      <c r="J430" s="15"/>
      <c r="K430" s="110"/>
      <c r="L430" s="15"/>
      <c r="M430" s="110"/>
      <c r="N430" s="15"/>
      <c r="O430" s="110"/>
      <c r="P430" s="15"/>
      <c r="Q430" s="110"/>
      <c r="R430" s="15"/>
      <c r="S430" s="110"/>
      <c r="T430" s="15"/>
      <c r="U430" s="110"/>
      <c r="V430" s="15"/>
    </row>
    <row r="431" spans="8:22" x14ac:dyDescent="0.2">
      <c r="H431" s="15"/>
      <c r="I431" s="110"/>
      <c r="J431" s="15"/>
      <c r="K431" s="110"/>
      <c r="L431" s="15"/>
      <c r="M431" s="110"/>
      <c r="N431" s="15"/>
      <c r="O431" s="110"/>
      <c r="P431" s="15"/>
      <c r="Q431" s="110"/>
      <c r="R431" s="15"/>
      <c r="S431" s="110"/>
      <c r="T431" s="15"/>
      <c r="U431" s="110"/>
      <c r="V431" s="15"/>
    </row>
    <row r="432" spans="8:22" x14ac:dyDescent="0.2">
      <c r="H432" s="15"/>
      <c r="I432" s="110"/>
      <c r="J432" s="15"/>
      <c r="K432" s="110"/>
      <c r="L432" s="15"/>
      <c r="M432" s="110"/>
      <c r="N432" s="15"/>
      <c r="O432" s="110"/>
      <c r="P432" s="15"/>
      <c r="Q432" s="110"/>
      <c r="R432" s="15"/>
      <c r="S432" s="110"/>
      <c r="T432" s="15"/>
      <c r="U432" s="110"/>
      <c r="V432" s="15"/>
    </row>
    <row r="433" spans="8:22" x14ac:dyDescent="0.2">
      <c r="H433" s="15"/>
      <c r="I433" s="110"/>
      <c r="J433" s="15"/>
      <c r="K433" s="110"/>
      <c r="L433" s="15"/>
      <c r="M433" s="110"/>
      <c r="N433" s="15"/>
      <c r="O433" s="110"/>
      <c r="P433" s="15"/>
      <c r="Q433" s="110"/>
      <c r="R433" s="15"/>
      <c r="S433" s="110"/>
      <c r="T433" s="15"/>
      <c r="U433" s="110"/>
      <c r="V433" s="15"/>
    </row>
    <row r="434" spans="8:22" x14ac:dyDescent="0.2">
      <c r="H434" s="15"/>
      <c r="I434" s="110"/>
      <c r="J434" s="15"/>
      <c r="K434" s="110"/>
      <c r="L434" s="15"/>
      <c r="M434" s="110"/>
      <c r="N434" s="15"/>
      <c r="O434" s="110"/>
      <c r="P434" s="15"/>
      <c r="Q434" s="110"/>
      <c r="R434" s="15"/>
      <c r="S434" s="110"/>
      <c r="T434" s="15"/>
      <c r="U434" s="110"/>
      <c r="V434" s="15"/>
    </row>
    <row r="435" spans="8:22" x14ac:dyDescent="0.2">
      <c r="H435" s="15"/>
      <c r="I435" s="110"/>
      <c r="J435" s="15"/>
      <c r="K435" s="110"/>
      <c r="L435" s="15"/>
      <c r="M435" s="110"/>
      <c r="N435" s="15"/>
      <c r="O435" s="110"/>
      <c r="P435" s="15"/>
      <c r="Q435" s="110"/>
      <c r="R435" s="15"/>
      <c r="S435" s="110"/>
      <c r="T435" s="15"/>
      <c r="U435" s="110"/>
      <c r="V435" s="15"/>
    </row>
    <row r="436" spans="8:22" x14ac:dyDescent="0.2">
      <c r="H436" s="15"/>
      <c r="I436" s="110"/>
      <c r="J436" s="15"/>
      <c r="K436" s="110"/>
      <c r="L436" s="15"/>
      <c r="M436" s="110"/>
      <c r="N436" s="15"/>
      <c r="O436" s="110"/>
      <c r="P436" s="15"/>
      <c r="Q436" s="110"/>
      <c r="R436" s="15"/>
      <c r="S436" s="110"/>
      <c r="T436" s="15"/>
      <c r="U436" s="110"/>
      <c r="V436" s="15"/>
    </row>
    <row r="437" spans="8:22" x14ac:dyDescent="0.2">
      <c r="H437" s="15"/>
      <c r="I437" s="110"/>
      <c r="J437" s="15"/>
      <c r="K437" s="110"/>
      <c r="L437" s="15"/>
      <c r="M437" s="110"/>
      <c r="N437" s="15"/>
      <c r="O437" s="110"/>
      <c r="P437" s="15"/>
      <c r="Q437" s="110"/>
      <c r="R437" s="15"/>
      <c r="S437" s="110"/>
      <c r="T437" s="15"/>
      <c r="U437" s="110"/>
      <c r="V437" s="15"/>
    </row>
    <row r="438" spans="8:22" x14ac:dyDescent="0.2">
      <c r="H438" s="15"/>
      <c r="I438" s="110"/>
      <c r="J438" s="15"/>
      <c r="K438" s="110"/>
      <c r="L438" s="15"/>
      <c r="M438" s="110"/>
      <c r="N438" s="15"/>
      <c r="O438" s="110"/>
      <c r="P438" s="15"/>
      <c r="Q438" s="110"/>
      <c r="R438" s="15"/>
      <c r="S438" s="110"/>
      <c r="T438" s="15"/>
      <c r="U438" s="110"/>
      <c r="V438" s="15"/>
    </row>
    <row r="439" spans="8:22" x14ac:dyDescent="0.2">
      <c r="H439" s="15"/>
      <c r="I439" s="110"/>
      <c r="J439" s="15"/>
      <c r="K439" s="110"/>
      <c r="L439" s="15"/>
      <c r="M439" s="110"/>
      <c r="N439" s="15"/>
      <c r="O439" s="110"/>
      <c r="P439" s="15"/>
      <c r="Q439" s="110"/>
      <c r="R439" s="15"/>
      <c r="S439" s="110"/>
      <c r="T439" s="15"/>
      <c r="U439" s="110"/>
      <c r="V439" s="15"/>
    </row>
    <row r="440" spans="8:22" x14ac:dyDescent="0.2">
      <c r="H440" s="15"/>
      <c r="I440" s="110"/>
      <c r="J440" s="15"/>
      <c r="K440" s="110"/>
      <c r="L440" s="15"/>
      <c r="M440" s="110"/>
      <c r="N440" s="15"/>
      <c r="O440" s="110"/>
      <c r="P440" s="15"/>
      <c r="Q440" s="110"/>
      <c r="R440" s="15"/>
      <c r="S440" s="110"/>
      <c r="T440" s="15"/>
      <c r="U440" s="110"/>
      <c r="V440" s="15"/>
    </row>
    <row r="441" spans="8:22" x14ac:dyDescent="0.2">
      <c r="H441" s="15"/>
      <c r="I441" s="110"/>
      <c r="J441" s="15"/>
      <c r="K441" s="110"/>
      <c r="L441" s="15"/>
      <c r="M441" s="110"/>
      <c r="N441" s="15"/>
      <c r="O441" s="110"/>
      <c r="P441" s="15"/>
      <c r="Q441" s="110"/>
      <c r="R441" s="15"/>
      <c r="S441" s="110"/>
      <c r="T441" s="15"/>
      <c r="U441" s="110"/>
      <c r="V441" s="15"/>
    </row>
    <row r="442" spans="8:22" x14ac:dyDescent="0.2">
      <c r="H442" s="15"/>
      <c r="I442" s="110"/>
      <c r="J442" s="15"/>
      <c r="K442" s="110"/>
      <c r="L442" s="15"/>
      <c r="M442" s="110"/>
      <c r="N442" s="15"/>
      <c r="O442" s="110"/>
      <c r="P442" s="15"/>
      <c r="Q442" s="110"/>
      <c r="R442" s="15"/>
      <c r="S442" s="110"/>
      <c r="T442" s="15"/>
      <c r="U442" s="110"/>
      <c r="V442" s="15"/>
    </row>
    <row r="443" spans="8:22" x14ac:dyDescent="0.2">
      <c r="H443" s="15"/>
      <c r="I443" s="110"/>
      <c r="J443" s="15"/>
      <c r="K443" s="110"/>
      <c r="L443" s="15"/>
      <c r="M443" s="110"/>
      <c r="N443" s="15"/>
      <c r="O443" s="110"/>
      <c r="P443" s="15"/>
      <c r="Q443" s="110"/>
      <c r="R443" s="15"/>
      <c r="S443" s="110"/>
      <c r="T443" s="15"/>
      <c r="U443" s="110"/>
      <c r="V443" s="15"/>
    </row>
    <row r="444" spans="8:22" x14ac:dyDescent="0.2">
      <c r="H444" s="15"/>
      <c r="I444" s="110"/>
      <c r="J444" s="15"/>
      <c r="K444" s="110"/>
      <c r="L444" s="15"/>
      <c r="M444" s="110"/>
      <c r="N444" s="15"/>
      <c r="O444" s="110"/>
      <c r="P444" s="15"/>
      <c r="Q444" s="110"/>
      <c r="R444" s="15"/>
      <c r="S444" s="110"/>
      <c r="T444" s="15"/>
      <c r="U444" s="110"/>
      <c r="V444" s="15"/>
    </row>
    <row r="445" spans="8:22" x14ac:dyDescent="0.2">
      <c r="H445" s="15"/>
      <c r="I445" s="110"/>
      <c r="J445" s="15"/>
      <c r="K445" s="110"/>
      <c r="L445" s="15"/>
      <c r="M445" s="110"/>
      <c r="N445" s="15"/>
      <c r="O445" s="110"/>
      <c r="P445" s="15"/>
      <c r="Q445" s="110"/>
      <c r="R445" s="15"/>
      <c r="S445" s="110"/>
      <c r="T445" s="15"/>
      <c r="U445" s="110"/>
      <c r="V445" s="15"/>
    </row>
    <row r="446" spans="8:22" x14ac:dyDescent="0.2">
      <c r="H446" s="15"/>
      <c r="I446" s="110"/>
      <c r="J446" s="15"/>
      <c r="K446" s="110"/>
      <c r="L446" s="15"/>
      <c r="M446" s="110"/>
      <c r="N446" s="15"/>
      <c r="O446" s="110"/>
      <c r="P446" s="15"/>
      <c r="Q446" s="110"/>
      <c r="R446" s="15"/>
      <c r="S446" s="110"/>
      <c r="T446" s="15"/>
      <c r="U446" s="110"/>
      <c r="V446" s="15"/>
    </row>
    <row r="447" spans="8:22" x14ac:dyDescent="0.2">
      <c r="H447" s="15"/>
      <c r="I447" s="110"/>
      <c r="J447" s="15"/>
      <c r="K447" s="110"/>
      <c r="L447" s="15"/>
      <c r="M447" s="110"/>
      <c r="N447" s="15"/>
      <c r="O447" s="110"/>
      <c r="P447" s="15"/>
      <c r="Q447" s="110"/>
      <c r="R447" s="15"/>
      <c r="S447" s="110"/>
      <c r="T447" s="15"/>
      <c r="U447" s="110"/>
      <c r="V447" s="15"/>
    </row>
    <row r="448" spans="8:22" x14ac:dyDescent="0.2">
      <c r="H448" s="15"/>
      <c r="I448" s="110"/>
      <c r="J448" s="15"/>
      <c r="K448" s="110"/>
      <c r="L448" s="15"/>
      <c r="M448" s="110"/>
      <c r="N448" s="15"/>
      <c r="O448" s="110"/>
      <c r="P448" s="15"/>
      <c r="Q448" s="110"/>
      <c r="R448" s="15"/>
      <c r="S448" s="110"/>
      <c r="T448" s="15"/>
      <c r="U448" s="110"/>
      <c r="V448" s="15"/>
    </row>
    <row r="449" spans="8:22" x14ac:dyDescent="0.2">
      <c r="H449" s="15"/>
      <c r="I449" s="110"/>
      <c r="J449" s="15"/>
      <c r="K449" s="110"/>
      <c r="L449" s="15"/>
      <c r="M449" s="110"/>
      <c r="N449" s="15"/>
      <c r="O449" s="110"/>
      <c r="P449" s="15"/>
      <c r="Q449" s="110"/>
      <c r="R449" s="15"/>
      <c r="S449" s="110"/>
      <c r="T449" s="15"/>
      <c r="U449" s="110"/>
      <c r="V449" s="15"/>
    </row>
    <row r="450" spans="8:22" x14ac:dyDescent="0.2">
      <c r="H450" s="15"/>
      <c r="I450" s="110"/>
      <c r="J450" s="15"/>
      <c r="K450" s="110"/>
      <c r="L450" s="15"/>
      <c r="M450" s="110"/>
      <c r="N450" s="15"/>
      <c r="O450" s="110"/>
      <c r="P450" s="15"/>
      <c r="Q450" s="110"/>
      <c r="R450" s="15"/>
      <c r="S450" s="110"/>
      <c r="T450" s="15"/>
      <c r="U450" s="110"/>
      <c r="V450" s="15"/>
    </row>
    <row r="451" spans="8:22" x14ac:dyDescent="0.2">
      <c r="H451" s="15"/>
      <c r="I451" s="110"/>
      <c r="J451" s="15"/>
      <c r="K451" s="110"/>
      <c r="L451" s="15"/>
      <c r="M451" s="110"/>
      <c r="N451" s="15"/>
      <c r="O451" s="110"/>
      <c r="P451" s="15"/>
      <c r="Q451" s="110"/>
      <c r="R451" s="15"/>
      <c r="S451" s="110"/>
      <c r="T451" s="15"/>
      <c r="U451" s="110"/>
      <c r="V451" s="15"/>
    </row>
    <row r="452" spans="8:22" x14ac:dyDescent="0.2">
      <c r="H452" s="15"/>
      <c r="I452" s="110"/>
      <c r="J452" s="15"/>
      <c r="K452" s="110"/>
      <c r="L452" s="15"/>
      <c r="M452" s="110"/>
      <c r="N452" s="15"/>
      <c r="O452" s="110"/>
      <c r="P452" s="15"/>
      <c r="Q452" s="110"/>
      <c r="R452" s="15"/>
      <c r="S452" s="110"/>
      <c r="T452" s="15"/>
      <c r="U452" s="110"/>
      <c r="V452" s="15"/>
    </row>
    <row r="453" spans="8:22" x14ac:dyDescent="0.2">
      <c r="H453" s="15"/>
      <c r="I453" s="110"/>
      <c r="J453" s="15"/>
      <c r="K453" s="110"/>
      <c r="L453" s="15"/>
      <c r="M453" s="110"/>
      <c r="N453" s="15"/>
      <c r="O453" s="110"/>
      <c r="P453" s="15"/>
      <c r="Q453" s="110"/>
      <c r="R453" s="15"/>
      <c r="S453" s="110"/>
      <c r="T453" s="15"/>
      <c r="U453" s="110"/>
      <c r="V453" s="15"/>
    </row>
    <row r="454" spans="8:22" x14ac:dyDescent="0.2">
      <c r="H454" s="15"/>
      <c r="I454" s="110"/>
      <c r="J454" s="15"/>
      <c r="K454" s="110"/>
      <c r="L454" s="15"/>
      <c r="M454" s="110"/>
      <c r="N454" s="15"/>
      <c r="O454" s="110"/>
      <c r="P454" s="15"/>
      <c r="Q454" s="110"/>
      <c r="R454" s="15"/>
      <c r="S454" s="110"/>
      <c r="T454" s="15"/>
      <c r="U454" s="110"/>
      <c r="V454" s="15"/>
    </row>
    <row r="455" spans="8:22" x14ac:dyDescent="0.2">
      <c r="H455" s="15"/>
      <c r="I455" s="110"/>
      <c r="J455" s="15"/>
      <c r="K455" s="110"/>
      <c r="L455" s="15"/>
      <c r="M455" s="110"/>
      <c r="N455" s="15"/>
      <c r="O455" s="110"/>
      <c r="P455" s="15"/>
      <c r="Q455" s="110"/>
      <c r="R455" s="15"/>
      <c r="S455" s="110"/>
      <c r="T455" s="15"/>
      <c r="U455" s="110"/>
      <c r="V455" s="15"/>
    </row>
    <row r="456" spans="8:22" x14ac:dyDescent="0.2">
      <c r="H456" s="15"/>
      <c r="I456" s="110"/>
      <c r="J456" s="15"/>
      <c r="K456" s="110"/>
      <c r="L456" s="15"/>
      <c r="M456" s="110"/>
      <c r="N456" s="15"/>
      <c r="O456" s="110"/>
      <c r="P456" s="15"/>
      <c r="Q456" s="110"/>
      <c r="R456" s="15"/>
      <c r="S456" s="110"/>
      <c r="T456" s="15"/>
      <c r="U456" s="110"/>
      <c r="V456" s="15"/>
    </row>
    <row r="457" spans="8:22" x14ac:dyDescent="0.2">
      <c r="H457" s="15"/>
      <c r="I457" s="110"/>
      <c r="J457" s="15"/>
      <c r="K457" s="110"/>
      <c r="L457" s="15"/>
      <c r="M457" s="110"/>
      <c r="N457" s="15"/>
      <c r="O457" s="110"/>
      <c r="P457" s="15"/>
      <c r="Q457" s="110"/>
      <c r="R457" s="15"/>
      <c r="S457" s="110"/>
      <c r="T457" s="15"/>
      <c r="U457" s="110"/>
      <c r="V457" s="15"/>
    </row>
    <row r="458" spans="8:22" x14ac:dyDescent="0.2">
      <c r="H458" s="15"/>
      <c r="I458" s="110"/>
      <c r="J458" s="15"/>
      <c r="K458" s="110"/>
      <c r="L458" s="15"/>
      <c r="M458" s="110"/>
      <c r="N458" s="15"/>
      <c r="O458" s="110"/>
      <c r="P458" s="15"/>
      <c r="Q458" s="110"/>
      <c r="R458" s="15"/>
      <c r="S458" s="110"/>
      <c r="T458" s="15"/>
      <c r="U458" s="110"/>
      <c r="V458" s="15"/>
    </row>
    <row r="459" spans="8:22" x14ac:dyDescent="0.2">
      <c r="H459" s="15"/>
      <c r="I459" s="110"/>
      <c r="J459" s="15"/>
      <c r="K459" s="110"/>
      <c r="L459" s="15"/>
      <c r="M459" s="110"/>
      <c r="N459" s="15"/>
      <c r="O459" s="110"/>
      <c r="P459" s="15"/>
      <c r="Q459" s="110"/>
      <c r="R459" s="15"/>
      <c r="S459" s="110"/>
      <c r="T459" s="15"/>
      <c r="U459" s="110"/>
      <c r="V459" s="15"/>
    </row>
    <row r="460" spans="8:22" x14ac:dyDescent="0.2">
      <c r="H460" s="15"/>
      <c r="I460" s="110"/>
      <c r="J460" s="15"/>
      <c r="K460" s="110"/>
      <c r="L460" s="15"/>
      <c r="M460" s="110"/>
      <c r="N460" s="15"/>
      <c r="O460" s="110"/>
      <c r="P460" s="15"/>
      <c r="Q460" s="110"/>
      <c r="R460" s="15"/>
      <c r="S460" s="110"/>
      <c r="T460" s="15"/>
      <c r="U460" s="110"/>
      <c r="V460" s="15"/>
    </row>
    <row r="461" spans="8:22" x14ac:dyDescent="0.2">
      <c r="H461" s="15"/>
      <c r="I461" s="110"/>
      <c r="J461" s="15"/>
      <c r="K461" s="110"/>
      <c r="L461" s="15"/>
      <c r="M461" s="110"/>
      <c r="N461" s="15"/>
      <c r="O461" s="110"/>
      <c r="P461" s="15"/>
      <c r="Q461" s="110"/>
      <c r="R461" s="15"/>
      <c r="S461" s="110"/>
      <c r="T461" s="15"/>
      <c r="U461" s="110"/>
      <c r="V461" s="15"/>
    </row>
    <row r="462" spans="8:22" x14ac:dyDescent="0.2">
      <c r="H462" s="15"/>
      <c r="I462" s="110"/>
      <c r="J462" s="15"/>
      <c r="K462" s="110"/>
      <c r="L462" s="15"/>
      <c r="M462" s="110"/>
      <c r="N462" s="15"/>
      <c r="O462" s="110"/>
      <c r="P462" s="15"/>
      <c r="Q462" s="110"/>
      <c r="R462" s="15"/>
      <c r="S462" s="110"/>
      <c r="T462" s="15"/>
      <c r="U462" s="110"/>
      <c r="V462" s="15"/>
    </row>
    <row r="463" spans="8:22" x14ac:dyDescent="0.2">
      <c r="H463" s="15"/>
      <c r="I463" s="110"/>
      <c r="J463" s="15"/>
      <c r="K463" s="110"/>
      <c r="L463" s="15"/>
      <c r="M463" s="110"/>
      <c r="N463" s="15"/>
      <c r="O463" s="110"/>
      <c r="P463" s="15"/>
      <c r="Q463" s="110"/>
      <c r="R463" s="15"/>
      <c r="S463" s="110"/>
      <c r="T463" s="15"/>
      <c r="U463" s="110"/>
      <c r="V463" s="15"/>
    </row>
    <row r="464" spans="8:22" x14ac:dyDescent="0.2">
      <c r="H464" s="15"/>
      <c r="I464" s="110"/>
      <c r="J464" s="15"/>
      <c r="K464" s="110"/>
      <c r="L464" s="15"/>
      <c r="M464" s="110"/>
      <c r="N464" s="15"/>
      <c r="O464" s="110"/>
      <c r="P464" s="15"/>
      <c r="Q464" s="110"/>
      <c r="R464" s="15"/>
      <c r="S464" s="110"/>
      <c r="T464" s="15"/>
      <c r="U464" s="110"/>
      <c r="V464" s="15"/>
    </row>
    <row r="465" spans="8:22" x14ac:dyDescent="0.2">
      <c r="H465" s="15"/>
      <c r="I465" s="110"/>
      <c r="J465" s="15"/>
      <c r="K465" s="110"/>
      <c r="L465" s="15"/>
      <c r="M465" s="110"/>
      <c r="N465" s="15"/>
      <c r="O465" s="110"/>
      <c r="P465" s="15"/>
      <c r="Q465" s="110"/>
      <c r="R465" s="15"/>
      <c r="S465" s="110"/>
      <c r="T465" s="15"/>
      <c r="U465" s="110"/>
      <c r="V465" s="15"/>
    </row>
    <row r="466" spans="8:22" x14ac:dyDescent="0.2">
      <c r="H466" s="15"/>
      <c r="I466" s="110"/>
      <c r="J466" s="15"/>
      <c r="K466" s="110"/>
      <c r="L466" s="15"/>
      <c r="M466" s="110"/>
      <c r="N466" s="15"/>
      <c r="O466" s="110"/>
      <c r="P466" s="15"/>
      <c r="Q466" s="110"/>
      <c r="R466" s="15"/>
      <c r="S466" s="110"/>
      <c r="T466" s="15"/>
      <c r="U466" s="110"/>
      <c r="V466" s="15"/>
    </row>
    <row r="467" spans="8:22" x14ac:dyDescent="0.2">
      <c r="H467" s="15"/>
      <c r="I467" s="110"/>
      <c r="J467" s="15"/>
      <c r="K467" s="110"/>
      <c r="L467" s="15"/>
      <c r="M467" s="110"/>
      <c r="N467" s="15"/>
      <c r="O467" s="110"/>
      <c r="P467" s="15"/>
      <c r="Q467" s="110"/>
      <c r="R467" s="15"/>
      <c r="S467" s="110"/>
      <c r="T467" s="15"/>
      <c r="U467" s="110"/>
      <c r="V467" s="15"/>
    </row>
    <row r="468" spans="8:22" x14ac:dyDescent="0.2">
      <c r="H468" s="15"/>
      <c r="I468" s="110"/>
      <c r="J468" s="15"/>
      <c r="K468" s="110"/>
      <c r="L468" s="15"/>
      <c r="M468" s="110"/>
      <c r="N468" s="15"/>
      <c r="O468" s="110"/>
      <c r="P468" s="15"/>
      <c r="Q468" s="110"/>
      <c r="R468" s="15"/>
      <c r="S468" s="110"/>
      <c r="T468" s="15"/>
      <c r="U468" s="110"/>
      <c r="V468" s="15"/>
    </row>
    <row r="469" spans="8:22" x14ac:dyDescent="0.2">
      <c r="H469" s="15"/>
      <c r="I469" s="110"/>
      <c r="J469" s="15"/>
      <c r="K469" s="110"/>
      <c r="L469" s="15"/>
      <c r="M469" s="110"/>
      <c r="N469" s="15"/>
      <c r="O469" s="110"/>
      <c r="P469" s="15"/>
      <c r="Q469" s="110"/>
      <c r="R469" s="15"/>
      <c r="S469" s="110"/>
      <c r="T469" s="15"/>
      <c r="U469" s="110"/>
      <c r="V469" s="15"/>
    </row>
    <row r="470" spans="8:22" x14ac:dyDescent="0.2">
      <c r="H470" s="15"/>
      <c r="I470" s="110"/>
      <c r="J470" s="15"/>
      <c r="K470" s="110"/>
      <c r="L470" s="15"/>
      <c r="M470" s="110"/>
      <c r="N470" s="15"/>
      <c r="O470" s="110"/>
      <c r="P470" s="15"/>
      <c r="Q470" s="110"/>
      <c r="R470" s="15"/>
      <c r="S470" s="110"/>
      <c r="T470" s="15"/>
      <c r="U470" s="110"/>
      <c r="V470" s="15"/>
    </row>
    <row r="471" spans="8:22" x14ac:dyDescent="0.2">
      <c r="H471" s="15"/>
      <c r="I471" s="110"/>
      <c r="J471" s="15"/>
      <c r="K471" s="110"/>
      <c r="L471" s="15"/>
      <c r="M471" s="110"/>
      <c r="N471" s="15"/>
      <c r="O471" s="110"/>
      <c r="P471" s="15"/>
      <c r="Q471" s="110"/>
      <c r="R471" s="15"/>
      <c r="S471" s="110"/>
      <c r="T471" s="15"/>
      <c r="U471" s="110"/>
      <c r="V471" s="15"/>
    </row>
    <row r="472" spans="8:22" x14ac:dyDescent="0.2">
      <c r="H472" s="15"/>
      <c r="I472" s="110"/>
      <c r="J472" s="15"/>
      <c r="K472" s="110"/>
      <c r="L472" s="15"/>
      <c r="M472" s="110"/>
      <c r="N472" s="15"/>
      <c r="O472" s="110"/>
      <c r="P472" s="15"/>
      <c r="Q472" s="110"/>
      <c r="R472" s="15"/>
      <c r="S472" s="110"/>
      <c r="T472" s="15"/>
      <c r="U472" s="110"/>
      <c r="V472" s="15"/>
    </row>
    <row r="473" spans="8:22" x14ac:dyDescent="0.2">
      <c r="H473" s="15"/>
      <c r="I473" s="110"/>
      <c r="J473" s="15"/>
      <c r="K473" s="110"/>
      <c r="L473" s="15"/>
      <c r="M473" s="110"/>
      <c r="N473" s="15"/>
      <c r="O473" s="110"/>
      <c r="P473" s="15"/>
      <c r="Q473" s="110"/>
      <c r="R473" s="15"/>
      <c r="S473" s="110"/>
      <c r="T473" s="15"/>
      <c r="U473" s="110"/>
      <c r="V473" s="15"/>
    </row>
    <row r="474" spans="8:22" x14ac:dyDescent="0.2">
      <c r="H474" s="15"/>
      <c r="I474" s="110"/>
      <c r="J474" s="15"/>
      <c r="K474" s="110"/>
      <c r="L474" s="15"/>
      <c r="M474" s="110"/>
      <c r="N474" s="15"/>
      <c r="O474" s="110"/>
      <c r="P474" s="15"/>
      <c r="Q474" s="110"/>
      <c r="R474" s="15"/>
      <c r="S474" s="110"/>
      <c r="T474" s="15"/>
      <c r="U474" s="110"/>
      <c r="V474" s="15"/>
    </row>
    <row r="475" spans="8:22" x14ac:dyDescent="0.2">
      <c r="H475" s="15"/>
      <c r="I475" s="110"/>
      <c r="J475" s="15"/>
      <c r="K475" s="110"/>
      <c r="L475" s="15"/>
      <c r="M475" s="110"/>
      <c r="N475" s="15"/>
      <c r="O475" s="110"/>
      <c r="P475" s="15"/>
      <c r="Q475" s="110"/>
      <c r="R475" s="15"/>
      <c r="S475" s="110"/>
      <c r="T475" s="15"/>
      <c r="U475" s="110"/>
      <c r="V475" s="15"/>
    </row>
    <row r="476" spans="8:22" x14ac:dyDescent="0.2">
      <c r="H476" s="15"/>
      <c r="I476" s="110"/>
      <c r="J476" s="15"/>
      <c r="K476" s="110"/>
      <c r="L476" s="15"/>
      <c r="M476" s="110"/>
      <c r="N476" s="15"/>
      <c r="O476" s="110"/>
      <c r="P476" s="15"/>
      <c r="Q476" s="110"/>
      <c r="R476" s="15"/>
      <c r="S476" s="110"/>
      <c r="T476" s="15"/>
      <c r="U476" s="110"/>
      <c r="V476" s="15"/>
    </row>
    <row r="477" spans="8:22" x14ac:dyDescent="0.2">
      <c r="H477" s="15"/>
      <c r="I477" s="110"/>
      <c r="J477" s="15"/>
      <c r="K477" s="110"/>
      <c r="L477" s="15"/>
      <c r="M477" s="110"/>
      <c r="N477" s="15"/>
      <c r="O477" s="110"/>
      <c r="P477" s="15"/>
      <c r="Q477" s="110"/>
      <c r="R477" s="15"/>
      <c r="S477" s="110"/>
      <c r="T477" s="15"/>
      <c r="U477" s="110"/>
      <c r="V477" s="15"/>
    </row>
    <row r="478" spans="8:22" x14ac:dyDescent="0.2">
      <c r="H478" s="15"/>
      <c r="I478" s="110"/>
      <c r="J478" s="15"/>
      <c r="K478" s="110"/>
      <c r="L478" s="15"/>
      <c r="M478" s="110"/>
      <c r="N478" s="15"/>
      <c r="O478" s="110"/>
      <c r="P478" s="15"/>
      <c r="Q478" s="110"/>
      <c r="R478" s="15"/>
      <c r="S478" s="110"/>
      <c r="T478" s="15"/>
      <c r="U478" s="110"/>
      <c r="V478" s="15"/>
    </row>
    <row r="479" spans="8:22" x14ac:dyDescent="0.2">
      <c r="H479" s="15"/>
      <c r="I479" s="110"/>
      <c r="J479" s="15"/>
      <c r="K479" s="110"/>
      <c r="L479" s="15"/>
      <c r="M479" s="110"/>
      <c r="N479" s="15"/>
      <c r="O479" s="110"/>
      <c r="P479" s="15"/>
      <c r="Q479" s="110"/>
      <c r="R479" s="15"/>
      <c r="S479" s="110"/>
      <c r="T479" s="15"/>
      <c r="U479" s="110"/>
      <c r="V479" s="15"/>
    </row>
    <row r="480" spans="8:22" x14ac:dyDescent="0.2">
      <c r="H480" s="15"/>
      <c r="I480" s="110"/>
      <c r="J480" s="15"/>
      <c r="K480" s="110"/>
      <c r="L480" s="15"/>
      <c r="M480" s="110"/>
      <c r="N480" s="15"/>
      <c r="O480" s="110"/>
      <c r="P480" s="15"/>
      <c r="Q480" s="110"/>
      <c r="R480" s="15"/>
      <c r="S480" s="110"/>
      <c r="T480" s="15"/>
      <c r="U480" s="110"/>
      <c r="V480" s="15"/>
    </row>
    <row r="481" spans="8:22" x14ac:dyDescent="0.2">
      <c r="H481" s="15"/>
      <c r="I481" s="110"/>
      <c r="J481" s="15"/>
      <c r="K481" s="110"/>
      <c r="L481" s="15"/>
      <c r="M481" s="110"/>
      <c r="N481" s="15"/>
      <c r="O481" s="110"/>
      <c r="P481" s="15"/>
      <c r="Q481" s="110"/>
      <c r="R481" s="15"/>
      <c r="S481" s="110"/>
      <c r="T481" s="15"/>
      <c r="U481" s="110"/>
      <c r="V481" s="15"/>
    </row>
    <row r="482" spans="8:22" x14ac:dyDescent="0.2">
      <c r="H482" s="15"/>
      <c r="I482" s="110"/>
      <c r="J482" s="15"/>
      <c r="K482" s="110"/>
      <c r="L482" s="15"/>
      <c r="M482" s="110"/>
      <c r="N482" s="15"/>
      <c r="O482" s="110"/>
      <c r="P482" s="15"/>
      <c r="Q482" s="110"/>
      <c r="R482" s="15"/>
      <c r="S482" s="110"/>
      <c r="T482" s="15"/>
      <c r="U482" s="110"/>
      <c r="V482" s="15"/>
    </row>
    <row r="483" spans="8:22" x14ac:dyDescent="0.2">
      <c r="H483" s="15"/>
      <c r="I483" s="110"/>
      <c r="J483" s="15"/>
      <c r="K483" s="110"/>
      <c r="L483" s="15"/>
      <c r="M483" s="110"/>
      <c r="N483" s="15"/>
      <c r="O483" s="110"/>
      <c r="P483" s="15"/>
      <c r="Q483" s="110"/>
      <c r="R483" s="15"/>
      <c r="S483" s="110"/>
      <c r="T483" s="15"/>
      <c r="U483" s="110"/>
      <c r="V483" s="15"/>
    </row>
    <row r="484" spans="8:22" x14ac:dyDescent="0.2">
      <c r="H484" s="15"/>
      <c r="I484" s="110"/>
      <c r="J484" s="15"/>
      <c r="K484" s="110"/>
      <c r="L484" s="15"/>
      <c r="M484" s="110"/>
      <c r="N484" s="15"/>
      <c r="O484" s="110"/>
      <c r="P484" s="15"/>
      <c r="Q484" s="110"/>
      <c r="R484" s="15"/>
      <c r="S484" s="110"/>
      <c r="T484" s="15"/>
      <c r="U484" s="110"/>
      <c r="V484" s="15"/>
    </row>
    <row r="485" spans="8:22" x14ac:dyDescent="0.2">
      <c r="H485" s="15"/>
      <c r="I485" s="110"/>
      <c r="J485" s="15"/>
      <c r="K485" s="110"/>
      <c r="L485" s="15"/>
      <c r="M485" s="110"/>
      <c r="N485" s="15"/>
      <c r="O485" s="110"/>
      <c r="P485" s="15"/>
      <c r="Q485" s="110"/>
      <c r="R485" s="15"/>
      <c r="S485" s="110"/>
      <c r="T485" s="15"/>
      <c r="U485" s="110"/>
      <c r="V485" s="15"/>
    </row>
    <row r="486" spans="8:22" x14ac:dyDescent="0.2">
      <c r="H486" s="15"/>
      <c r="I486" s="110"/>
      <c r="J486" s="15"/>
      <c r="K486" s="110"/>
      <c r="L486" s="15"/>
      <c r="M486" s="110"/>
      <c r="N486" s="15"/>
      <c r="O486" s="110"/>
      <c r="P486" s="15"/>
      <c r="Q486" s="110"/>
      <c r="R486" s="15"/>
      <c r="S486" s="110"/>
      <c r="T486" s="15"/>
      <c r="U486" s="110"/>
      <c r="V486" s="15"/>
    </row>
    <row r="487" spans="8:22" x14ac:dyDescent="0.2">
      <c r="H487" s="15"/>
      <c r="I487" s="110"/>
      <c r="J487" s="15"/>
      <c r="K487" s="110"/>
      <c r="L487" s="15"/>
      <c r="M487" s="110"/>
      <c r="N487" s="15"/>
      <c r="O487" s="110"/>
      <c r="P487" s="15"/>
      <c r="Q487" s="110"/>
      <c r="R487" s="15"/>
      <c r="S487" s="110"/>
      <c r="T487" s="15"/>
      <c r="U487" s="110"/>
      <c r="V487" s="15"/>
    </row>
    <row r="488" spans="8:22" x14ac:dyDescent="0.2">
      <c r="H488" s="15"/>
      <c r="I488" s="110"/>
      <c r="J488" s="15"/>
      <c r="K488" s="110"/>
      <c r="L488" s="15"/>
      <c r="M488" s="110"/>
      <c r="N488" s="15"/>
      <c r="O488" s="110"/>
      <c r="P488" s="15"/>
      <c r="Q488" s="110"/>
      <c r="R488" s="15"/>
      <c r="S488" s="110"/>
      <c r="T488" s="15"/>
      <c r="U488" s="110"/>
      <c r="V488" s="15"/>
    </row>
    <row r="489" spans="8:22" x14ac:dyDescent="0.2">
      <c r="H489" s="15"/>
      <c r="I489" s="110"/>
      <c r="J489" s="15"/>
      <c r="K489" s="110"/>
      <c r="L489" s="15"/>
      <c r="M489" s="110"/>
      <c r="N489" s="15"/>
      <c r="O489" s="110"/>
      <c r="P489" s="15"/>
      <c r="Q489" s="110"/>
      <c r="R489" s="15"/>
      <c r="S489" s="110"/>
      <c r="T489" s="15"/>
      <c r="U489" s="110"/>
      <c r="V489" s="15"/>
    </row>
    <row r="490" spans="8:22" x14ac:dyDescent="0.2">
      <c r="H490" s="15"/>
      <c r="I490" s="110"/>
      <c r="J490" s="15"/>
      <c r="K490" s="110"/>
      <c r="L490" s="15"/>
      <c r="M490" s="110"/>
      <c r="N490" s="15"/>
      <c r="O490" s="110"/>
      <c r="P490" s="15"/>
      <c r="Q490" s="110"/>
      <c r="R490" s="15"/>
      <c r="S490" s="110"/>
      <c r="T490" s="15"/>
      <c r="U490" s="110"/>
      <c r="V490" s="15"/>
    </row>
    <row r="491" spans="8:22" x14ac:dyDescent="0.2">
      <c r="H491" s="15"/>
      <c r="I491" s="110"/>
      <c r="J491" s="15"/>
      <c r="K491" s="110"/>
      <c r="L491" s="15"/>
      <c r="M491" s="110"/>
      <c r="N491" s="15"/>
      <c r="O491" s="110"/>
      <c r="P491" s="15"/>
      <c r="Q491" s="110"/>
      <c r="R491" s="15"/>
      <c r="S491" s="110"/>
      <c r="T491" s="15"/>
      <c r="U491" s="110"/>
      <c r="V491" s="15"/>
    </row>
    <row r="492" spans="8:22" x14ac:dyDescent="0.2">
      <c r="H492" s="15"/>
      <c r="I492" s="110"/>
      <c r="J492" s="15"/>
      <c r="K492" s="110"/>
      <c r="L492" s="15"/>
      <c r="M492" s="110"/>
      <c r="N492" s="15"/>
      <c r="O492" s="110"/>
      <c r="P492" s="15"/>
      <c r="Q492" s="110"/>
      <c r="R492" s="15"/>
      <c r="S492" s="110"/>
      <c r="T492" s="15"/>
      <c r="U492" s="110"/>
      <c r="V492" s="15"/>
    </row>
    <row r="493" spans="8:22" x14ac:dyDescent="0.2">
      <c r="H493" s="15"/>
      <c r="I493" s="110"/>
      <c r="J493" s="15"/>
      <c r="K493" s="110"/>
      <c r="L493" s="15"/>
      <c r="M493" s="110"/>
      <c r="N493" s="15"/>
      <c r="O493" s="110"/>
      <c r="P493" s="15"/>
      <c r="Q493" s="110"/>
      <c r="R493" s="15"/>
      <c r="S493" s="110"/>
      <c r="T493" s="15"/>
      <c r="U493" s="110"/>
      <c r="V493" s="15"/>
    </row>
    <row r="494" spans="8:22" x14ac:dyDescent="0.2">
      <c r="H494" s="15"/>
      <c r="I494" s="110"/>
      <c r="J494" s="15"/>
      <c r="K494" s="110"/>
      <c r="L494" s="15"/>
      <c r="M494" s="110"/>
      <c r="N494" s="15"/>
      <c r="O494" s="110"/>
      <c r="P494" s="15"/>
      <c r="Q494" s="110"/>
      <c r="R494" s="15"/>
      <c r="S494" s="110"/>
      <c r="T494" s="15"/>
      <c r="U494" s="110"/>
      <c r="V494" s="15"/>
    </row>
    <row r="495" spans="8:22" x14ac:dyDescent="0.2">
      <c r="H495" s="15"/>
      <c r="I495" s="110"/>
      <c r="J495" s="15"/>
      <c r="K495" s="110"/>
      <c r="L495" s="15"/>
      <c r="M495" s="110"/>
      <c r="N495" s="15"/>
      <c r="O495" s="110"/>
      <c r="P495" s="15"/>
      <c r="Q495" s="110"/>
      <c r="R495" s="15"/>
      <c r="S495" s="110"/>
      <c r="T495" s="15"/>
      <c r="U495" s="110"/>
      <c r="V495" s="15"/>
    </row>
    <row r="496" spans="8:22" x14ac:dyDescent="0.2">
      <c r="H496" s="15"/>
      <c r="I496" s="110"/>
      <c r="J496" s="15"/>
      <c r="K496" s="110"/>
      <c r="L496" s="15"/>
      <c r="M496" s="110"/>
      <c r="N496" s="15"/>
      <c r="O496" s="110"/>
      <c r="P496" s="15"/>
      <c r="Q496" s="110"/>
      <c r="R496" s="15"/>
      <c r="S496" s="110"/>
      <c r="T496" s="15"/>
      <c r="U496" s="110"/>
      <c r="V496" s="15"/>
    </row>
    <row r="497" spans="8:22" x14ac:dyDescent="0.2">
      <c r="H497" s="15"/>
      <c r="I497" s="110"/>
      <c r="J497" s="15"/>
      <c r="K497" s="110"/>
      <c r="L497" s="15"/>
      <c r="M497" s="110"/>
      <c r="N497" s="15"/>
      <c r="O497" s="110"/>
      <c r="P497" s="15"/>
      <c r="Q497" s="110"/>
      <c r="R497" s="15"/>
      <c r="S497" s="110"/>
      <c r="T497" s="15"/>
      <c r="U497" s="110"/>
      <c r="V497" s="15"/>
    </row>
    <row r="498" spans="8:22" x14ac:dyDescent="0.2">
      <c r="H498" s="15"/>
      <c r="I498" s="110"/>
      <c r="J498" s="15"/>
      <c r="K498" s="110"/>
      <c r="L498" s="15"/>
      <c r="M498" s="110"/>
      <c r="N498" s="15"/>
      <c r="O498" s="110"/>
      <c r="P498" s="15"/>
      <c r="Q498" s="110"/>
      <c r="R498" s="15"/>
      <c r="S498" s="110"/>
      <c r="T498" s="15"/>
      <c r="U498" s="110"/>
      <c r="V498" s="15"/>
    </row>
    <row r="499" spans="8:22" x14ac:dyDescent="0.2">
      <c r="H499" s="15"/>
      <c r="I499" s="110"/>
      <c r="J499" s="15"/>
      <c r="K499" s="110"/>
      <c r="L499" s="15"/>
      <c r="M499" s="110"/>
      <c r="N499" s="15"/>
      <c r="O499" s="110"/>
      <c r="P499" s="15"/>
      <c r="Q499" s="110"/>
      <c r="R499" s="15"/>
      <c r="S499" s="110"/>
      <c r="T499" s="15"/>
      <c r="U499" s="110"/>
      <c r="V499" s="15"/>
    </row>
    <row r="500" spans="8:22" x14ac:dyDescent="0.2">
      <c r="H500" s="15"/>
      <c r="I500" s="110"/>
      <c r="J500" s="15"/>
      <c r="K500" s="110"/>
      <c r="L500" s="15"/>
      <c r="M500" s="110"/>
      <c r="N500" s="15"/>
      <c r="O500" s="110"/>
      <c r="P500" s="15"/>
      <c r="Q500" s="110"/>
      <c r="R500" s="15"/>
      <c r="S500" s="110"/>
      <c r="T500" s="15"/>
      <c r="U500" s="110"/>
      <c r="V500" s="15"/>
    </row>
    <row r="501" spans="8:22" x14ac:dyDescent="0.2">
      <c r="H501" s="15"/>
      <c r="I501" s="110"/>
      <c r="J501" s="15"/>
      <c r="K501" s="110"/>
      <c r="L501" s="15"/>
      <c r="M501" s="110"/>
      <c r="N501" s="15"/>
      <c r="O501" s="110"/>
      <c r="P501" s="15"/>
      <c r="Q501" s="110"/>
      <c r="R501" s="15"/>
      <c r="S501" s="110"/>
      <c r="T501" s="15"/>
      <c r="U501" s="110"/>
      <c r="V501" s="15"/>
    </row>
    <row r="502" spans="8:22" x14ac:dyDescent="0.2">
      <c r="H502" s="15"/>
      <c r="I502" s="110"/>
      <c r="J502" s="15"/>
      <c r="K502" s="110"/>
      <c r="L502" s="15"/>
      <c r="M502" s="110"/>
      <c r="N502" s="15"/>
      <c r="O502" s="110"/>
      <c r="P502" s="15"/>
      <c r="Q502" s="110"/>
      <c r="R502" s="15"/>
      <c r="S502" s="110"/>
      <c r="T502" s="15"/>
      <c r="U502" s="110"/>
      <c r="V502" s="15"/>
    </row>
    <row r="503" spans="8:22" x14ac:dyDescent="0.2">
      <c r="H503" s="15"/>
      <c r="I503" s="110"/>
      <c r="J503" s="15"/>
      <c r="K503" s="110"/>
      <c r="L503" s="15"/>
      <c r="M503" s="110"/>
      <c r="N503" s="15"/>
      <c r="O503" s="110"/>
      <c r="P503" s="15"/>
      <c r="Q503" s="110"/>
      <c r="R503" s="15"/>
      <c r="S503" s="110"/>
      <c r="T503" s="15"/>
      <c r="U503" s="110"/>
      <c r="V503" s="15"/>
    </row>
    <row r="504" spans="8:22" x14ac:dyDescent="0.2">
      <c r="H504" s="15"/>
      <c r="I504" s="110"/>
      <c r="J504" s="15"/>
      <c r="K504" s="110"/>
      <c r="L504" s="15"/>
      <c r="M504" s="110"/>
      <c r="N504" s="15"/>
      <c r="O504" s="110"/>
      <c r="P504" s="15"/>
      <c r="Q504" s="110"/>
      <c r="R504" s="15"/>
      <c r="S504" s="110"/>
      <c r="T504" s="15"/>
      <c r="U504" s="110"/>
      <c r="V504" s="15"/>
    </row>
    <row r="505" spans="8:22" x14ac:dyDescent="0.2">
      <c r="H505" s="15"/>
      <c r="I505" s="110"/>
      <c r="J505" s="15"/>
      <c r="K505" s="110"/>
      <c r="L505" s="15"/>
      <c r="M505" s="110"/>
      <c r="N505" s="15"/>
      <c r="O505" s="110"/>
      <c r="P505" s="15"/>
      <c r="Q505" s="110"/>
      <c r="R505" s="15"/>
      <c r="S505" s="110"/>
      <c r="T505" s="15"/>
      <c r="U505" s="110"/>
      <c r="V505" s="15"/>
    </row>
    <row r="506" spans="8:22" x14ac:dyDescent="0.2">
      <c r="H506" s="15"/>
      <c r="I506" s="110"/>
      <c r="J506" s="15"/>
      <c r="K506" s="110"/>
      <c r="L506" s="15"/>
      <c r="M506" s="110"/>
      <c r="N506" s="15"/>
      <c r="O506" s="110"/>
      <c r="P506" s="15"/>
      <c r="Q506" s="110"/>
      <c r="R506" s="15"/>
      <c r="S506" s="110"/>
      <c r="T506" s="15"/>
      <c r="U506" s="110"/>
      <c r="V506" s="15"/>
    </row>
    <row r="507" spans="8:22" x14ac:dyDescent="0.2">
      <c r="H507" s="15"/>
      <c r="I507" s="110"/>
      <c r="J507" s="15"/>
      <c r="K507" s="110"/>
      <c r="L507" s="15"/>
      <c r="M507" s="110"/>
      <c r="N507" s="15"/>
      <c r="O507" s="110"/>
      <c r="P507" s="15"/>
      <c r="Q507" s="110"/>
      <c r="R507" s="15"/>
      <c r="S507" s="110"/>
      <c r="T507" s="15"/>
      <c r="U507" s="110"/>
      <c r="V507" s="15"/>
    </row>
    <row r="508" spans="8:22" x14ac:dyDescent="0.2">
      <c r="H508" s="15"/>
      <c r="I508" s="110"/>
      <c r="J508" s="15"/>
      <c r="K508" s="110"/>
      <c r="L508" s="15"/>
      <c r="M508" s="110"/>
      <c r="N508" s="15"/>
      <c r="O508" s="110"/>
      <c r="P508" s="15"/>
      <c r="Q508" s="110"/>
      <c r="R508" s="15"/>
      <c r="S508" s="110"/>
      <c r="T508" s="15"/>
      <c r="U508" s="110"/>
      <c r="V508" s="15"/>
    </row>
    <row r="509" spans="8:22" x14ac:dyDescent="0.2">
      <c r="H509" s="15"/>
      <c r="I509" s="110"/>
      <c r="J509" s="15"/>
      <c r="K509" s="110"/>
      <c r="L509" s="15"/>
      <c r="M509" s="110"/>
      <c r="N509" s="15"/>
      <c r="O509" s="110"/>
      <c r="P509" s="15"/>
      <c r="Q509" s="110"/>
      <c r="R509" s="15"/>
      <c r="S509" s="110"/>
      <c r="T509" s="15"/>
      <c r="U509" s="110"/>
      <c r="V509" s="15"/>
    </row>
    <row r="510" spans="8:22" x14ac:dyDescent="0.2">
      <c r="H510" s="15"/>
      <c r="I510" s="110"/>
      <c r="J510" s="15"/>
      <c r="K510" s="110"/>
      <c r="L510" s="15"/>
      <c r="M510" s="110"/>
      <c r="N510" s="15"/>
      <c r="O510" s="110"/>
      <c r="P510" s="15"/>
      <c r="Q510" s="110"/>
      <c r="R510" s="15"/>
      <c r="S510" s="110"/>
      <c r="T510" s="15"/>
      <c r="U510" s="110"/>
      <c r="V510" s="15"/>
    </row>
    <row r="511" spans="8:22" x14ac:dyDescent="0.2">
      <c r="H511" s="15"/>
      <c r="I511" s="110"/>
      <c r="J511" s="15"/>
      <c r="K511" s="110"/>
      <c r="L511" s="15"/>
      <c r="M511" s="110"/>
      <c r="N511" s="15"/>
      <c r="O511" s="110"/>
      <c r="P511" s="15"/>
      <c r="Q511" s="110"/>
      <c r="R511" s="15"/>
      <c r="S511" s="110"/>
      <c r="T511" s="15"/>
      <c r="U511" s="110"/>
      <c r="V511" s="15"/>
    </row>
    <row r="512" spans="8:22" x14ac:dyDescent="0.2">
      <c r="H512" s="15"/>
      <c r="I512" s="110"/>
      <c r="J512" s="15"/>
      <c r="K512" s="110"/>
      <c r="L512" s="15"/>
      <c r="M512" s="110"/>
      <c r="N512" s="15"/>
      <c r="O512" s="110"/>
      <c r="P512" s="15"/>
      <c r="Q512" s="110"/>
      <c r="R512" s="15"/>
      <c r="S512" s="110"/>
      <c r="T512" s="15"/>
      <c r="U512" s="110"/>
      <c r="V512" s="15"/>
    </row>
    <row r="513" spans="8:22" x14ac:dyDescent="0.2">
      <c r="H513" s="15"/>
      <c r="I513" s="110"/>
      <c r="J513" s="15"/>
      <c r="K513" s="110"/>
      <c r="L513" s="15"/>
      <c r="M513" s="110"/>
      <c r="N513" s="15"/>
      <c r="O513" s="110"/>
      <c r="P513" s="15"/>
      <c r="Q513" s="110"/>
      <c r="R513" s="15"/>
      <c r="S513" s="110"/>
      <c r="T513" s="15"/>
      <c r="U513" s="110"/>
      <c r="V513" s="15"/>
    </row>
    <row r="514" spans="8:22" x14ac:dyDescent="0.2">
      <c r="H514" s="15"/>
      <c r="I514" s="110"/>
      <c r="J514" s="15"/>
      <c r="K514" s="110"/>
      <c r="L514" s="15"/>
      <c r="M514" s="110"/>
      <c r="N514" s="15"/>
      <c r="O514" s="110"/>
      <c r="P514" s="15"/>
      <c r="Q514" s="110"/>
      <c r="R514" s="15"/>
      <c r="S514" s="110"/>
      <c r="T514" s="15"/>
      <c r="U514" s="110"/>
      <c r="V514" s="15"/>
    </row>
    <row r="515" spans="8:22" x14ac:dyDescent="0.2">
      <c r="H515" s="15"/>
      <c r="I515" s="110"/>
      <c r="J515" s="15"/>
      <c r="K515" s="110"/>
      <c r="L515" s="15"/>
      <c r="M515" s="110"/>
      <c r="N515" s="15"/>
      <c r="O515" s="110"/>
      <c r="P515" s="15"/>
      <c r="Q515" s="110"/>
      <c r="R515" s="15"/>
      <c r="S515" s="110"/>
      <c r="T515" s="15"/>
      <c r="U515" s="110"/>
      <c r="V515" s="15"/>
    </row>
    <row r="516" spans="8:22" x14ac:dyDescent="0.2">
      <c r="H516" s="15"/>
      <c r="I516" s="110"/>
      <c r="J516" s="15"/>
      <c r="K516" s="110"/>
      <c r="L516" s="15"/>
      <c r="M516" s="110"/>
      <c r="N516" s="15"/>
      <c r="O516" s="110"/>
      <c r="P516" s="15"/>
      <c r="Q516" s="110"/>
      <c r="R516" s="15"/>
      <c r="S516" s="110"/>
      <c r="T516" s="15"/>
      <c r="U516" s="110"/>
      <c r="V516" s="15"/>
    </row>
    <row r="517" spans="8:22" x14ac:dyDescent="0.2">
      <c r="H517" s="15"/>
      <c r="I517" s="110"/>
      <c r="J517" s="15"/>
      <c r="K517" s="110"/>
      <c r="L517" s="15"/>
      <c r="M517" s="110"/>
      <c r="N517" s="15"/>
      <c r="O517" s="110"/>
      <c r="P517" s="15"/>
      <c r="Q517" s="110"/>
      <c r="R517" s="15"/>
      <c r="S517" s="110"/>
      <c r="T517" s="15"/>
      <c r="U517" s="110"/>
      <c r="V517" s="15"/>
    </row>
    <row r="518" spans="8:22" x14ac:dyDescent="0.2">
      <c r="H518" s="15"/>
      <c r="I518" s="110"/>
      <c r="J518" s="15"/>
      <c r="K518" s="110"/>
      <c r="L518" s="15"/>
      <c r="M518" s="110"/>
      <c r="N518" s="15"/>
      <c r="O518" s="110"/>
      <c r="P518" s="15"/>
      <c r="Q518" s="110"/>
      <c r="R518" s="15"/>
      <c r="S518" s="110"/>
      <c r="T518" s="15"/>
      <c r="U518" s="110"/>
      <c r="V518" s="15"/>
    </row>
    <row r="519" spans="8:22" x14ac:dyDescent="0.2">
      <c r="H519" s="15"/>
      <c r="I519" s="110"/>
      <c r="J519" s="15"/>
      <c r="K519" s="110"/>
      <c r="L519" s="15"/>
      <c r="M519" s="110"/>
      <c r="N519" s="15"/>
      <c r="O519" s="110"/>
      <c r="P519" s="15"/>
      <c r="Q519" s="110"/>
      <c r="R519" s="15"/>
      <c r="S519" s="110"/>
      <c r="T519" s="15"/>
      <c r="U519" s="110"/>
      <c r="V519" s="15"/>
    </row>
    <row r="520" spans="8:22" x14ac:dyDescent="0.2">
      <c r="H520" s="15"/>
      <c r="I520" s="110"/>
      <c r="J520" s="15"/>
      <c r="K520" s="110"/>
      <c r="L520" s="15"/>
      <c r="M520" s="110"/>
      <c r="N520" s="15"/>
      <c r="O520" s="110"/>
      <c r="P520" s="15"/>
      <c r="Q520" s="110"/>
      <c r="R520" s="15"/>
      <c r="S520" s="110"/>
      <c r="T520" s="15"/>
      <c r="U520" s="110"/>
      <c r="V520" s="15"/>
    </row>
    <row r="521" spans="8:22" x14ac:dyDescent="0.2">
      <c r="H521" s="15"/>
      <c r="I521" s="110"/>
      <c r="J521" s="15"/>
      <c r="K521" s="110"/>
      <c r="L521" s="15"/>
      <c r="M521" s="110"/>
      <c r="N521" s="15"/>
      <c r="O521" s="110"/>
      <c r="P521" s="15"/>
      <c r="Q521" s="110"/>
      <c r="R521" s="15"/>
      <c r="S521" s="110"/>
      <c r="T521" s="15"/>
      <c r="U521" s="110"/>
      <c r="V521" s="15"/>
    </row>
    <row r="522" spans="8:22" x14ac:dyDescent="0.2">
      <c r="H522" s="15"/>
      <c r="I522" s="110"/>
      <c r="J522" s="15"/>
      <c r="K522" s="110"/>
      <c r="L522" s="15"/>
      <c r="M522" s="110"/>
      <c r="N522" s="15"/>
      <c r="O522" s="110"/>
      <c r="P522" s="15"/>
      <c r="Q522" s="110"/>
      <c r="R522" s="15"/>
      <c r="S522" s="110"/>
      <c r="T522" s="15"/>
      <c r="U522" s="110"/>
      <c r="V522" s="15"/>
    </row>
    <row r="523" spans="8:22" x14ac:dyDescent="0.2">
      <c r="H523" s="15"/>
      <c r="I523" s="110"/>
      <c r="J523" s="15"/>
      <c r="K523" s="110"/>
      <c r="L523" s="15"/>
      <c r="M523" s="110"/>
      <c r="N523" s="15"/>
      <c r="O523" s="110"/>
      <c r="P523" s="15"/>
      <c r="Q523" s="110"/>
      <c r="R523" s="15"/>
      <c r="S523" s="110"/>
      <c r="T523" s="15"/>
      <c r="U523" s="110"/>
      <c r="V523" s="15"/>
    </row>
    <row r="524" spans="8:22" x14ac:dyDescent="0.2">
      <c r="H524" s="15"/>
      <c r="I524" s="110"/>
      <c r="J524" s="15"/>
      <c r="K524" s="110"/>
      <c r="L524" s="15"/>
      <c r="M524" s="110"/>
      <c r="N524" s="15"/>
      <c r="O524" s="110"/>
      <c r="P524" s="15"/>
      <c r="Q524" s="110"/>
      <c r="R524" s="15"/>
      <c r="S524" s="110"/>
      <c r="T524" s="15"/>
      <c r="U524" s="110"/>
      <c r="V524" s="15"/>
    </row>
    <row r="525" spans="8:22" x14ac:dyDescent="0.2">
      <c r="H525" s="15"/>
      <c r="I525" s="110"/>
      <c r="J525" s="15"/>
      <c r="K525" s="110"/>
      <c r="L525" s="15"/>
      <c r="M525" s="110"/>
      <c r="N525" s="15"/>
      <c r="O525" s="110"/>
      <c r="P525" s="15"/>
      <c r="Q525" s="110"/>
      <c r="R525" s="15"/>
      <c r="S525" s="110"/>
      <c r="T525" s="15"/>
      <c r="U525" s="110"/>
      <c r="V525" s="15"/>
    </row>
    <row r="526" spans="8:22" x14ac:dyDescent="0.2">
      <c r="H526" s="15"/>
      <c r="I526" s="110"/>
      <c r="J526" s="15"/>
      <c r="K526" s="110"/>
      <c r="L526" s="15"/>
      <c r="M526" s="110"/>
      <c r="N526" s="15"/>
      <c r="O526" s="110"/>
      <c r="P526" s="15"/>
      <c r="Q526" s="110"/>
      <c r="R526" s="15"/>
      <c r="S526" s="110"/>
      <c r="T526" s="15"/>
      <c r="U526" s="110"/>
      <c r="V526" s="15"/>
    </row>
    <row r="527" spans="8:22" x14ac:dyDescent="0.2">
      <c r="H527" s="15"/>
      <c r="I527" s="110"/>
      <c r="J527" s="15"/>
      <c r="K527" s="110"/>
      <c r="L527" s="15"/>
      <c r="M527" s="110"/>
      <c r="N527" s="15"/>
      <c r="O527" s="110"/>
      <c r="P527" s="15"/>
      <c r="Q527" s="110"/>
      <c r="R527" s="15"/>
      <c r="S527" s="110"/>
      <c r="T527" s="15"/>
      <c r="U527" s="110"/>
      <c r="V527" s="15"/>
    </row>
    <row r="528" spans="8:22" x14ac:dyDescent="0.2">
      <c r="H528" s="15"/>
      <c r="I528" s="110"/>
      <c r="J528" s="15"/>
      <c r="K528" s="110"/>
      <c r="L528" s="15"/>
      <c r="M528" s="110"/>
      <c r="N528" s="15"/>
      <c r="O528" s="110"/>
      <c r="P528" s="15"/>
      <c r="Q528" s="110"/>
      <c r="R528" s="15"/>
      <c r="S528" s="110"/>
      <c r="T528" s="15"/>
      <c r="U528" s="110"/>
      <c r="V528" s="15"/>
    </row>
    <row r="529" spans="8:22" x14ac:dyDescent="0.2">
      <c r="H529" s="15"/>
      <c r="I529" s="110"/>
      <c r="J529" s="15"/>
      <c r="K529" s="110"/>
      <c r="L529" s="15"/>
      <c r="M529" s="110"/>
      <c r="N529" s="15"/>
      <c r="O529" s="110"/>
      <c r="P529" s="15"/>
      <c r="Q529" s="110"/>
      <c r="R529" s="15"/>
      <c r="S529" s="110"/>
      <c r="T529" s="15"/>
      <c r="U529" s="110"/>
      <c r="V529" s="15"/>
    </row>
    <row r="530" spans="8:22" x14ac:dyDescent="0.2">
      <c r="H530" s="15"/>
      <c r="I530" s="110"/>
      <c r="J530" s="15"/>
      <c r="K530" s="110"/>
      <c r="L530" s="15"/>
      <c r="M530" s="110"/>
      <c r="N530" s="15"/>
      <c r="O530" s="110"/>
      <c r="P530" s="15"/>
      <c r="Q530" s="110"/>
      <c r="R530" s="15"/>
      <c r="S530" s="110"/>
      <c r="T530" s="15"/>
      <c r="U530" s="110"/>
      <c r="V530" s="15"/>
    </row>
    <row r="531" spans="8:22" x14ac:dyDescent="0.2">
      <c r="H531" s="15"/>
      <c r="I531" s="110"/>
      <c r="J531" s="15"/>
      <c r="K531" s="110"/>
      <c r="L531" s="15"/>
      <c r="M531" s="110"/>
      <c r="N531" s="15"/>
      <c r="O531" s="110"/>
      <c r="P531" s="15"/>
      <c r="Q531" s="110"/>
      <c r="R531" s="15"/>
      <c r="S531" s="110"/>
      <c r="T531" s="15"/>
      <c r="U531" s="110"/>
      <c r="V531" s="15"/>
    </row>
    <row r="532" spans="8:22" x14ac:dyDescent="0.2">
      <c r="H532" s="15"/>
      <c r="I532" s="110"/>
      <c r="J532" s="15"/>
      <c r="K532" s="110"/>
      <c r="L532" s="15"/>
      <c r="M532" s="110"/>
      <c r="N532" s="15"/>
      <c r="O532" s="110"/>
      <c r="P532" s="15"/>
      <c r="Q532" s="110"/>
      <c r="R532" s="15"/>
      <c r="S532" s="110"/>
      <c r="T532" s="15"/>
      <c r="U532" s="110"/>
      <c r="V532" s="15"/>
    </row>
    <row r="533" spans="8:22" x14ac:dyDescent="0.2">
      <c r="H533" s="15"/>
      <c r="I533" s="110"/>
      <c r="J533" s="15"/>
      <c r="K533" s="110"/>
      <c r="L533" s="15"/>
      <c r="M533" s="110"/>
      <c r="N533" s="15"/>
      <c r="O533" s="110"/>
      <c r="P533" s="15"/>
      <c r="Q533" s="110"/>
      <c r="R533" s="15"/>
      <c r="S533" s="110"/>
      <c r="T533" s="15"/>
      <c r="U533" s="110"/>
      <c r="V533" s="15"/>
    </row>
    <row r="534" spans="8:22" x14ac:dyDescent="0.2">
      <c r="H534" s="15"/>
      <c r="I534" s="110"/>
      <c r="J534" s="15"/>
      <c r="K534" s="110"/>
      <c r="L534" s="15"/>
      <c r="M534" s="110"/>
      <c r="N534" s="15"/>
      <c r="O534" s="110"/>
      <c r="P534" s="15"/>
      <c r="Q534" s="110"/>
      <c r="R534" s="15"/>
      <c r="S534" s="110"/>
      <c r="T534" s="15"/>
      <c r="U534" s="110"/>
      <c r="V534" s="15"/>
    </row>
    <row r="535" spans="8:22" x14ac:dyDescent="0.2">
      <c r="H535" s="15"/>
      <c r="I535" s="110"/>
      <c r="J535" s="15"/>
      <c r="K535" s="110"/>
      <c r="L535" s="15"/>
      <c r="M535" s="110"/>
      <c r="N535" s="15"/>
      <c r="O535" s="110"/>
      <c r="P535" s="15"/>
      <c r="Q535" s="110"/>
      <c r="R535" s="15"/>
      <c r="S535" s="110"/>
      <c r="T535" s="15"/>
      <c r="U535" s="110"/>
      <c r="V535" s="15"/>
    </row>
    <row r="536" spans="8:22" x14ac:dyDescent="0.2">
      <c r="H536" s="15"/>
      <c r="I536" s="110"/>
      <c r="J536" s="15"/>
      <c r="K536" s="110"/>
      <c r="L536" s="15"/>
      <c r="M536" s="110"/>
      <c r="N536" s="15"/>
      <c r="O536" s="110"/>
      <c r="P536" s="15"/>
      <c r="Q536" s="110"/>
      <c r="R536" s="15"/>
      <c r="S536" s="110"/>
      <c r="T536" s="15"/>
      <c r="U536" s="110"/>
      <c r="V536" s="15"/>
    </row>
    <row r="537" spans="8:22" x14ac:dyDescent="0.2">
      <c r="H537" s="15"/>
      <c r="I537" s="110"/>
      <c r="J537" s="15"/>
      <c r="K537" s="110"/>
      <c r="L537" s="15"/>
      <c r="M537" s="110"/>
      <c r="N537" s="15"/>
      <c r="O537" s="110"/>
      <c r="P537" s="15"/>
      <c r="Q537" s="110"/>
      <c r="R537" s="15"/>
      <c r="S537" s="110"/>
      <c r="T537" s="15"/>
      <c r="U537" s="110"/>
      <c r="V537" s="15"/>
    </row>
    <row r="538" spans="8:22" x14ac:dyDescent="0.2">
      <c r="H538" s="15"/>
      <c r="I538" s="110"/>
      <c r="J538" s="15"/>
      <c r="K538" s="110"/>
      <c r="L538" s="15"/>
      <c r="M538" s="110"/>
      <c r="N538" s="15"/>
      <c r="O538" s="110"/>
      <c r="P538" s="15"/>
      <c r="Q538" s="110"/>
      <c r="R538" s="15"/>
      <c r="S538" s="110"/>
      <c r="T538" s="15"/>
      <c r="U538" s="110"/>
      <c r="V538" s="15"/>
    </row>
    <row r="539" spans="8:22" x14ac:dyDescent="0.2">
      <c r="H539" s="15"/>
      <c r="I539" s="110"/>
      <c r="J539" s="15"/>
      <c r="K539" s="110"/>
      <c r="L539" s="15"/>
      <c r="M539" s="110"/>
      <c r="N539" s="15"/>
      <c r="O539" s="110"/>
      <c r="P539" s="15"/>
      <c r="Q539" s="110"/>
      <c r="R539" s="15"/>
      <c r="S539" s="110"/>
      <c r="T539" s="15"/>
      <c r="U539" s="110"/>
      <c r="V539" s="15"/>
    </row>
    <row r="540" spans="8:22" x14ac:dyDescent="0.2">
      <c r="H540" s="15"/>
      <c r="I540" s="110"/>
      <c r="J540" s="15"/>
      <c r="K540" s="110"/>
      <c r="L540" s="15"/>
      <c r="M540" s="110"/>
      <c r="N540" s="15"/>
      <c r="O540" s="110"/>
      <c r="P540" s="15"/>
      <c r="Q540" s="110"/>
      <c r="R540" s="15"/>
      <c r="S540" s="110"/>
      <c r="T540" s="15"/>
      <c r="U540" s="110"/>
      <c r="V540" s="15"/>
    </row>
    <row r="541" spans="8:22" x14ac:dyDescent="0.2">
      <c r="H541" s="15"/>
      <c r="I541" s="110"/>
      <c r="J541" s="15"/>
      <c r="K541" s="110"/>
      <c r="L541" s="15"/>
      <c r="M541" s="110"/>
      <c r="N541" s="15"/>
      <c r="O541" s="110"/>
      <c r="P541" s="15"/>
      <c r="Q541" s="110"/>
      <c r="R541" s="15"/>
      <c r="S541" s="110"/>
      <c r="T541" s="15"/>
      <c r="U541" s="110"/>
      <c r="V541" s="15"/>
    </row>
    <row r="542" spans="8:22" x14ac:dyDescent="0.2">
      <c r="H542" s="15"/>
      <c r="I542" s="110"/>
      <c r="J542" s="15"/>
      <c r="K542" s="110"/>
      <c r="L542" s="15"/>
      <c r="M542" s="110"/>
      <c r="N542" s="15"/>
      <c r="O542" s="110"/>
      <c r="P542" s="15"/>
      <c r="Q542" s="110"/>
      <c r="R542" s="15"/>
      <c r="S542" s="110"/>
      <c r="T542" s="15"/>
      <c r="U542" s="110"/>
      <c r="V542" s="15"/>
    </row>
    <row r="543" spans="8:22" x14ac:dyDescent="0.2">
      <c r="H543" s="15"/>
      <c r="I543" s="110"/>
      <c r="J543" s="15"/>
      <c r="K543" s="110"/>
      <c r="L543" s="15"/>
      <c r="M543" s="110"/>
      <c r="N543" s="15"/>
      <c r="O543" s="110"/>
      <c r="P543" s="15"/>
      <c r="Q543" s="110"/>
      <c r="R543" s="15"/>
      <c r="S543" s="110"/>
      <c r="T543" s="15"/>
      <c r="U543" s="110"/>
      <c r="V543" s="15"/>
    </row>
    <row r="544" spans="8:22" x14ac:dyDescent="0.2">
      <c r="H544" s="15"/>
      <c r="I544" s="110"/>
      <c r="J544" s="15"/>
      <c r="K544" s="110"/>
      <c r="L544" s="15"/>
      <c r="M544" s="110"/>
      <c r="N544" s="15"/>
      <c r="O544" s="110"/>
      <c r="P544" s="15"/>
      <c r="Q544" s="110"/>
      <c r="R544" s="15"/>
      <c r="S544" s="110"/>
      <c r="T544" s="15"/>
      <c r="U544" s="110"/>
      <c r="V544" s="15"/>
    </row>
    <row r="545" spans="8:22" x14ac:dyDescent="0.2">
      <c r="H545" s="15"/>
      <c r="I545" s="110"/>
      <c r="J545" s="15"/>
      <c r="K545" s="110"/>
      <c r="L545" s="15"/>
      <c r="M545" s="110"/>
      <c r="N545" s="15"/>
      <c r="O545" s="110"/>
      <c r="P545" s="15"/>
      <c r="Q545" s="110"/>
      <c r="R545" s="15"/>
      <c r="S545" s="110"/>
      <c r="T545" s="15"/>
      <c r="U545" s="110"/>
      <c r="V545" s="15"/>
    </row>
    <row r="546" spans="8:22" x14ac:dyDescent="0.2">
      <c r="H546" s="15"/>
      <c r="I546" s="110"/>
      <c r="J546" s="15"/>
      <c r="K546" s="110"/>
      <c r="L546" s="15"/>
      <c r="M546" s="110"/>
      <c r="N546" s="15"/>
      <c r="O546" s="110"/>
      <c r="P546" s="15"/>
      <c r="Q546" s="110"/>
      <c r="R546" s="15"/>
      <c r="S546" s="110"/>
      <c r="T546" s="15"/>
      <c r="U546" s="110"/>
      <c r="V546" s="15"/>
    </row>
    <row r="547" spans="8:22" x14ac:dyDescent="0.2">
      <c r="H547" s="15"/>
      <c r="I547" s="110"/>
      <c r="J547" s="15"/>
      <c r="K547" s="110"/>
      <c r="L547" s="15"/>
      <c r="M547" s="110"/>
      <c r="N547" s="15"/>
      <c r="O547" s="110"/>
      <c r="P547" s="15"/>
      <c r="Q547" s="110"/>
      <c r="R547" s="15"/>
      <c r="S547" s="110"/>
      <c r="T547" s="15"/>
      <c r="U547" s="110"/>
      <c r="V547" s="15"/>
    </row>
    <row r="548" spans="8:22" x14ac:dyDescent="0.2">
      <c r="H548" s="15"/>
      <c r="I548" s="110"/>
      <c r="J548" s="15"/>
      <c r="K548" s="110"/>
      <c r="L548" s="15"/>
      <c r="M548" s="110"/>
      <c r="N548" s="15"/>
      <c r="O548" s="110"/>
      <c r="P548" s="15"/>
      <c r="Q548" s="110"/>
      <c r="R548" s="15"/>
      <c r="S548" s="110"/>
      <c r="T548" s="15"/>
      <c r="U548" s="110"/>
      <c r="V548" s="15"/>
    </row>
    <row r="549" spans="8:22" x14ac:dyDescent="0.2">
      <c r="H549" s="15"/>
      <c r="I549" s="110"/>
      <c r="J549" s="15"/>
      <c r="K549" s="110"/>
      <c r="L549" s="15"/>
      <c r="M549" s="110"/>
      <c r="N549" s="15"/>
      <c r="O549" s="110"/>
      <c r="P549" s="15"/>
      <c r="Q549" s="110"/>
      <c r="R549" s="15"/>
      <c r="S549" s="110"/>
      <c r="T549" s="15"/>
      <c r="U549" s="110"/>
      <c r="V549" s="15"/>
    </row>
    <row r="550" spans="8:22" x14ac:dyDescent="0.2">
      <c r="H550" s="15"/>
      <c r="I550" s="110"/>
      <c r="J550" s="15"/>
      <c r="K550" s="110"/>
      <c r="L550" s="15"/>
      <c r="M550" s="110"/>
      <c r="N550" s="15"/>
      <c r="O550" s="110"/>
      <c r="P550" s="15"/>
      <c r="Q550" s="110"/>
      <c r="R550" s="15"/>
      <c r="S550" s="110"/>
      <c r="T550" s="15"/>
      <c r="U550" s="110"/>
      <c r="V550" s="15"/>
    </row>
    <row r="551" spans="8:22" x14ac:dyDescent="0.2">
      <c r="H551" s="15"/>
      <c r="I551" s="110"/>
      <c r="J551" s="15"/>
      <c r="K551" s="110"/>
      <c r="L551" s="15"/>
      <c r="M551" s="110"/>
      <c r="N551" s="15"/>
      <c r="O551" s="110"/>
      <c r="P551" s="15"/>
      <c r="Q551" s="110"/>
      <c r="R551" s="15"/>
      <c r="S551" s="110"/>
      <c r="T551" s="15"/>
      <c r="U551" s="110"/>
      <c r="V551" s="15"/>
    </row>
    <row r="552" spans="8:22" x14ac:dyDescent="0.2">
      <c r="H552" s="15"/>
      <c r="I552" s="110"/>
      <c r="J552" s="15"/>
      <c r="K552" s="110"/>
      <c r="L552" s="15"/>
      <c r="M552" s="110"/>
      <c r="N552" s="15"/>
      <c r="O552" s="110"/>
      <c r="P552" s="15"/>
      <c r="Q552" s="110"/>
      <c r="R552" s="15"/>
      <c r="S552" s="110"/>
      <c r="T552" s="15"/>
      <c r="U552" s="110"/>
      <c r="V552" s="15"/>
    </row>
    <row r="553" spans="8:22" x14ac:dyDescent="0.2">
      <c r="H553" s="15"/>
      <c r="I553" s="110"/>
      <c r="J553" s="15"/>
      <c r="K553" s="110"/>
      <c r="L553" s="15"/>
      <c r="M553" s="110"/>
      <c r="N553" s="15"/>
      <c r="O553" s="110"/>
      <c r="P553" s="15"/>
      <c r="Q553" s="110"/>
      <c r="R553" s="15"/>
      <c r="S553" s="110"/>
      <c r="T553" s="15"/>
      <c r="U553" s="110"/>
      <c r="V553" s="15"/>
    </row>
    <row r="554" spans="8:22" x14ac:dyDescent="0.2">
      <c r="H554" s="15"/>
      <c r="I554" s="110"/>
      <c r="J554" s="15"/>
      <c r="K554" s="110"/>
      <c r="L554" s="15"/>
      <c r="M554" s="110"/>
      <c r="N554" s="15"/>
      <c r="O554" s="110"/>
      <c r="P554" s="15"/>
      <c r="Q554" s="110"/>
      <c r="R554" s="15"/>
      <c r="S554" s="110"/>
      <c r="T554" s="15"/>
      <c r="U554" s="110"/>
      <c r="V554" s="15"/>
    </row>
    <row r="555" spans="8:22" x14ac:dyDescent="0.2">
      <c r="H555" s="15"/>
      <c r="I555" s="110"/>
      <c r="J555" s="15"/>
      <c r="K555" s="110"/>
      <c r="L555" s="15"/>
      <c r="M555" s="110"/>
      <c r="N555" s="15"/>
      <c r="O555" s="110"/>
      <c r="P555" s="15"/>
      <c r="Q555" s="110"/>
      <c r="R555" s="15"/>
      <c r="S555" s="110"/>
      <c r="T555" s="15"/>
      <c r="U555" s="110"/>
      <c r="V555" s="15"/>
    </row>
    <row r="556" spans="8:22" x14ac:dyDescent="0.2">
      <c r="H556" s="15"/>
      <c r="I556" s="110"/>
      <c r="J556" s="15"/>
      <c r="K556" s="110"/>
      <c r="L556" s="15"/>
      <c r="M556" s="110"/>
      <c r="N556" s="15"/>
      <c r="O556" s="110"/>
      <c r="P556" s="15"/>
      <c r="Q556" s="110"/>
      <c r="R556" s="15"/>
      <c r="S556" s="110"/>
      <c r="T556" s="15"/>
      <c r="U556" s="110"/>
      <c r="V556" s="15"/>
    </row>
    <row r="557" spans="8:22" x14ac:dyDescent="0.2">
      <c r="H557" s="15"/>
      <c r="I557" s="110"/>
      <c r="J557" s="15"/>
      <c r="K557" s="110"/>
      <c r="L557" s="15"/>
      <c r="M557" s="110"/>
      <c r="N557" s="15"/>
      <c r="O557" s="110"/>
      <c r="P557" s="15"/>
      <c r="Q557" s="110"/>
      <c r="R557" s="15"/>
      <c r="S557" s="110"/>
      <c r="T557" s="15"/>
      <c r="U557" s="110"/>
      <c r="V557" s="15"/>
    </row>
    <row r="558" spans="8:22" x14ac:dyDescent="0.2">
      <c r="H558" s="15"/>
      <c r="I558" s="110"/>
      <c r="J558" s="15"/>
      <c r="K558" s="110"/>
      <c r="L558" s="15"/>
      <c r="M558" s="110"/>
      <c r="N558" s="15"/>
      <c r="O558" s="110"/>
      <c r="P558" s="15"/>
      <c r="Q558" s="110"/>
      <c r="R558" s="15"/>
      <c r="S558" s="110"/>
      <c r="T558" s="15"/>
      <c r="U558" s="110"/>
      <c r="V558" s="15"/>
    </row>
    <row r="559" spans="8:22" x14ac:dyDescent="0.2">
      <c r="H559" s="15"/>
      <c r="I559" s="110"/>
      <c r="J559" s="15"/>
      <c r="K559" s="110"/>
      <c r="L559" s="15"/>
      <c r="M559" s="110"/>
      <c r="N559" s="15"/>
      <c r="O559" s="110"/>
      <c r="P559" s="15"/>
      <c r="Q559" s="110"/>
      <c r="R559" s="15"/>
      <c r="S559" s="110"/>
      <c r="T559" s="15"/>
      <c r="U559" s="110"/>
      <c r="V559" s="15"/>
    </row>
    <row r="560" spans="8:22" x14ac:dyDescent="0.2">
      <c r="H560" s="15"/>
      <c r="I560" s="110"/>
      <c r="J560" s="15"/>
      <c r="K560" s="110"/>
      <c r="L560" s="15"/>
      <c r="M560" s="110"/>
      <c r="N560" s="15"/>
      <c r="O560" s="110"/>
      <c r="P560" s="15"/>
      <c r="Q560" s="110"/>
      <c r="R560" s="15"/>
      <c r="S560" s="110"/>
      <c r="T560" s="15"/>
      <c r="U560" s="110"/>
      <c r="V560" s="15"/>
    </row>
    <row r="561" spans="8:22" x14ac:dyDescent="0.2">
      <c r="H561" s="15"/>
      <c r="I561" s="110"/>
      <c r="J561" s="15"/>
      <c r="K561" s="110"/>
      <c r="L561" s="15"/>
      <c r="M561" s="110"/>
      <c r="N561" s="15"/>
      <c r="O561" s="110"/>
      <c r="P561" s="15"/>
      <c r="Q561" s="110"/>
      <c r="R561" s="15"/>
      <c r="S561" s="110"/>
      <c r="T561" s="15"/>
      <c r="U561" s="110"/>
      <c r="V561" s="15"/>
    </row>
    <row r="562" spans="8:22" x14ac:dyDescent="0.2">
      <c r="H562" s="15"/>
      <c r="I562" s="110"/>
      <c r="J562" s="15"/>
      <c r="K562" s="110"/>
      <c r="L562" s="15"/>
      <c r="M562" s="110"/>
      <c r="N562" s="15"/>
      <c r="O562" s="110"/>
      <c r="P562" s="15"/>
      <c r="Q562" s="110"/>
      <c r="R562" s="15"/>
      <c r="S562" s="110"/>
      <c r="T562" s="15"/>
      <c r="U562" s="110"/>
      <c r="V562" s="15"/>
    </row>
    <row r="563" spans="8:22" x14ac:dyDescent="0.2">
      <c r="H563" s="15"/>
      <c r="I563" s="110"/>
      <c r="J563" s="15"/>
      <c r="K563" s="110"/>
      <c r="L563" s="15"/>
      <c r="M563" s="110"/>
      <c r="N563" s="15"/>
      <c r="O563" s="110"/>
      <c r="P563" s="15"/>
      <c r="Q563" s="110"/>
      <c r="R563" s="15"/>
      <c r="S563" s="110"/>
      <c r="T563" s="15"/>
      <c r="U563" s="110"/>
      <c r="V563" s="15"/>
    </row>
    <row r="564" spans="8:22" x14ac:dyDescent="0.2">
      <c r="H564" s="15"/>
      <c r="I564" s="110"/>
      <c r="J564" s="15"/>
      <c r="K564" s="110"/>
      <c r="L564" s="15"/>
      <c r="M564" s="110"/>
      <c r="N564" s="15"/>
      <c r="O564" s="110"/>
      <c r="P564" s="15"/>
      <c r="Q564" s="110"/>
      <c r="R564" s="15"/>
      <c r="S564" s="110"/>
      <c r="T564" s="15"/>
      <c r="U564" s="110"/>
      <c r="V564" s="15"/>
    </row>
    <row r="565" spans="8:22" x14ac:dyDescent="0.2">
      <c r="H565" s="15"/>
      <c r="I565" s="110"/>
      <c r="J565" s="15"/>
      <c r="K565" s="110"/>
      <c r="L565" s="15"/>
      <c r="M565" s="110"/>
      <c r="N565" s="15"/>
      <c r="O565" s="110"/>
      <c r="P565" s="15"/>
      <c r="Q565" s="110"/>
      <c r="R565" s="15"/>
      <c r="S565" s="110"/>
      <c r="T565" s="15"/>
      <c r="U565" s="110"/>
      <c r="V565" s="15"/>
    </row>
    <row r="566" spans="8:22" x14ac:dyDescent="0.2">
      <c r="H566" s="15"/>
      <c r="I566" s="110"/>
      <c r="J566" s="15"/>
      <c r="K566" s="110"/>
      <c r="L566" s="15"/>
      <c r="M566" s="110"/>
      <c r="N566" s="15"/>
      <c r="O566" s="110"/>
      <c r="P566" s="15"/>
      <c r="Q566" s="110"/>
      <c r="R566" s="15"/>
      <c r="S566" s="110"/>
      <c r="T566" s="15"/>
      <c r="U566" s="110"/>
      <c r="V566" s="15"/>
    </row>
    <row r="567" spans="8:22" x14ac:dyDescent="0.2">
      <c r="H567" s="15"/>
      <c r="I567" s="110"/>
      <c r="J567" s="15"/>
      <c r="K567" s="110"/>
      <c r="L567" s="15"/>
      <c r="M567" s="110"/>
      <c r="N567" s="15"/>
      <c r="O567" s="110"/>
      <c r="P567" s="15"/>
      <c r="Q567" s="110"/>
      <c r="R567" s="15"/>
      <c r="S567" s="110"/>
      <c r="T567" s="15"/>
      <c r="U567" s="110"/>
      <c r="V567" s="15"/>
    </row>
    <row r="568" spans="8:22" x14ac:dyDescent="0.2">
      <c r="H568" s="15"/>
      <c r="I568" s="110"/>
      <c r="J568" s="15"/>
      <c r="K568" s="110"/>
      <c r="L568" s="15"/>
      <c r="M568" s="110"/>
      <c r="N568" s="15"/>
      <c r="O568" s="110"/>
      <c r="P568" s="15"/>
      <c r="Q568" s="110"/>
      <c r="R568" s="15"/>
      <c r="S568" s="110"/>
      <c r="T568" s="15"/>
      <c r="U568" s="110"/>
      <c r="V568" s="15"/>
    </row>
    <row r="569" spans="8:22" x14ac:dyDescent="0.2">
      <c r="H569" s="15"/>
      <c r="I569" s="110"/>
      <c r="J569" s="15"/>
      <c r="K569" s="110"/>
      <c r="L569" s="15"/>
      <c r="M569" s="110"/>
      <c r="N569" s="15"/>
      <c r="O569" s="110"/>
      <c r="P569" s="15"/>
      <c r="Q569" s="110"/>
      <c r="R569" s="15"/>
      <c r="S569" s="110"/>
      <c r="T569" s="15"/>
      <c r="U569" s="110"/>
      <c r="V569" s="15"/>
    </row>
    <row r="570" spans="8:22" x14ac:dyDescent="0.2">
      <c r="H570" s="15"/>
      <c r="I570" s="110"/>
      <c r="J570" s="15"/>
      <c r="K570" s="110"/>
      <c r="L570" s="15"/>
      <c r="M570" s="110"/>
      <c r="N570" s="15"/>
      <c r="O570" s="110"/>
      <c r="P570" s="15"/>
      <c r="Q570" s="110"/>
      <c r="R570" s="15"/>
      <c r="S570" s="110"/>
      <c r="T570" s="15"/>
      <c r="U570" s="110"/>
      <c r="V570" s="15"/>
    </row>
    <row r="571" spans="8:22" x14ac:dyDescent="0.2">
      <c r="H571" s="15"/>
      <c r="I571" s="110"/>
      <c r="J571" s="15"/>
      <c r="K571" s="110"/>
      <c r="L571" s="15"/>
      <c r="M571" s="110"/>
      <c r="N571" s="15"/>
      <c r="O571" s="110"/>
      <c r="P571" s="15"/>
      <c r="Q571" s="110"/>
      <c r="R571" s="15"/>
      <c r="S571" s="110"/>
      <c r="T571" s="15"/>
      <c r="U571" s="110"/>
      <c r="V571" s="15"/>
    </row>
    <row r="572" spans="8:22" x14ac:dyDescent="0.2">
      <c r="H572" s="15"/>
      <c r="I572" s="110"/>
      <c r="J572" s="15"/>
      <c r="K572" s="110"/>
      <c r="L572" s="15"/>
      <c r="M572" s="110"/>
      <c r="N572" s="15"/>
      <c r="O572" s="110"/>
      <c r="P572" s="15"/>
      <c r="Q572" s="110"/>
      <c r="R572" s="15"/>
      <c r="S572" s="110"/>
      <c r="T572" s="15"/>
      <c r="U572" s="110"/>
      <c r="V572" s="15"/>
    </row>
    <row r="573" spans="8:22" x14ac:dyDescent="0.2">
      <c r="H573" s="15"/>
      <c r="I573" s="110"/>
      <c r="J573" s="15"/>
      <c r="K573" s="110"/>
      <c r="L573" s="15"/>
      <c r="M573" s="110"/>
      <c r="N573" s="15"/>
      <c r="O573" s="110"/>
      <c r="P573" s="15"/>
      <c r="Q573" s="110"/>
      <c r="R573" s="15"/>
      <c r="S573" s="110"/>
      <c r="T573" s="15"/>
      <c r="U573" s="110"/>
      <c r="V573" s="15"/>
    </row>
    <row r="574" spans="8:22" x14ac:dyDescent="0.2">
      <c r="H574" s="15"/>
      <c r="I574" s="110"/>
      <c r="J574" s="15"/>
      <c r="K574" s="110"/>
      <c r="L574" s="15"/>
      <c r="M574" s="110"/>
      <c r="N574" s="15"/>
      <c r="O574" s="110"/>
      <c r="P574" s="15"/>
      <c r="Q574" s="110"/>
      <c r="R574" s="15"/>
      <c r="S574" s="110"/>
      <c r="T574" s="15"/>
      <c r="U574" s="110"/>
      <c r="V574" s="15"/>
    </row>
    <row r="575" spans="8:22" x14ac:dyDescent="0.2">
      <c r="H575" s="15"/>
      <c r="I575" s="110"/>
      <c r="J575" s="15"/>
      <c r="K575" s="110"/>
      <c r="L575" s="15"/>
      <c r="M575" s="110"/>
      <c r="N575" s="15"/>
      <c r="O575" s="110"/>
      <c r="P575" s="15"/>
      <c r="Q575" s="110"/>
      <c r="R575" s="15"/>
      <c r="S575" s="110"/>
      <c r="T575" s="15"/>
      <c r="U575" s="110"/>
      <c r="V575" s="15"/>
    </row>
    <row r="576" spans="8:22" x14ac:dyDescent="0.2">
      <c r="H576" s="15"/>
      <c r="I576" s="110"/>
      <c r="J576" s="15"/>
      <c r="K576" s="110"/>
      <c r="L576" s="15"/>
      <c r="M576" s="110"/>
      <c r="N576" s="15"/>
      <c r="O576" s="110"/>
      <c r="P576" s="15"/>
      <c r="Q576" s="110"/>
      <c r="R576" s="15"/>
      <c r="S576" s="110"/>
      <c r="T576" s="15"/>
      <c r="U576" s="110"/>
      <c r="V576" s="15"/>
    </row>
    <row r="577" spans="8:22" x14ac:dyDescent="0.2">
      <c r="H577" s="15"/>
      <c r="I577" s="110"/>
      <c r="J577" s="15"/>
      <c r="K577" s="110"/>
      <c r="L577" s="15"/>
      <c r="M577" s="110"/>
      <c r="N577" s="15"/>
      <c r="O577" s="110"/>
      <c r="P577" s="15"/>
      <c r="Q577" s="110"/>
      <c r="R577" s="15"/>
      <c r="S577" s="110"/>
      <c r="T577" s="15"/>
      <c r="U577" s="110"/>
      <c r="V577" s="15"/>
    </row>
    <row r="578" spans="8:22" x14ac:dyDescent="0.2">
      <c r="H578" s="15"/>
      <c r="I578" s="110"/>
      <c r="J578" s="15"/>
      <c r="K578" s="110"/>
      <c r="L578" s="15"/>
      <c r="M578" s="110"/>
      <c r="N578" s="15"/>
      <c r="O578" s="110"/>
      <c r="P578" s="15"/>
      <c r="Q578" s="110"/>
      <c r="R578" s="15"/>
      <c r="S578" s="110"/>
      <c r="T578" s="15"/>
      <c r="U578" s="110"/>
      <c r="V578" s="15"/>
    </row>
    <row r="579" spans="8:22" x14ac:dyDescent="0.2">
      <c r="H579" s="15"/>
      <c r="I579" s="110"/>
      <c r="J579" s="15"/>
      <c r="K579" s="110"/>
      <c r="L579" s="15"/>
      <c r="M579" s="110"/>
      <c r="N579" s="15"/>
      <c r="O579" s="110"/>
      <c r="P579" s="15"/>
      <c r="Q579" s="110"/>
      <c r="R579" s="15"/>
      <c r="S579" s="110"/>
      <c r="T579" s="15"/>
      <c r="U579" s="110"/>
      <c r="V579" s="15"/>
    </row>
    <row r="580" spans="8:22" x14ac:dyDescent="0.2">
      <c r="H580" s="15"/>
      <c r="I580" s="110"/>
      <c r="J580" s="15"/>
      <c r="K580" s="110"/>
      <c r="L580" s="15"/>
      <c r="M580" s="110"/>
      <c r="N580" s="15"/>
      <c r="O580" s="110"/>
      <c r="P580" s="15"/>
      <c r="Q580" s="110"/>
      <c r="R580" s="15"/>
      <c r="S580" s="110"/>
      <c r="T580" s="15"/>
      <c r="U580" s="110"/>
      <c r="V580" s="15"/>
    </row>
    <row r="581" spans="8:22" x14ac:dyDescent="0.2">
      <c r="H581" s="15"/>
      <c r="I581" s="110"/>
      <c r="J581" s="15"/>
      <c r="K581" s="110"/>
      <c r="L581" s="15"/>
      <c r="M581" s="110"/>
      <c r="N581" s="15"/>
      <c r="O581" s="110"/>
      <c r="P581" s="15"/>
      <c r="Q581" s="110"/>
      <c r="R581" s="15"/>
      <c r="S581" s="110"/>
      <c r="T581" s="15"/>
      <c r="U581" s="110"/>
      <c r="V581" s="15"/>
    </row>
    <row r="582" spans="8:22" x14ac:dyDescent="0.2">
      <c r="H582" s="15"/>
      <c r="I582" s="110"/>
      <c r="J582" s="15"/>
      <c r="K582" s="110"/>
      <c r="L582" s="15"/>
      <c r="M582" s="110"/>
      <c r="N582" s="15"/>
      <c r="O582" s="110"/>
      <c r="P582" s="15"/>
      <c r="Q582" s="110"/>
      <c r="R582" s="15"/>
      <c r="S582" s="110"/>
      <c r="T582" s="15"/>
      <c r="U582" s="110"/>
      <c r="V582" s="15"/>
    </row>
    <row r="583" spans="8:22" x14ac:dyDescent="0.2">
      <c r="H583" s="15"/>
      <c r="I583" s="110"/>
      <c r="J583" s="15"/>
      <c r="K583" s="110"/>
      <c r="L583" s="15"/>
      <c r="M583" s="110"/>
      <c r="N583" s="15"/>
      <c r="O583" s="110"/>
      <c r="P583" s="15"/>
      <c r="Q583" s="110"/>
      <c r="R583" s="15"/>
      <c r="S583" s="110"/>
      <c r="T583" s="15"/>
      <c r="U583" s="110"/>
      <c r="V583" s="15"/>
    </row>
    <row r="584" spans="8:22" x14ac:dyDescent="0.2">
      <c r="H584" s="15"/>
      <c r="I584" s="110"/>
      <c r="J584" s="15"/>
      <c r="K584" s="110"/>
      <c r="L584" s="15"/>
      <c r="M584" s="110"/>
      <c r="N584" s="15"/>
      <c r="O584" s="110"/>
      <c r="P584" s="15"/>
      <c r="Q584" s="110"/>
      <c r="R584" s="15"/>
      <c r="S584" s="110"/>
      <c r="T584" s="15"/>
      <c r="U584" s="110"/>
      <c r="V584" s="15"/>
    </row>
    <row r="585" spans="8:22" x14ac:dyDescent="0.2">
      <c r="H585" s="15"/>
      <c r="I585" s="110"/>
      <c r="J585" s="15"/>
      <c r="K585" s="110"/>
      <c r="L585" s="15"/>
      <c r="M585" s="110"/>
      <c r="N585" s="15"/>
      <c r="O585" s="110"/>
      <c r="P585" s="15"/>
      <c r="Q585" s="110"/>
      <c r="R585" s="15"/>
      <c r="S585" s="110"/>
      <c r="T585" s="15"/>
      <c r="U585" s="110"/>
      <c r="V585" s="15"/>
    </row>
    <row r="586" spans="8:22" x14ac:dyDescent="0.2">
      <c r="H586" s="15"/>
      <c r="I586" s="110"/>
      <c r="J586" s="15"/>
      <c r="K586" s="110"/>
      <c r="L586" s="15"/>
      <c r="M586" s="110"/>
      <c r="N586" s="15"/>
      <c r="O586" s="110"/>
      <c r="P586" s="15"/>
      <c r="Q586" s="110"/>
      <c r="R586" s="15"/>
      <c r="S586" s="110"/>
      <c r="T586" s="15"/>
      <c r="U586" s="110"/>
      <c r="V586" s="15"/>
    </row>
    <row r="587" spans="8:22" x14ac:dyDescent="0.2">
      <c r="H587" s="15"/>
      <c r="I587" s="110"/>
      <c r="J587" s="15"/>
      <c r="K587" s="110"/>
      <c r="L587" s="15"/>
      <c r="M587" s="110"/>
      <c r="N587" s="15"/>
      <c r="O587" s="110"/>
      <c r="P587" s="15"/>
      <c r="Q587" s="110"/>
      <c r="R587" s="15"/>
      <c r="S587" s="110"/>
      <c r="T587" s="15"/>
      <c r="U587" s="110"/>
      <c r="V587" s="15"/>
    </row>
    <row r="588" spans="8:22" x14ac:dyDescent="0.2">
      <c r="H588" s="15"/>
      <c r="I588" s="110"/>
      <c r="J588" s="15"/>
      <c r="K588" s="110"/>
      <c r="L588" s="15"/>
      <c r="M588" s="110"/>
      <c r="N588" s="15"/>
      <c r="O588" s="110"/>
      <c r="P588" s="15"/>
      <c r="Q588" s="110"/>
      <c r="R588" s="15"/>
      <c r="S588" s="110"/>
      <c r="T588" s="15"/>
      <c r="U588" s="110"/>
      <c r="V588" s="15"/>
    </row>
    <row r="589" spans="8:22" x14ac:dyDescent="0.2">
      <c r="H589" s="15"/>
      <c r="I589" s="110"/>
      <c r="J589" s="15"/>
      <c r="K589" s="110"/>
      <c r="L589" s="15"/>
      <c r="M589" s="110"/>
      <c r="N589" s="15"/>
      <c r="O589" s="110"/>
      <c r="P589" s="15"/>
      <c r="Q589" s="110"/>
      <c r="R589" s="15"/>
      <c r="S589" s="110"/>
      <c r="T589" s="15"/>
      <c r="U589" s="110"/>
      <c r="V589" s="15"/>
    </row>
    <row r="590" spans="8:22" x14ac:dyDescent="0.2">
      <c r="H590" s="15"/>
      <c r="I590" s="110"/>
      <c r="J590" s="15"/>
      <c r="K590" s="110"/>
      <c r="L590" s="15"/>
      <c r="M590" s="110"/>
      <c r="N590" s="15"/>
      <c r="O590" s="110"/>
      <c r="P590" s="15"/>
      <c r="Q590" s="110"/>
      <c r="R590" s="15"/>
      <c r="S590" s="110"/>
      <c r="T590" s="15"/>
      <c r="U590" s="110"/>
      <c r="V590" s="15"/>
    </row>
    <row r="591" spans="8:22" x14ac:dyDescent="0.2">
      <c r="H591" s="15"/>
      <c r="I591" s="110"/>
      <c r="J591" s="15"/>
      <c r="K591" s="110"/>
      <c r="L591" s="15"/>
      <c r="M591" s="110"/>
      <c r="N591" s="15"/>
      <c r="O591" s="110"/>
      <c r="P591" s="15"/>
      <c r="Q591" s="110"/>
      <c r="R591" s="15"/>
      <c r="S591" s="110"/>
      <c r="T591" s="15"/>
      <c r="U591" s="110"/>
      <c r="V591" s="15"/>
    </row>
    <row r="592" spans="8:22" x14ac:dyDescent="0.2">
      <c r="H592" s="15"/>
      <c r="I592" s="110"/>
      <c r="J592" s="15"/>
      <c r="K592" s="110"/>
      <c r="L592" s="15"/>
      <c r="M592" s="110"/>
      <c r="N592" s="15"/>
      <c r="O592" s="110"/>
      <c r="P592" s="15"/>
      <c r="Q592" s="110"/>
      <c r="R592" s="15"/>
      <c r="S592" s="110"/>
      <c r="T592" s="15"/>
      <c r="U592" s="110"/>
      <c r="V592" s="15"/>
    </row>
    <row r="593" spans="8:22" x14ac:dyDescent="0.2">
      <c r="H593" s="15"/>
      <c r="I593" s="110"/>
      <c r="J593" s="15"/>
      <c r="K593" s="110"/>
      <c r="L593" s="15"/>
      <c r="M593" s="110"/>
      <c r="N593" s="15"/>
      <c r="O593" s="110"/>
      <c r="P593" s="15"/>
      <c r="Q593" s="110"/>
      <c r="R593" s="15"/>
      <c r="S593" s="110"/>
      <c r="T593" s="15"/>
      <c r="U593" s="110"/>
      <c r="V593" s="15"/>
    </row>
    <row r="594" spans="8:22" x14ac:dyDescent="0.2">
      <c r="H594" s="15"/>
      <c r="I594" s="110"/>
      <c r="J594" s="15"/>
      <c r="K594" s="110"/>
      <c r="L594" s="15"/>
      <c r="M594" s="110"/>
      <c r="N594" s="15"/>
      <c r="O594" s="110"/>
      <c r="P594" s="15"/>
      <c r="Q594" s="110"/>
      <c r="R594" s="15"/>
      <c r="S594" s="110"/>
      <c r="T594" s="15"/>
      <c r="U594" s="110"/>
      <c r="V594" s="15"/>
    </row>
    <row r="595" spans="8:22" x14ac:dyDescent="0.2">
      <c r="H595" s="15"/>
      <c r="I595" s="110"/>
      <c r="J595" s="15"/>
      <c r="K595" s="110"/>
      <c r="L595" s="15"/>
      <c r="M595" s="110"/>
      <c r="N595" s="15"/>
      <c r="O595" s="110"/>
      <c r="P595" s="15"/>
      <c r="Q595" s="110"/>
      <c r="R595" s="15"/>
      <c r="S595" s="110"/>
      <c r="T595" s="15"/>
      <c r="U595" s="110"/>
      <c r="V595" s="15"/>
    </row>
    <row r="596" spans="8:22" x14ac:dyDescent="0.2">
      <c r="H596" s="15"/>
      <c r="I596" s="110"/>
      <c r="J596" s="15"/>
      <c r="K596" s="110"/>
      <c r="L596" s="15"/>
      <c r="M596" s="110"/>
      <c r="N596" s="15"/>
      <c r="O596" s="110"/>
      <c r="P596" s="15"/>
      <c r="Q596" s="110"/>
      <c r="R596" s="15"/>
      <c r="S596" s="110"/>
      <c r="T596" s="15"/>
      <c r="U596" s="110"/>
      <c r="V596" s="15"/>
    </row>
    <row r="597" spans="8:22" x14ac:dyDescent="0.2">
      <c r="H597" s="15"/>
      <c r="I597" s="110"/>
      <c r="J597" s="15"/>
      <c r="K597" s="110"/>
      <c r="L597" s="15"/>
      <c r="M597" s="110"/>
      <c r="N597" s="15"/>
      <c r="O597" s="110"/>
      <c r="P597" s="15"/>
      <c r="Q597" s="110"/>
      <c r="R597" s="15"/>
      <c r="S597" s="110"/>
      <c r="T597" s="15"/>
      <c r="U597" s="110"/>
      <c r="V597" s="15"/>
    </row>
    <row r="598" spans="8:22" x14ac:dyDescent="0.2">
      <c r="H598" s="15"/>
      <c r="I598" s="110"/>
      <c r="J598" s="15"/>
      <c r="K598" s="110"/>
      <c r="L598" s="15"/>
      <c r="M598" s="110"/>
      <c r="N598" s="15"/>
      <c r="O598" s="110"/>
      <c r="P598" s="15"/>
      <c r="Q598" s="110"/>
      <c r="R598" s="15"/>
      <c r="S598" s="110"/>
      <c r="T598" s="15"/>
      <c r="U598" s="110"/>
      <c r="V598" s="15"/>
    </row>
    <row r="599" spans="8:22" x14ac:dyDescent="0.2">
      <c r="H599" s="15"/>
      <c r="I599" s="110"/>
      <c r="J599" s="15"/>
      <c r="K599" s="110"/>
      <c r="L599" s="15"/>
      <c r="M599" s="110"/>
      <c r="N599" s="15"/>
      <c r="O599" s="110"/>
      <c r="P599" s="15"/>
      <c r="Q599" s="110"/>
      <c r="R599" s="15"/>
      <c r="S599" s="110"/>
      <c r="T599" s="15"/>
      <c r="U599" s="110"/>
      <c r="V599" s="15"/>
    </row>
    <row r="600" spans="8:22" x14ac:dyDescent="0.2">
      <c r="H600" s="15"/>
      <c r="I600" s="110"/>
      <c r="J600" s="15"/>
      <c r="K600" s="110"/>
      <c r="L600" s="15"/>
      <c r="M600" s="110"/>
      <c r="N600" s="15"/>
      <c r="O600" s="110"/>
      <c r="P600" s="15"/>
      <c r="Q600" s="110"/>
      <c r="R600" s="15"/>
      <c r="S600" s="110"/>
      <c r="T600" s="15"/>
      <c r="U600" s="110"/>
      <c r="V600" s="15"/>
    </row>
    <row r="601" spans="8:22" x14ac:dyDescent="0.2">
      <c r="H601" s="15"/>
      <c r="I601" s="110"/>
      <c r="J601" s="15"/>
      <c r="K601" s="110"/>
      <c r="L601" s="15"/>
      <c r="M601" s="110"/>
      <c r="N601" s="15"/>
      <c r="O601" s="110"/>
      <c r="P601" s="15"/>
      <c r="Q601" s="110"/>
      <c r="R601" s="15"/>
      <c r="S601" s="110"/>
      <c r="T601" s="15"/>
      <c r="U601" s="110"/>
      <c r="V601" s="15"/>
    </row>
    <row r="602" spans="8:22" x14ac:dyDescent="0.2">
      <c r="H602" s="15"/>
      <c r="I602" s="110"/>
      <c r="J602" s="15"/>
      <c r="K602" s="110"/>
      <c r="L602" s="15"/>
      <c r="M602" s="110"/>
      <c r="N602" s="15"/>
      <c r="O602" s="110"/>
      <c r="P602" s="15"/>
      <c r="Q602" s="110"/>
      <c r="R602" s="15"/>
      <c r="S602" s="110"/>
      <c r="T602" s="15"/>
      <c r="U602" s="110"/>
      <c r="V602" s="15"/>
    </row>
    <row r="603" spans="8:22" x14ac:dyDescent="0.2">
      <c r="H603" s="15"/>
      <c r="I603" s="110"/>
      <c r="J603" s="15"/>
      <c r="K603" s="110"/>
      <c r="L603" s="15"/>
      <c r="M603" s="110"/>
      <c r="N603" s="15"/>
      <c r="O603" s="110"/>
      <c r="P603" s="15"/>
      <c r="Q603" s="110"/>
      <c r="R603" s="15"/>
      <c r="S603" s="110"/>
      <c r="T603" s="15"/>
      <c r="U603" s="110"/>
      <c r="V603" s="15"/>
    </row>
    <row r="604" spans="8:22" x14ac:dyDescent="0.2">
      <c r="H604" s="15"/>
      <c r="I604" s="110"/>
      <c r="J604" s="15"/>
      <c r="K604" s="110"/>
      <c r="L604" s="15"/>
      <c r="M604" s="110"/>
      <c r="N604" s="15"/>
      <c r="O604" s="110"/>
      <c r="P604" s="15"/>
      <c r="Q604" s="110"/>
      <c r="R604" s="15"/>
      <c r="S604" s="110"/>
      <c r="T604" s="15"/>
      <c r="U604" s="110"/>
      <c r="V604" s="15"/>
    </row>
    <row r="605" spans="8:22" x14ac:dyDescent="0.2">
      <c r="H605" s="15"/>
      <c r="I605" s="110"/>
      <c r="J605" s="15"/>
      <c r="K605" s="110"/>
      <c r="L605" s="15"/>
      <c r="M605" s="110"/>
      <c r="N605" s="15"/>
      <c r="O605" s="110"/>
      <c r="P605" s="15"/>
      <c r="Q605" s="110"/>
      <c r="R605" s="15"/>
      <c r="S605" s="110"/>
      <c r="T605" s="15"/>
      <c r="U605" s="110"/>
      <c r="V605" s="15"/>
    </row>
    <row r="606" spans="8:22" x14ac:dyDescent="0.2">
      <c r="H606" s="15"/>
      <c r="I606" s="110"/>
      <c r="J606" s="15"/>
      <c r="K606" s="110"/>
      <c r="L606" s="15"/>
      <c r="M606" s="110"/>
      <c r="N606" s="15"/>
      <c r="O606" s="110"/>
      <c r="P606" s="15"/>
      <c r="Q606" s="110"/>
      <c r="R606" s="15"/>
      <c r="S606" s="110"/>
      <c r="T606" s="15"/>
      <c r="U606" s="110"/>
      <c r="V606" s="15"/>
    </row>
    <row r="607" spans="8:22" x14ac:dyDescent="0.2">
      <c r="H607" s="15"/>
      <c r="I607" s="110"/>
      <c r="J607" s="15"/>
      <c r="K607" s="110"/>
      <c r="L607" s="15"/>
      <c r="M607" s="110"/>
      <c r="N607" s="15"/>
      <c r="O607" s="110"/>
      <c r="P607" s="15"/>
      <c r="Q607" s="110"/>
      <c r="R607" s="15"/>
      <c r="S607" s="110"/>
      <c r="T607" s="15"/>
      <c r="U607" s="110"/>
      <c r="V607" s="15"/>
    </row>
    <row r="608" spans="8:22" x14ac:dyDescent="0.2">
      <c r="H608" s="15"/>
      <c r="I608" s="110"/>
      <c r="J608" s="15"/>
      <c r="K608" s="110"/>
      <c r="L608" s="15"/>
      <c r="M608" s="110"/>
      <c r="N608" s="15"/>
      <c r="O608" s="110"/>
      <c r="P608" s="15"/>
      <c r="Q608" s="110"/>
      <c r="R608" s="15"/>
      <c r="S608" s="110"/>
      <c r="T608" s="15"/>
      <c r="U608" s="110"/>
      <c r="V608" s="15"/>
    </row>
    <row r="609" spans="8:22" x14ac:dyDescent="0.2">
      <c r="H609" s="15"/>
      <c r="I609" s="110"/>
      <c r="J609" s="15"/>
      <c r="K609" s="110"/>
      <c r="L609" s="15"/>
      <c r="M609" s="110"/>
      <c r="N609" s="15"/>
      <c r="O609" s="110"/>
      <c r="P609" s="15"/>
      <c r="Q609" s="110"/>
      <c r="R609" s="15"/>
      <c r="S609" s="110"/>
      <c r="T609" s="15"/>
      <c r="U609" s="110"/>
      <c r="V609" s="15"/>
    </row>
    <row r="610" spans="8:22" x14ac:dyDescent="0.2">
      <c r="H610" s="15"/>
      <c r="I610" s="110"/>
      <c r="J610" s="15"/>
      <c r="K610" s="110"/>
      <c r="L610" s="15"/>
      <c r="M610" s="110"/>
      <c r="N610" s="15"/>
      <c r="O610" s="110"/>
      <c r="P610" s="15"/>
      <c r="Q610" s="110"/>
      <c r="R610" s="15"/>
      <c r="S610" s="110"/>
      <c r="T610" s="15"/>
      <c r="U610" s="110"/>
      <c r="V610" s="15"/>
    </row>
    <row r="611" spans="8:22" x14ac:dyDescent="0.2">
      <c r="H611" s="15"/>
      <c r="I611" s="110"/>
      <c r="J611" s="15"/>
      <c r="K611" s="110"/>
      <c r="L611" s="15"/>
      <c r="M611" s="110"/>
      <c r="N611" s="15"/>
      <c r="O611" s="110"/>
      <c r="P611" s="15"/>
      <c r="Q611" s="110"/>
      <c r="R611" s="15"/>
      <c r="S611" s="110"/>
      <c r="T611" s="15"/>
      <c r="U611" s="110"/>
      <c r="V611" s="15"/>
    </row>
    <row r="612" spans="8:22" x14ac:dyDescent="0.2">
      <c r="H612" s="15"/>
      <c r="I612" s="110"/>
      <c r="J612" s="15"/>
      <c r="K612" s="110"/>
      <c r="L612" s="15"/>
      <c r="M612" s="110"/>
      <c r="N612" s="15"/>
      <c r="O612" s="110"/>
      <c r="P612" s="15"/>
      <c r="Q612" s="110"/>
      <c r="R612" s="15"/>
      <c r="S612" s="110"/>
      <c r="T612" s="15"/>
      <c r="U612" s="110"/>
      <c r="V612" s="15"/>
    </row>
    <row r="613" spans="8:22" x14ac:dyDescent="0.2">
      <c r="H613" s="15"/>
      <c r="I613" s="110"/>
      <c r="J613" s="15"/>
      <c r="K613" s="110"/>
      <c r="L613" s="15"/>
      <c r="M613" s="110"/>
      <c r="N613" s="15"/>
      <c r="O613" s="110"/>
      <c r="P613" s="15"/>
      <c r="Q613" s="110"/>
      <c r="R613" s="15"/>
      <c r="S613" s="110"/>
      <c r="T613" s="15"/>
      <c r="U613" s="110"/>
      <c r="V613" s="15"/>
    </row>
    <row r="614" spans="8:22" x14ac:dyDescent="0.2">
      <c r="H614" s="15"/>
      <c r="I614" s="110"/>
      <c r="J614" s="15"/>
      <c r="K614" s="110"/>
      <c r="L614" s="15"/>
      <c r="M614" s="110"/>
      <c r="N614" s="15"/>
      <c r="O614" s="110"/>
      <c r="P614" s="15"/>
      <c r="Q614" s="110"/>
      <c r="R614" s="15"/>
      <c r="S614" s="110"/>
      <c r="T614" s="15"/>
      <c r="U614" s="110"/>
      <c r="V614" s="15"/>
    </row>
    <row r="615" spans="8:22" x14ac:dyDescent="0.2">
      <c r="H615" s="15"/>
      <c r="I615" s="110"/>
      <c r="J615" s="15"/>
      <c r="K615" s="110"/>
      <c r="L615" s="15"/>
      <c r="M615" s="110"/>
      <c r="N615" s="15"/>
      <c r="O615" s="110"/>
      <c r="P615" s="15"/>
      <c r="Q615" s="110"/>
      <c r="R615" s="15"/>
      <c r="S615" s="110"/>
      <c r="T615" s="15"/>
      <c r="U615" s="110"/>
      <c r="V615" s="15"/>
    </row>
    <row r="616" spans="8:22" x14ac:dyDescent="0.2">
      <c r="H616" s="15"/>
      <c r="I616" s="110"/>
      <c r="J616" s="15"/>
      <c r="K616" s="110"/>
      <c r="L616" s="15"/>
      <c r="M616" s="110"/>
      <c r="N616" s="15"/>
      <c r="O616" s="110"/>
      <c r="P616" s="15"/>
      <c r="Q616" s="110"/>
      <c r="R616" s="15"/>
      <c r="S616" s="110"/>
      <c r="T616" s="15"/>
      <c r="U616" s="110"/>
      <c r="V616" s="15"/>
    </row>
    <row r="617" spans="8:22" x14ac:dyDescent="0.2">
      <c r="H617" s="15"/>
      <c r="I617" s="110"/>
      <c r="J617" s="15"/>
      <c r="K617" s="110"/>
      <c r="L617" s="15"/>
      <c r="M617" s="110"/>
      <c r="N617" s="15"/>
      <c r="O617" s="110"/>
      <c r="P617" s="15"/>
      <c r="Q617" s="110"/>
      <c r="R617" s="15"/>
      <c r="S617" s="110"/>
      <c r="T617" s="15"/>
      <c r="U617" s="110"/>
      <c r="V617" s="15"/>
    </row>
    <row r="618" spans="8:22" x14ac:dyDescent="0.2">
      <c r="H618" s="15"/>
      <c r="I618" s="110"/>
      <c r="J618" s="15"/>
      <c r="K618" s="110"/>
      <c r="L618" s="15"/>
      <c r="M618" s="110"/>
      <c r="N618" s="15"/>
      <c r="O618" s="110"/>
      <c r="P618" s="15"/>
      <c r="Q618" s="110"/>
      <c r="R618" s="15"/>
      <c r="S618" s="110"/>
      <c r="T618" s="15"/>
      <c r="U618" s="110"/>
      <c r="V618" s="15"/>
    </row>
    <row r="619" spans="8:22" x14ac:dyDescent="0.2">
      <c r="H619" s="15"/>
      <c r="I619" s="110"/>
      <c r="J619" s="15"/>
      <c r="K619" s="110"/>
      <c r="L619" s="15"/>
      <c r="M619" s="110"/>
      <c r="N619" s="15"/>
      <c r="O619" s="110"/>
      <c r="P619" s="15"/>
      <c r="Q619" s="110"/>
      <c r="R619" s="15"/>
      <c r="S619" s="110"/>
      <c r="T619" s="15"/>
      <c r="U619" s="110"/>
      <c r="V619" s="15"/>
    </row>
    <row r="620" spans="8:22" x14ac:dyDescent="0.2">
      <c r="H620" s="15"/>
      <c r="I620" s="110"/>
      <c r="J620" s="15"/>
      <c r="K620" s="110"/>
      <c r="L620" s="15"/>
      <c r="M620" s="110"/>
      <c r="N620" s="15"/>
      <c r="O620" s="110"/>
      <c r="P620" s="15"/>
      <c r="Q620" s="110"/>
      <c r="R620" s="15"/>
      <c r="S620" s="110"/>
      <c r="T620" s="15"/>
      <c r="U620" s="110"/>
      <c r="V620" s="15"/>
    </row>
    <row r="621" spans="8:22" x14ac:dyDescent="0.2">
      <c r="H621" s="15"/>
      <c r="I621" s="110"/>
      <c r="J621" s="15"/>
      <c r="K621" s="110"/>
      <c r="L621" s="15"/>
      <c r="M621" s="110"/>
      <c r="N621" s="15"/>
      <c r="O621" s="110"/>
      <c r="P621" s="15"/>
      <c r="Q621" s="110"/>
      <c r="R621" s="15"/>
      <c r="S621" s="110"/>
      <c r="T621" s="15"/>
      <c r="U621" s="110"/>
      <c r="V621" s="15"/>
    </row>
    <row r="622" spans="8:22" x14ac:dyDescent="0.2">
      <c r="H622" s="15"/>
      <c r="I622" s="110"/>
      <c r="J622" s="15"/>
      <c r="K622" s="110"/>
      <c r="L622" s="15"/>
      <c r="M622" s="110"/>
      <c r="N622" s="15"/>
      <c r="O622" s="110"/>
      <c r="P622" s="15"/>
      <c r="Q622" s="110"/>
      <c r="R622" s="15"/>
      <c r="S622" s="110"/>
      <c r="T622" s="15"/>
      <c r="U622" s="110"/>
      <c r="V622" s="15"/>
    </row>
    <row r="623" spans="8:22" x14ac:dyDescent="0.2">
      <c r="H623" s="15"/>
      <c r="I623" s="110"/>
      <c r="J623" s="15"/>
      <c r="K623" s="110"/>
      <c r="L623" s="15"/>
      <c r="M623" s="110"/>
      <c r="N623" s="15"/>
      <c r="O623" s="110"/>
      <c r="P623" s="15"/>
      <c r="Q623" s="110"/>
      <c r="R623" s="15"/>
      <c r="S623" s="110"/>
      <c r="T623" s="15"/>
      <c r="U623" s="110"/>
      <c r="V623" s="15"/>
    </row>
    <row r="624" spans="8:22" x14ac:dyDescent="0.2">
      <c r="H624" s="15"/>
      <c r="I624" s="110"/>
      <c r="J624" s="15"/>
      <c r="K624" s="110"/>
      <c r="L624" s="15"/>
      <c r="M624" s="110"/>
      <c r="N624" s="15"/>
      <c r="O624" s="110"/>
      <c r="P624" s="15"/>
      <c r="Q624" s="110"/>
      <c r="R624" s="15"/>
      <c r="S624" s="110"/>
      <c r="T624" s="15"/>
      <c r="U624" s="110"/>
      <c r="V624" s="15"/>
    </row>
    <row r="625" spans="8:22" x14ac:dyDescent="0.2">
      <c r="H625" s="15"/>
      <c r="I625" s="110"/>
      <c r="J625" s="15"/>
      <c r="K625" s="110"/>
      <c r="L625" s="15"/>
      <c r="M625" s="110"/>
      <c r="N625" s="15"/>
      <c r="O625" s="110"/>
      <c r="P625" s="15"/>
      <c r="Q625" s="110"/>
      <c r="R625" s="15"/>
      <c r="S625" s="110"/>
      <c r="T625" s="15"/>
      <c r="U625" s="110"/>
      <c r="V625" s="15"/>
    </row>
    <row r="626" spans="8:22" x14ac:dyDescent="0.2">
      <c r="H626" s="15"/>
      <c r="I626" s="110"/>
      <c r="J626" s="15"/>
      <c r="K626" s="110"/>
      <c r="L626" s="15"/>
      <c r="M626" s="110"/>
      <c r="N626" s="15"/>
      <c r="O626" s="110"/>
      <c r="P626" s="15"/>
      <c r="Q626" s="110"/>
      <c r="R626" s="15"/>
      <c r="S626" s="110"/>
      <c r="T626" s="15"/>
      <c r="U626" s="110"/>
      <c r="V626" s="15"/>
    </row>
    <row r="627" spans="8:22" x14ac:dyDescent="0.2">
      <c r="H627" s="15"/>
      <c r="I627" s="110"/>
      <c r="J627" s="15"/>
      <c r="K627" s="110"/>
      <c r="L627" s="15"/>
      <c r="M627" s="110"/>
      <c r="N627" s="15"/>
      <c r="O627" s="110"/>
      <c r="P627" s="15"/>
      <c r="Q627" s="110"/>
      <c r="R627" s="15"/>
      <c r="S627" s="110"/>
      <c r="T627" s="15"/>
      <c r="U627" s="110"/>
      <c r="V627" s="15"/>
    </row>
    <row r="628" spans="8:22" x14ac:dyDescent="0.2">
      <c r="H628" s="15"/>
      <c r="I628" s="110"/>
      <c r="J628" s="15"/>
      <c r="K628" s="110"/>
      <c r="L628" s="15"/>
      <c r="M628" s="110"/>
      <c r="N628" s="15"/>
      <c r="O628" s="110"/>
      <c r="P628" s="15"/>
      <c r="Q628" s="110"/>
      <c r="R628" s="15"/>
      <c r="S628" s="110"/>
      <c r="T628" s="15"/>
      <c r="U628" s="110"/>
      <c r="V628" s="15"/>
    </row>
    <row r="629" spans="8:22" x14ac:dyDescent="0.2">
      <c r="H629" s="15"/>
      <c r="I629" s="110"/>
      <c r="J629" s="15"/>
      <c r="K629" s="110"/>
      <c r="L629" s="15"/>
      <c r="M629" s="110"/>
      <c r="N629" s="15"/>
      <c r="O629" s="110"/>
      <c r="P629" s="15"/>
      <c r="Q629" s="110"/>
      <c r="R629" s="15"/>
      <c r="S629" s="110"/>
      <c r="T629" s="15"/>
      <c r="U629" s="110"/>
      <c r="V629" s="15"/>
    </row>
    <row r="630" spans="8:22" x14ac:dyDescent="0.2">
      <c r="H630" s="15"/>
      <c r="I630" s="110"/>
      <c r="J630" s="15"/>
      <c r="K630" s="110"/>
      <c r="L630" s="15"/>
      <c r="M630" s="110"/>
      <c r="N630" s="15"/>
      <c r="O630" s="110"/>
      <c r="P630" s="15"/>
      <c r="Q630" s="110"/>
      <c r="R630" s="15"/>
      <c r="S630" s="110"/>
      <c r="T630" s="15"/>
      <c r="U630" s="110"/>
      <c r="V630" s="15"/>
    </row>
    <row r="631" spans="8:22" x14ac:dyDescent="0.2">
      <c r="H631" s="15"/>
      <c r="I631" s="110"/>
      <c r="J631" s="15"/>
      <c r="K631" s="110"/>
      <c r="L631" s="15"/>
      <c r="M631" s="110"/>
      <c r="N631" s="15"/>
      <c r="O631" s="110"/>
      <c r="P631" s="15"/>
      <c r="Q631" s="110"/>
      <c r="R631" s="15"/>
      <c r="S631" s="110"/>
      <c r="T631" s="15"/>
      <c r="U631" s="110"/>
      <c r="V631" s="15"/>
    </row>
    <row r="632" spans="8:22" x14ac:dyDescent="0.2">
      <c r="H632" s="15"/>
      <c r="I632" s="110"/>
      <c r="J632" s="15"/>
      <c r="K632" s="110"/>
      <c r="L632" s="15"/>
      <c r="M632" s="110"/>
      <c r="N632" s="15"/>
      <c r="O632" s="110"/>
      <c r="P632" s="15"/>
      <c r="Q632" s="110"/>
      <c r="R632" s="15"/>
      <c r="S632" s="110"/>
      <c r="T632" s="15"/>
      <c r="U632" s="110"/>
      <c r="V632" s="15"/>
    </row>
    <row r="633" spans="8:22" x14ac:dyDescent="0.2">
      <c r="H633" s="15"/>
      <c r="I633" s="110"/>
      <c r="J633" s="15"/>
      <c r="K633" s="110"/>
      <c r="L633" s="15"/>
      <c r="M633" s="110"/>
      <c r="N633" s="15"/>
      <c r="O633" s="110"/>
      <c r="P633" s="15"/>
      <c r="Q633" s="110"/>
      <c r="R633" s="15"/>
      <c r="S633" s="110"/>
      <c r="T633" s="15"/>
      <c r="U633" s="110"/>
      <c r="V633" s="15"/>
    </row>
    <row r="634" spans="8:22" x14ac:dyDescent="0.2">
      <c r="H634" s="15"/>
      <c r="I634" s="110"/>
      <c r="J634" s="15"/>
      <c r="K634" s="110"/>
      <c r="L634" s="15"/>
      <c r="M634" s="110"/>
      <c r="N634" s="15"/>
      <c r="O634" s="110"/>
      <c r="P634" s="15"/>
      <c r="Q634" s="110"/>
      <c r="R634" s="15"/>
      <c r="S634" s="110"/>
      <c r="T634" s="15"/>
      <c r="U634" s="110"/>
      <c r="V634" s="15"/>
    </row>
    <row r="635" spans="8:22" x14ac:dyDescent="0.2">
      <c r="H635" s="15"/>
      <c r="I635" s="110"/>
      <c r="J635" s="15"/>
      <c r="K635" s="110"/>
      <c r="L635" s="15"/>
      <c r="M635" s="110"/>
      <c r="N635" s="15"/>
      <c r="O635" s="110"/>
      <c r="P635" s="15"/>
      <c r="Q635" s="110"/>
      <c r="R635" s="15"/>
      <c r="S635" s="110"/>
      <c r="T635" s="15"/>
      <c r="U635" s="110"/>
      <c r="V635" s="15"/>
    </row>
    <row r="636" spans="8:22" x14ac:dyDescent="0.2">
      <c r="H636" s="15"/>
      <c r="I636" s="110"/>
      <c r="J636" s="15"/>
      <c r="K636" s="110"/>
      <c r="L636" s="15"/>
      <c r="M636" s="110"/>
      <c r="N636" s="15"/>
      <c r="O636" s="110"/>
      <c r="P636" s="15"/>
      <c r="Q636" s="110"/>
      <c r="R636" s="15"/>
      <c r="S636" s="110"/>
      <c r="T636" s="15"/>
      <c r="U636" s="110"/>
      <c r="V636" s="15"/>
    </row>
    <row r="637" spans="8:22" x14ac:dyDescent="0.2">
      <c r="H637" s="15"/>
      <c r="I637" s="110"/>
      <c r="J637" s="15"/>
      <c r="K637" s="110"/>
      <c r="L637" s="15"/>
      <c r="M637" s="110"/>
      <c r="N637" s="15"/>
      <c r="O637" s="110"/>
      <c r="P637" s="15"/>
      <c r="Q637" s="110"/>
      <c r="R637" s="15"/>
      <c r="S637" s="110"/>
      <c r="T637" s="15"/>
      <c r="U637" s="110"/>
      <c r="V637" s="15"/>
    </row>
    <row r="638" spans="8:22" x14ac:dyDescent="0.2">
      <c r="H638" s="15"/>
      <c r="I638" s="110"/>
      <c r="J638" s="15"/>
      <c r="K638" s="110"/>
      <c r="L638" s="15"/>
      <c r="M638" s="110"/>
      <c r="N638" s="15"/>
      <c r="O638" s="110"/>
      <c r="P638" s="15"/>
      <c r="Q638" s="110"/>
      <c r="R638" s="15"/>
      <c r="S638" s="110"/>
      <c r="T638" s="15"/>
      <c r="U638" s="110"/>
      <c r="V638" s="15"/>
    </row>
    <row r="639" spans="8:22" x14ac:dyDescent="0.2">
      <c r="H639" s="15"/>
      <c r="I639" s="110"/>
      <c r="J639" s="15"/>
      <c r="K639" s="110"/>
      <c r="L639" s="15"/>
      <c r="M639" s="110"/>
      <c r="N639" s="15"/>
      <c r="O639" s="110"/>
      <c r="P639" s="15"/>
      <c r="Q639" s="110"/>
      <c r="R639" s="15"/>
      <c r="S639" s="110"/>
      <c r="T639" s="15"/>
      <c r="U639" s="110"/>
      <c r="V639" s="15"/>
    </row>
    <row r="640" spans="8:22" x14ac:dyDescent="0.2">
      <c r="H640" s="15"/>
      <c r="I640" s="110"/>
      <c r="J640" s="15"/>
      <c r="K640" s="110"/>
      <c r="L640" s="15"/>
      <c r="M640" s="110"/>
      <c r="N640" s="15"/>
      <c r="O640" s="110"/>
      <c r="P640" s="15"/>
      <c r="Q640" s="110"/>
      <c r="R640" s="15"/>
      <c r="S640" s="110"/>
      <c r="T640" s="15"/>
      <c r="U640" s="110"/>
      <c r="V640" s="15"/>
    </row>
    <row r="641" spans="8:22" x14ac:dyDescent="0.2">
      <c r="H641" s="15"/>
      <c r="I641" s="110"/>
      <c r="J641" s="15"/>
      <c r="K641" s="110"/>
      <c r="L641" s="15"/>
      <c r="M641" s="110"/>
      <c r="N641" s="15"/>
      <c r="O641" s="110"/>
      <c r="P641" s="15"/>
      <c r="Q641" s="110"/>
      <c r="R641" s="15"/>
      <c r="S641" s="110"/>
      <c r="T641" s="15"/>
      <c r="U641" s="110"/>
      <c r="V641" s="15"/>
    </row>
    <row r="642" spans="8:22" x14ac:dyDescent="0.2">
      <c r="H642" s="15"/>
      <c r="I642" s="110"/>
      <c r="J642" s="15"/>
      <c r="K642" s="110"/>
      <c r="L642" s="15"/>
      <c r="M642" s="110"/>
      <c r="N642" s="15"/>
      <c r="O642" s="110"/>
      <c r="P642" s="15"/>
      <c r="Q642" s="110"/>
      <c r="R642" s="15"/>
      <c r="S642" s="110"/>
      <c r="T642" s="15"/>
      <c r="U642" s="110"/>
      <c r="V642" s="15"/>
    </row>
    <row r="643" spans="8:22" x14ac:dyDescent="0.2">
      <c r="H643" s="15"/>
      <c r="I643" s="110"/>
      <c r="J643" s="15"/>
      <c r="K643" s="110"/>
      <c r="L643" s="15"/>
      <c r="M643" s="110"/>
      <c r="N643" s="15"/>
      <c r="O643" s="110"/>
      <c r="P643" s="15"/>
      <c r="Q643" s="110"/>
      <c r="R643" s="15"/>
      <c r="S643" s="110"/>
      <c r="T643" s="15"/>
      <c r="U643" s="110"/>
      <c r="V643" s="15"/>
    </row>
    <row r="644" spans="8:22" x14ac:dyDescent="0.2">
      <c r="H644" s="15"/>
      <c r="I644" s="110"/>
      <c r="J644" s="15"/>
      <c r="K644" s="110"/>
      <c r="L644" s="15"/>
      <c r="M644" s="110"/>
      <c r="N644" s="15"/>
      <c r="O644" s="110"/>
      <c r="P644" s="15"/>
      <c r="Q644" s="110"/>
      <c r="R644" s="15"/>
      <c r="S644" s="110"/>
      <c r="T644" s="15"/>
      <c r="U644" s="110"/>
      <c r="V644" s="15"/>
    </row>
    <row r="645" spans="8:22" x14ac:dyDescent="0.2">
      <c r="H645" s="15"/>
      <c r="I645" s="110"/>
      <c r="J645" s="15"/>
      <c r="K645" s="110"/>
      <c r="L645" s="15"/>
      <c r="M645" s="110"/>
      <c r="N645" s="15"/>
      <c r="O645" s="110"/>
      <c r="P645" s="15"/>
      <c r="Q645" s="110"/>
      <c r="R645" s="15"/>
      <c r="S645" s="110"/>
      <c r="T645" s="15"/>
      <c r="U645" s="110"/>
      <c r="V645" s="15"/>
    </row>
    <row r="646" spans="8:22" x14ac:dyDescent="0.2">
      <c r="H646" s="15"/>
      <c r="I646" s="110"/>
      <c r="J646" s="15"/>
      <c r="K646" s="110"/>
      <c r="L646" s="15"/>
      <c r="M646" s="110"/>
      <c r="N646" s="15"/>
      <c r="O646" s="110"/>
      <c r="P646" s="15"/>
      <c r="Q646" s="110"/>
      <c r="R646" s="15"/>
      <c r="S646" s="110"/>
      <c r="T646" s="15"/>
      <c r="U646" s="110"/>
      <c r="V646" s="15"/>
    </row>
    <row r="647" spans="8:22" x14ac:dyDescent="0.2">
      <c r="H647" s="15"/>
      <c r="I647" s="110"/>
      <c r="J647" s="15"/>
      <c r="K647" s="110"/>
      <c r="L647" s="15"/>
      <c r="M647" s="110"/>
      <c r="N647" s="15"/>
      <c r="O647" s="110"/>
      <c r="P647" s="15"/>
      <c r="Q647" s="110"/>
      <c r="R647" s="15"/>
      <c r="S647" s="110"/>
      <c r="T647" s="15"/>
      <c r="U647" s="110"/>
      <c r="V647" s="15"/>
    </row>
    <row r="648" spans="8:22" x14ac:dyDescent="0.2">
      <c r="H648" s="15"/>
      <c r="I648" s="110"/>
      <c r="J648" s="15"/>
      <c r="K648" s="110"/>
      <c r="L648" s="15"/>
      <c r="M648" s="110"/>
      <c r="N648" s="15"/>
      <c r="O648" s="110"/>
      <c r="P648" s="15"/>
      <c r="Q648" s="110"/>
      <c r="R648" s="15"/>
      <c r="S648" s="110"/>
      <c r="T648" s="15"/>
      <c r="U648" s="110"/>
      <c r="V648" s="15"/>
    </row>
    <row r="649" spans="8:22" x14ac:dyDescent="0.2">
      <c r="H649" s="15"/>
      <c r="I649" s="110"/>
      <c r="J649" s="15"/>
      <c r="K649" s="110"/>
      <c r="L649" s="15"/>
      <c r="M649" s="110"/>
      <c r="N649" s="15"/>
      <c r="O649" s="110"/>
      <c r="P649" s="15"/>
      <c r="Q649" s="110"/>
      <c r="R649" s="15"/>
      <c r="S649" s="110"/>
      <c r="T649" s="15"/>
      <c r="U649" s="110"/>
      <c r="V649" s="15"/>
    </row>
    <row r="650" spans="8:22" x14ac:dyDescent="0.2">
      <c r="H650" s="15"/>
      <c r="I650" s="110"/>
      <c r="J650" s="15"/>
      <c r="K650" s="110"/>
      <c r="L650" s="15"/>
      <c r="M650" s="110"/>
      <c r="N650" s="15"/>
      <c r="O650" s="110"/>
      <c r="P650" s="15"/>
      <c r="Q650" s="110"/>
      <c r="R650" s="15"/>
      <c r="S650" s="110"/>
      <c r="T650" s="15"/>
      <c r="U650" s="110"/>
      <c r="V650" s="15"/>
    </row>
    <row r="651" spans="8:22" x14ac:dyDescent="0.2">
      <c r="H651" s="15"/>
      <c r="I651" s="110"/>
      <c r="J651" s="15"/>
      <c r="K651" s="110"/>
      <c r="L651" s="15"/>
      <c r="M651" s="110"/>
      <c r="N651" s="15"/>
      <c r="O651" s="110"/>
      <c r="P651" s="15"/>
      <c r="Q651" s="110"/>
      <c r="R651" s="15"/>
      <c r="S651" s="110"/>
      <c r="T651" s="15"/>
      <c r="U651" s="110"/>
      <c r="V651" s="15"/>
    </row>
    <row r="652" spans="8:22" x14ac:dyDescent="0.2">
      <c r="H652" s="15"/>
      <c r="I652" s="110"/>
      <c r="J652" s="15"/>
      <c r="K652" s="110"/>
      <c r="L652" s="15"/>
      <c r="M652" s="110"/>
      <c r="N652" s="15"/>
      <c r="O652" s="110"/>
      <c r="P652" s="15"/>
      <c r="Q652" s="110"/>
      <c r="R652" s="15"/>
      <c r="S652" s="110"/>
      <c r="T652" s="15"/>
      <c r="U652" s="110"/>
      <c r="V652" s="15"/>
    </row>
    <row r="653" spans="8:22" x14ac:dyDescent="0.2">
      <c r="H653" s="15"/>
      <c r="I653" s="110"/>
      <c r="J653" s="15"/>
      <c r="K653" s="110"/>
      <c r="L653" s="15"/>
      <c r="M653" s="110"/>
      <c r="N653" s="15"/>
      <c r="O653" s="110"/>
      <c r="P653" s="15"/>
      <c r="Q653" s="110"/>
      <c r="R653" s="15"/>
      <c r="S653" s="110"/>
      <c r="T653" s="15"/>
      <c r="U653" s="110"/>
      <c r="V653" s="15"/>
    </row>
    <row r="654" spans="8:22" x14ac:dyDescent="0.2">
      <c r="H654" s="15"/>
      <c r="I654" s="110"/>
      <c r="J654" s="15"/>
      <c r="K654" s="110"/>
      <c r="L654" s="15"/>
      <c r="M654" s="110"/>
      <c r="N654" s="15"/>
      <c r="O654" s="110"/>
      <c r="P654" s="15"/>
      <c r="Q654" s="110"/>
      <c r="R654" s="15"/>
      <c r="S654" s="110"/>
      <c r="T654" s="15"/>
      <c r="U654" s="110"/>
      <c r="V654" s="15"/>
    </row>
    <row r="655" spans="8:22" x14ac:dyDescent="0.2">
      <c r="H655" s="15"/>
      <c r="I655" s="110"/>
      <c r="J655" s="15"/>
      <c r="K655" s="110"/>
      <c r="L655" s="15"/>
      <c r="M655" s="110"/>
      <c r="N655" s="15"/>
      <c r="O655" s="110"/>
      <c r="P655" s="15"/>
      <c r="Q655" s="110"/>
      <c r="R655" s="15"/>
      <c r="S655" s="110"/>
      <c r="T655" s="15"/>
      <c r="U655" s="110"/>
      <c r="V655" s="15"/>
    </row>
    <row r="656" spans="8:22" x14ac:dyDescent="0.2">
      <c r="H656" s="15"/>
      <c r="I656" s="110"/>
      <c r="J656" s="15"/>
      <c r="K656" s="110"/>
      <c r="L656" s="15"/>
      <c r="M656" s="110"/>
      <c r="N656" s="15"/>
      <c r="O656" s="110"/>
      <c r="P656" s="15"/>
      <c r="Q656" s="110"/>
      <c r="R656" s="15"/>
      <c r="S656" s="110"/>
      <c r="T656" s="15"/>
      <c r="U656" s="110"/>
      <c r="V656" s="15"/>
    </row>
    <row r="657" spans="8:22" x14ac:dyDescent="0.2">
      <c r="H657" s="15"/>
      <c r="I657" s="110"/>
      <c r="J657" s="15"/>
      <c r="K657" s="110"/>
      <c r="L657" s="15"/>
      <c r="M657" s="110"/>
      <c r="N657" s="15"/>
      <c r="O657" s="110"/>
      <c r="P657" s="15"/>
      <c r="Q657" s="110"/>
      <c r="R657" s="15"/>
      <c r="S657" s="110"/>
      <c r="T657" s="15"/>
      <c r="U657" s="110"/>
      <c r="V657" s="15"/>
    </row>
    <row r="658" spans="8:22" x14ac:dyDescent="0.2">
      <c r="H658" s="15"/>
      <c r="I658" s="110"/>
      <c r="J658" s="15"/>
      <c r="K658" s="110"/>
      <c r="L658" s="15"/>
      <c r="M658" s="110"/>
      <c r="N658" s="15"/>
      <c r="O658" s="110"/>
      <c r="P658" s="15"/>
      <c r="Q658" s="110"/>
      <c r="R658" s="15"/>
      <c r="S658" s="110"/>
      <c r="T658" s="15"/>
      <c r="U658" s="110"/>
      <c r="V658" s="15"/>
    </row>
    <row r="659" spans="8:22" x14ac:dyDescent="0.2">
      <c r="H659" s="15"/>
      <c r="I659" s="110"/>
      <c r="J659" s="15"/>
      <c r="K659" s="110"/>
      <c r="L659" s="15"/>
      <c r="M659" s="110"/>
      <c r="N659" s="15"/>
      <c r="O659" s="110"/>
      <c r="P659" s="15"/>
      <c r="Q659" s="110"/>
      <c r="R659" s="15"/>
      <c r="S659" s="110"/>
      <c r="T659" s="15"/>
      <c r="U659" s="110"/>
      <c r="V659" s="15"/>
    </row>
    <row r="660" spans="8:22" x14ac:dyDescent="0.2">
      <c r="H660" s="15"/>
      <c r="I660" s="110"/>
      <c r="J660" s="15"/>
      <c r="K660" s="110"/>
      <c r="L660" s="15"/>
      <c r="M660" s="110"/>
      <c r="N660" s="15"/>
      <c r="O660" s="110"/>
      <c r="P660" s="15"/>
      <c r="Q660" s="110"/>
      <c r="R660" s="15"/>
      <c r="S660" s="110"/>
      <c r="T660" s="15"/>
      <c r="U660" s="110"/>
      <c r="V660" s="15"/>
    </row>
    <row r="661" spans="8:22" x14ac:dyDescent="0.2">
      <c r="H661" s="15"/>
      <c r="I661" s="110"/>
      <c r="J661" s="15"/>
      <c r="K661" s="110"/>
      <c r="L661" s="15"/>
      <c r="M661" s="110"/>
      <c r="N661" s="15"/>
      <c r="O661" s="110"/>
      <c r="P661" s="15"/>
      <c r="Q661" s="110"/>
      <c r="R661" s="15"/>
      <c r="S661" s="110"/>
      <c r="T661" s="15"/>
      <c r="U661" s="110"/>
      <c r="V661" s="15"/>
    </row>
    <row r="662" spans="8:22" x14ac:dyDescent="0.2">
      <c r="H662" s="15"/>
      <c r="I662" s="110"/>
      <c r="J662" s="15"/>
      <c r="K662" s="110"/>
      <c r="L662" s="15"/>
      <c r="M662" s="110"/>
      <c r="N662" s="15"/>
      <c r="O662" s="110"/>
      <c r="P662" s="15"/>
      <c r="Q662" s="110"/>
      <c r="R662" s="15"/>
      <c r="S662" s="110"/>
      <c r="T662" s="15"/>
      <c r="U662" s="110"/>
      <c r="V662" s="15"/>
    </row>
    <row r="663" spans="8:22" x14ac:dyDescent="0.2">
      <c r="H663" s="15"/>
      <c r="I663" s="110"/>
      <c r="J663" s="15"/>
      <c r="K663" s="110"/>
      <c r="L663" s="15"/>
      <c r="M663" s="110"/>
      <c r="N663" s="15"/>
      <c r="O663" s="110"/>
      <c r="P663" s="15"/>
      <c r="Q663" s="110"/>
      <c r="R663" s="15"/>
      <c r="S663" s="110"/>
      <c r="T663" s="15"/>
      <c r="U663" s="110"/>
      <c r="V663" s="15"/>
    </row>
    <row r="664" spans="8:22" x14ac:dyDescent="0.2">
      <c r="H664" s="15"/>
      <c r="I664" s="110"/>
      <c r="J664" s="15"/>
      <c r="K664" s="110"/>
      <c r="L664" s="15"/>
      <c r="M664" s="110"/>
      <c r="N664" s="15"/>
      <c r="O664" s="110"/>
      <c r="P664" s="15"/>
      <c r="Q664" s="110"/>
      <c r="R664" s="15"/>
      <c r="S664" s="110"/>
      <c r="T664" s="15"/>
      <c r="U664" s="110"/>
      <c r="V664" s="15"/>
    </row>
    <row r="665" spans="8:22" x14ac:dyDescent="0.2">
      <c r="H665" s="15"/>
      <c r="I665" s="110"/>
      <c r="J665" s="15"/>
      <c r="K665" s="110"/>
      <c r="L665" s="15"/>
      <c r="M665" s="110"/>
      <c r="N665" s="15"/>
      <c r="O665" s="110"/>
      <c r="P665" s="15"/>
      <c r="Q665" s="110"/>
      <c r="R665" s="15"/>
      <c r="S665" s="110"/>
      <c r="T665" s="15"/>
      <c r="U665" s="110"/>
      <c r="V665" s="15"/>
    </row>
    <row r="666" spans="8:22" x14ac:dyDescent="0.2">
      <c r="H666" s="15"/>
      <c r="I666" s="110"/>
      <c r="J666" s="15"/>
      <c r="K666" s="110"/>
      <c r="L666" s="15"/>
      <c r="M666" s="110"/>
      <c r="N666" s="15"/>
      <c r="O666" s="110"/>
      <c r="P666" s="15"/>
      <c r="Q666" s="110"/>
      <c r="R666" s="15"/>
      <c r="S666" s="110"/>
      <c r="T666" s="15"/>
      <c r="U666" s="110"/>
      <c r="V666" s="15"/>
    </row>
    <row r="667" spans="8:22" x14ac:dyDescent="0.2">
      <c r="H667" s="15"/>
      <c r="I667" s="110"/>
      <c r="J667" s="15"/>
      <c r="K667" s="110"/>
      <c r="L667" s="15"/>
      <c r="M667" s="110"/>
      <c r="N667" s="15"/>
      <c r="O667" s="110"/>
      <c r="P667" s="15"/>
      <c r="Q667" s="110"/>
      <c r="R667" s="15"/>
      <c r="S667" s="110"/>
      <c r="T667" s="15"/>
      <c r="U667" s="110"/>
      <c r="V667" s="15"/>
    </row>
    <row r="668" spans="8:22" x14ac:dyDescent="0.2">
      <c r="H668" s="15"/>
      <c r="I668" s="110"/>
      <c r="J668" s="15"/>
      <c r="K668" s="110"/>
      <c r="L668" s="15"/>
      <c r="M668" s="110"/>
      <c r="N668" s="15"/>
      <c r="O668" s="110"/>
      <c r="P668" s="15"/>
      <c r="Q668" s="110"/>
      <c r="R668" s="15"/>
      <c r="S668" s="110"/>
      <c r="T668" s="15"/>
      <c r="U668" s="110"/>
      <c r="V668" s="15"/>
    </row>
    <row r="669" spans="8:22" x14ac:dyDescent="0.2">
      <c r="H669" s="15"/>
      <c r="I669" s="110"/>
      <c r="J669" s="15"/>
      <c r="K669" s="110"/>
      <c r="L669" s="15"/>
      <c r="M669" s="110"/>
      <c r="N669" s="15"/>
      <c r="O669" s="110"/>
      <c r="P669" s="15"/>
      <c r="Q669" s="110"/>
      <c r="R669" s="15"/>
      <c r="S669" s="110"/>
      <c r="T669" s="15"/>
      <c r="U669" s="110"/>
      <c r="V669" s="15"/>
    </row>
    <row r="670" spans="8:22" x14ac:dyDescent="0.2">
      <c r="H670" s="15"/>
      <c r="I670" s="110"/>
      <c r="J670" s="15"/>
      <c r="K670" s="110"/>
      <c r="L670" s="15"/>
      <c r="M670" s="110"/>
      <c r="N670" s="15"/>
      <c r="O670" s="110"/>
      <c r="P670" s="15"/>
      <c r="Q670" s="110"/>
      <c r="R670" s="15"/>
      <c r="S670" s="110"/>
      <c r="T670" s="15"/>
      <c r="U670" s="110"/>
      <c r="V670" s="15"/>
    </row>
    <row r="671" spans="8:22" x14ac:dyDescent="0.2">
      <c r="H671" s="15"/>
      <c r="I671" s="110"/>
      <c r="J671" s="15"/>
      <c r="K671" s="110"/>
      <c r="L671" s="15"/>
      <c r="M671" s="110"/>
      <c r="N671" s="15"/>
      <c r="O671" s="110"/>
      <c r="P671" s="15"/>
      <c r="Q671" s="110"/>
      <c r="R671" s="15"/>
      <c r="S671" s="110"/>
      <c r="T671" s="15"/>
      <c r="U671" s="110"/>
      <c r="V671" s="15"/>
    </row>
    <row r="672" spans="8:22" x14ac:dyDescent="0.2">
      <c r="H672" s="15"/>
      <c r="I672" s="110"/>
      <c r="J672" s="15"/>
      <c r="K672" s="110"/>
      <c r="L672" s="15"/>
      <c r="M672" s="110"/>
      <c r="N672" s="15"/>
      <c r="O672" s="110"/>
      <c r="P672" s="15"/>
      <c r="Q672" s="110"/>
      <c r="R672" s="15"/>
      <c r="S672" s="110"/>
      <c r="T672" s="15"/>
      <c r="U672" s="110"/>
      <c r="V672" s="15"/>
    </row>
    <row r="673" spans="8:22" x14ac:dyDescent="0.2">
      <c r="H673" s="15"/>
      <c r="I673" s="110"/>
      <c r="J673" s="15"/>
      <c r="K673" s="110"/>
      <c r="L673" s="15"/>
      <c r="M673" s="110"/>
      <c r="N673" s="15"/>
      <c r="O673" s="110"/>
      <c r="P673" s="15"/>
      <c r="Q673" s="110"/>
      <c r="R673" s="15"/>
      <c r="S673" s="110"/>
      <c r="T673" s="15"/>
      <c r="U673" s="110"/>
      <c r="V673" s="15"/>
    </row>
    <row r="674" spans="8:22" x14ac:dyDescent="0.2">
      <c r="H674" s="15"/>
      <c r="I674" s="110"/>
      <c r="J674" s="15"/>
      <c r="K674" s="110"/>
      <c r="L674" s="15"/>
      <c r="M674" s="110"/>
      <c r="N674" s="15"/>
      <c r="O674" s="110"/>
      <c r="P674" s="15"/>
      <c r="Q674" s="110"/>
      <c r="R674" s="15"/>
      <c r="S674" s="110"/>
      <c r="T674" s="15"/>
      <c r="U674" s="110"/>
      <c r="V674" s="15"/>
    </row>
    <row r="675" spans="8:22" x14ac:dyDescent="0.2">
      <c r="H675" s="15"/>
      <c r="I675" s="110"/>
      <c r="J675" s="15"/>
      <c r="K675" s="110"/>
      <c r="L675" s="15"/>
      <c r="M675" s="110"/>
      <c r="N675" s="15"/>
      <c r="O675" s="110"/>
      <c r="P675" s="15"/>
      <c r="Q675" s="110"/>
      <c r="R675" s="15"/>
      <c r="S675" s="110"/>
      <c r="T675" s="15"/>
      <c r="U675" s="110"/>
      <c r="V675" s="15"/>
    </row>
    <row r="676" spans="8:22" x14ac:dyDescent="0.2">
      <c r="H676" s="15"/>
      <c r="I676" s="110"/>
      <c r="J676" s="15"/>
      <c r="K676" s="110"/>
      <c r="L676" s="15"/>
      <c r="M676" s="110"/>
      <c r="N676" s="15"/>
      <c r="O676" s="110"/>
      <c r="P676" s="15"/>
      <c r="Q676" s="110"/>
      <c r="R676" s="15"/>
      <c r="S676" s="110"/>
      <c r="T676" s="15"/>
      <c r="U676" s="110"/>
      <c r="V676" s="15"/>
    </row>
    <row r="677" spans="8:22" x14ac:dyDescent="0.2">
      <c r="H677" s="15"/>
      <c r="I677" s="110"/>
      <c r="J677" s="15"/>
      <c r="K677" s="110"/>
      <c r="L677" s="15"/>
      <c r="M677" s="110"/>
      <c r="N677" s="15"/>
      <c r="O677" s="110"/>
      <c r="P677" s="15"/>
      <c r="Q677" s="110"/>
      <c r="R677" s="15"/>
      <c r="S677" s="110"/>
      <c r="T677" s="15"/>
      <c r="U677" s="110"/>
      <c r="V677" s="15"/>
    </row>
    <row r="678" spans="8:22" x14ac:dyDescent="0.2">
      <c r="H678" s="15"/>
      <c r="I678" s="110"/>
      <c r="J678" s="15"/>
      <c r="K678" s="110"/>
      <c r="L678" s="15"/>
      <c r="M678" s="110"/>
      <c r="N678" s="15"/>
      <c r="O678" s="110"/>
      <c r="P678" s="15"/>
      <c r="Q678" s="110"/>
      <c r="R678" s="15"/>
      <c r="S678" s="110"/>
      <c r="T678" s="15"/>
      <c r="U678" s="110"/>
      <c r="V678" s="15"/>
    </row>
    <row r="679" spans="8:22" x14ac:dyDescent="0.2">
      <c r="H679" s="15"/>
      <c r="I679" s="110"/>
      <c r="J679" s="15"/>
      <c r="K679" s="110"/>
      <c r="L679" s="15"/>
      <c r="M679" s="110"/>
      <c r="N679" s="15"/>
      <c r="O679" s="110"/>
      <c r="P679" s="15"/>
      <c r="Q679" s="110"/>
      <c r="R679" s="15"/>
      <c r="S679" s="110"/>
      <c r="T679" s="15"/>
      <c r="U679" s="110"/>
      <c r="V679" s="15"/>
    </row>
    <row r="680" spans="8:22" x14ac:dyDescent="0.2">
      <c r="H680" s="15"/>
      <c r="I680" s="110"/>
      <c r="J680" s="15"/>
      <c r="K680" s="110"/>
      <c r="L680" s="15"/>
      <c r="M680" s="110"/>
      <c r="N680" s="15"/>
      <c r="O680" s="110"/>
      <c r="P680" s="15"/>
      <c r="Q680" s="110"/>
      <c r="R680" s="15"/>
      <c r="S680" s="110"/>
      <c r="T680" s="15"/>
      <c r="U680" s="110"/>
      <c r="V680" s="15"/>
    </row>
    <row r="681" spans="8:22" x14ac:dyDescent="0.2">
      <c r="H681" s="15"/>
      <c r="I681" s="110"/>
      <c r="J681" s="15"/>
      <c r="K681" s="110"/>
      <c r="L681" s="15"/>
      <c r="M681" s="110"/>
      <c r="N681" s="15"/>
      <c r="O681" s="110"/>
      <c r="P681" s="15"/>
      <c r="Q681" s="110"/>
      <c r="R681" s="15"/>
      <c r="S681" s="110"/>
      <c r="T681" s="15"/>
      <c r="U681" s="110"/>
      <c r="V681" s="15"/>
    </row>
    <row r="682" spans="8:22" x14ac:dyDescent="0.2">
      <c r="H682" s="15"/>
      <c r="I682" s="110"/>
      <c r="J682" s="15"/>
      <c r="K682" s="110"/>
      <c r="L682" s="15"/>
      <c r="M682" s="110"/>
      <c r="N682" s="15"/>
      <c r="O682" s="110"/>
      <c r="P682" s="15"/>
      <c r="Q682" s="110"/>
      <c r="R682" s="15"/>
      <c r="S682" s="110"/>
      <c r="T682" s="15"/>
      <c r="U682" s="110"/>
      <c r="V682" s="15"/>
    </row>
    <row r="683" spans="8:22" x14ac:dyDescent="0.2">
      <c r="H683" s="15"/>
      <c r="I683" s="110"/>
      <c r="J683" s="15"/>
      <c r="K683" s="110"/>
      <c r="L683" s="15"/>
      <c r="M683" s="110"/>
      <c r="N683" s="15"/>
      <c r="O683" s="110"/>
      <c r="P683" s="15"/>
      <c r="Q683" s="110"/>
      <c r="R683" s="15"/>
      <c r="S683" s="110"/>
      <c r="T683" s="15"/>
      <c r="U683" s="110"/>
      <c r="V683" s="15"/>
    </row>
    <row r="684" spans="8:22" x14ac:dyDescent="0.2">
      <c r="H684" s="15"/>
      <c r="I684" s="110"/>
      <c r="J684" s="15"/>
      <c r="K684" s="110"/>
      <c r="L684" s="15"/>
      <c r="M684" s="110"/>
      <c r="N684" s="15"/>
      <c r="O684" s="110"/>
      <c r="P684" s="15"/>
      <c r="Q684" s="110"/>
      <c r="R684" s="15"/>
      <c r="S684" s="110"/>
      <c r="T684" s="15"/>
      <c r="U684" s="110"/>
      <c r="V684" s="15"/>
    </row>
    <row r="685" spans="8:22" x14ac:dyDescent="0.2">
      <c r="H685" s="15"/>
      <c r="I685" s="110"/>
      <c r="J685" s="15"/>
      <c r="K685" s="110"/>
      <c r="L685" s="15"/>
      <c r="M685" s="110"/>
      <c r="N685" s="15"/>
      <c r="O685" s="110"/>
      <c r="P685" s="15"/>
      <c r="Q685" s="110"/>
      <c r="R685" s="15"/>
      <c r="S685" s="110"/>
      <c r="T685" s="15"/>
      <c r="U685" s="110"/>
      <c r="V685" s="15"/>
    </row>
    <row r="686" spans="8:22" x14ac:dyDescent="0.2">
      <c r="H686" s="15"/>
      <c r="I686" s="110"/>
      <c r="J686" s="15"/>
      <c r="K686" s="110"/>
      <c r="L686" s="15"/>
      <c r="M686" s="110"/>
      <c r="N686" s="15"/>
      <c r="O686" s="110"/>
      <c r="P686" s="15"/>
      <c r="Q686" s="110"/>
      <c r="R686" s="15"/>
      <c r="S686" s="110"/>
      <c r="T686" s="15"/>
      <c r="U686" s="110"/>
      <c r="V686" s="15"/>
    </row>
    <row r="687" spans="8:22" x14ac:dyDescent="0.2">
      <c r="H687" s="15"/>
      <c r="I687" s="110"/>
      <c r="J687" s="15"/>
      <c r="K687" s="110"/>
      <c r="L687" s="15"/>
      <c r="M687" s="110"/>
      <c r="N687" s="15"/>
      <c r="O687" s="110"/>
      <c r="P687" s="15"/>
      <c r="Q687" s="110"/>
      <c r="R687" s="15"/>
      <c r="S687" s="110"/>
      <c r="T687" s="15"/>
      <c r="U687" s="110"/>
      <c r="V687" s="15"/>
    </row>
    <row r="688" spans="8:22" x14ac:dyDescent="0.2">
      <c r="H688" s="15"/>
      <c r="I688" s="110"/>
      <c r="J688" s="15"/>
      <c r="K688" s="110"/>
      <c r="L688" s="15"/>
      <c r="M688" s="110"/>
      <c r="N688" s="15"/>
      <c r="O688" s="110"/>
      <c r="P688" s="15"/>
      <c r="Q688" s="110"/>
      <c r="R688" s="15"/>
      <c r="S688" s="110"/>
      <c r="T688" s="15"/>
      <c r="U688" s="110"/>
      <c r="V688" s="15"/>
    </row>
    <row r="689" spans="8:22" x14ac:dyDescent="0.2">
      <c r="H689" s="15"/>
      <c r="I689" s="110"/>
      <c r="J689" s="15"/>
      <c r="K689" s="110"/>
      <c r="L689" s="15"/>
      <c r="M689" s="110"/>
      <c r="N689" s="15"/>
      <c r="O689" s="110"/>
      <c r="P689" s="15"/>
      <c r="Q689" s="110"/>
      <c r="R689" s="15"/>
      <c r="S689" s="110"/>
      <c r="T689" s="15"/>
      <c r="U689" s="110"/>
      <c r="V689" s="15"/>
    </row>
    <row r="690" spans="8:22" x14ac:dyDescent="0.2">
      <c r="H690" s="15"/>
      <c r="I690" s="110"/>
      <c r="J690" s="15"/>
      <c r="K690" s="110"/>
      <c r="L690" s="15"/>
      <c r="M690" s="110"/>
      <c r="N690" s="15"/>
      <c r="O690" s="110"/>
      <c r="P690" s="15"/>
      <c r="Q690" s="110"/>
      <c r="R690" s="15"/>
      <c r="S690" s="110"/>
      <c r="T690" s="15"/>
      <c r="U690" s="110"/>
      <c r="V690" s="15"/>
    </row>
    <row r="691" spans="8:22" x14ac:dyDescent="0.2">
      <c r="H691" s="15"/>
      <c r="I691" s="110"/>
      <c r="J691" s="15"/>
      <c r="K691" s="110"/>
      <c r="L691" s="15"/>
      <c r="M691" s="110"/>
      <c r="N691" s="15"/>
      <c r="O691" s="110"/>
      <c r="P691" s="15"/>
      <c r="Q691" s="110"/>
      <c r="R691" s="15"/>
      <c r="S691" s="110"/>
      <c r="T691" s="15"/>
      <c r="U691" s="110"/>
      <c r="V691" s="15"/>
    </row>
    <row r="692" spans="8:22" x14ac:dyDescent="0.2">
      <c r="H692" s="15"/>
      <c r="I692" s="110"/>
      <c r="J692" s="15"/>
      <c r="K692" s="110"/>
      <c r="L692" s="15"/>
      <c r="M692" s="110"/>
      <c r="N692" s="15"/>
      <c r="O692" s="110"/>
      <c r="P692" s="15"/>
      <c r="Q692" s="110"/>
      <c r="R692" s="15"/>
      <c r="S692" s="110"/>
      <c r="T692" s="15"/>
      <c r="U692" s="110"/>
      <c r="V692" s="15"/>
    </row>
    <row r="693" spans="8:22" x14ac:dyDescent="0.2">
      <c r="H693" s="15"/>
      <c r="I693" s="110"/>
      <c r="J693" s="15"/>
      <c r="K693" s="110"/>
      <c r="L693" s="15"/>
      <c r="M693" s="110"/>
      <c r="N693" s="15"/>
      <c r="O693" s="110"/>
      <c r="P693" s="15"/>
      <c r="Q693" s="110"/>
      <c r="R693" s="15"/>
      <c r="S693" s="110"/>
      <c r="T693" s="15"/>
      <c r="U693" s="110"/>
      <c r="V693" s="15"/>
    </row>
    <row r="694" spans="8:22" x14ac:dyDescent="0.2">
      <c r="H694" s="15"/>
      <c r="I694" s="110"/>
      <c r="J694" s="15"/>
      <c r="K694" s="110"/>
      <c r="L694" s="15"/>
      <c r="M694" s="110"/>
      <c r="N694" s="15"/>
      <c r="O694" s="110"/>
      <c r="P694" s="15"/>
      <c r="Q694" s="110"/>
      <c r="R694" s="15"/>
      <c r="S694" s="110"/>
      <c r="T694" s="15"/>
      <c r="U694" s="110"/>
      <c r="V694" s="15"/>
    </row>
    <row r="695" spans="8:22" x14ac:dyDescent="0.2">
      <c r="H695" s="15"/>
      <c r="I695" s="110"/>
      <c r="J695" s="15"/>
      <c r="K695" s="110"/>
      <c r="L695" s="15"/>
      <c r="M695" s="110"/>
      <c r="N695" s="15"/>
      <c r="O695" s="110"/>
      <c r="P695" s="15"/>
      <c r="Q695" s="110"/>
      <c r="R695" s="15"/>
      <c r="S695" s="110"/>
      <c r="T695" s="15"/>
      <c r="U695" s="110"/>
      <c r="V695" s="15"/>
    </row>
    <row r="696" spans="8:22" x14ac:dyDescent="0.2">
      <c r="H696" s="15"/>
      <c r="I696" s="110"/>
      <c r="J696" s="15"/>
      <c r="K696" s="110"/>
      <c r="L696" s="15"/>
      <c r="M696" s="110"/>
      <c r="N696" s="15"/>
      <c r="O696" s="110"/>
      <c r="P696" s="15"/>
      <c r="Q696" s="110"/>
      <c r="R696" s="15"/>
      <c r="S696" s="110"/>
      <c r="T696" s="15"/>
      <c r="U696" s="110"/>
      <c r="V696" s="15"/>
    </row>
    <row r="697" spans="8:22" x14ac:dyDescent="0.2">
      <c r="H697" s="15"/>
      <c r="I697" s="110"/>
      <c r="J697" s="15"/>
      <c r="K697" s="110"/>
      <c r="L697" s="15"/>
      <c r="M697" s="110"/>
      <c r="N697" s="15"/>
      <c r="O697" s="110"/>
      <c r="P697" s="15"/>
      <c r="Q697" s="110"/>
      <c r="R697" s="15"/>
      <c r="S697" s="110"/>
      <c r="T697" s="15"/>
      <c r="U697" s="110"/>
      <c r="V697" s="15"/>
    </row>
    <row r="698" spans="8:22" x14ac:dyDescent="0.2">
      <c r="H698" s="15"/>
      <c r="I698" s="110"/>
      <c r="J698" s="15"/>
      <c r="K698" s="110"/>
      <c r="L698" s="15"/>
      <c r="M698" s="110"/>
      <c r="N698" s="15"/>
      <c r="O698" s="110"/>
      <c r="P698" s="15"/>
      <c r="Q698" s="110"/>
      <c r="R698" s="15"/>
      <c r="S698" s="110"/>
      <c r="T698" s="15"/>
      <c r="U698" s="110"/>
      <c r="V698" s="15"/>
    </row>
    <row r="699" spans="8:22" x14ac:dyDescent="0.2">
      <c r="H699" s="15"/>
      <c r="I699" s="110"/>
      <c r="J699" s="15"/>
      <c r="K699" s="110"/>
      <c r="L699" s="15"/>
      <c r="M699" s="110"/>
      <c r="N699" s="15"/>
      <c r="O699" s="110"/>
      <c r="P699" s="15"/>
      <c r="Q699" s="110"/>
      <c r="R699" s="15"/>
      <c r="S699" s="110"/>
      <c r="T699" s="15"/>
      <c r="U699" s="110"/>
      <c r="V699" s="15"/>
    </row>
    <row r="700" spans="8:22" x14ac:dyDescent="0.2">
      <c r="H700" s="15"/>
      <c r="I700" s="110"/>
      <c r="J700" s="15"/>
      <c r="K700" s="110"/>
      <c r="L700" s="15"/>
      <c r="M700" s="110"/>
      <c r="N700" s="15"/>
      <c r="O700" s="110"/>
      <c r="P700" s="15"/>
      <c r="Q700" s="110"/>
      <c r="R700" s="15"/>
      <c r="S700" s="110"/>
      <c r="T700" s="15"/>
      <c r="U700" s="110"/>
      <c r="V700" s="15"/>
    </row>
    <row r="701" spans="8:22" x14ac:dyDescent="0.2">
      <c r="H701" s="15"/>
      <c r="I701" s="110"/>
      <c r="J701" s="15"/>
      <c r="K701" s="110"/>
      <c r="L701" s="15"/>
      <c r="M701" s="110"/>
      <c r="N701" s="15"/>
      <c r="O701" s="110"/>
      <c r="P701" s="15"/>
      <c r="Q701" s="110"/>
      <c r="R701" s="15"/>
      <c r="S701" s="110"/>
      <c r="T701" s="15"/>
      <c r="U701" s="110"/>
      <c r="V701" s="15"/>
    </row>
    <row r="702" spans="8:22" x14ac:dyDescent="0.2">
      <c r="H702" s="15"/>
      <c r="I702" s="110"/>
      <c r="J702" s="15"/>
      <c r="K702" s="110"/>
      <c r="L702" s="15"/>
      <c r="M702" s="110"/>
      <c r="N702" s="15"/>
      <c r="O702" s="110"/>
      <c r="P702" s="15"/>
      <c r="Q702" s="110"/>
      <c r="R702" s="15"/>
      <c r="S702" s="110"/>
      <c r="T702" s="15"/>
      <c r="U702" s="110"/>
      <c r="V702" s="15"/>
    </row>
    <row r="703" spans="8:22" x14ac:dyDescent="0.2">
      <c r="H703" s="15"/>
      <c r="I703" s="110"/>
      <c r="J703" s="15"/>
      <c r="K703" s="110"/>
      <c r="L703" s="15"/>
      <c r="M703" s="110"/>
      <c r="N703" s="15"/>
      <c r="O703" s="110"/>
      <c r="P703" s="15"/>
      <c r="Q703" s="110"/>
      <c r="R703" s="15"/>
      <c r="S703" s="110"/>
      <c r="T703" s="15"/>
      <c r="U703" s="110"/>
      <c r="V703" s="15"/>
    </row>
    <row r="704" spans="8:22" x14ac:dyDescent="0.2">
      <c r="H704" s="15"/>
      <c r="I704" s="110"/>
      <c r="J704" s="15"/>
      <c r="K704" s="110"/>
      <c r="L704" s="15"/>
      <c r="M704" s="110"/>
      <c r="N704" s="15"/>
      <c r="O704" s="110"/>
      <c r="P704" s="15"/>
      <c r="Q704" s="110"/>
      <c r="R704" s="15"/>
      <c r="S704" s="110"/>
      <c r="T704" s="15"/>
      <c r="U704" s="110"/>
      <c r="V704" s="15"/>
    </row>
    <row r="705" spans="8:22" x14ac:dyDescent="0.2">
      <c r="H705" s="15"/>
      <c r="I705" s="110"/>
      <c r="J705" s="15"/>
      <c r="K705" s="110"/>
      <c r="L705" s="15"/>
      <c r="M705" s="110"/>
      <c r="N705" s="15"/>
      <c r="O705" s="110"/>
      <c r="P705" s="15"/>
      <c r="Q705" s="110"/>
      <c r="R705" s="15"/>
      <c r="S705" s="110"/>
      <c r="T705" s="15"/>
      <c r="U705" s="110"/>
      <c r="V705" s="15"/>
    </row>
    <row r="706" spans="8:22" x14ac:dyDescent="0.2">
      <c r="H706" s="15"/>
      <c r="I706" s="110"/>
      <c r="J706" s="15"/>
      <c r="K706" s="110"/>
      <c r="L706" s="15"/>
      <c r="M706" s="110"/>
      <c r="N706" s="15"/>
      <c r="O706" s="110"/>
      <c r="P706" s="15"/>
      <c r="Q706" s="110"/>
      <c r="R706" s="15"/>
      <c r="S706" s="110"/>
      <c r="T706" s="15"/>
      <c r="U706" s="110"/>
      <c r="V706" s="15"/>
    </row>
    <row r="707" spans="8:22" x14ac:dyDescent="0.2">
      <c r="H707" s="15"/>
      <c r="I707" s="110"/>
      <c r="J707" s="15"/>
      <c r="K707" s="110"/>
      <c r="L707" s="15"/>
      <c r="M707" s="110"/>
      <c r="N707" s="15"/>
      <c r="O707" s="110"/>
      <c r="P707" s="15"/>
      <c r="Q707" s="110"/>
      <c r="R707" s="15"/>
      <c r="S707" s="110"/>
      <c r="T707" s="15"/>
      <c r="U707" s="110"/>
      <c r="V707" s="15"/>
    </row>
    <row r="708" spans="8:22" x14ac:dyDescent="0.2">
      <c r="H708" s="15"/>
      <c r="I708" s="110"/>
      <c r="J708" s="15"/>
      <c r="K708" s="110"/>
      <c r="L708" s="15"/>
      <c r="M708" s="110"/>
      <c r="N708" s="15"/>
      <c r="O708" s="110"/>
      <c r="P708" s="15"/>
      <c r="Q708" s="110"/>
      <c r="R708" s="15"/>
      <c r="S708" s="110"/>
      <c r="T708" s="15"/>
      <c r="U708" s="110"/>
      <c r="V708" s="15"/>
    </row>
    <row r="709" spans="8:22" x14ac:dyDescent="0.2">
      <c r="H709" s="15"/>
      <c r="I709" s="110"/>
      <c r="J709" s="15"/>
      <c r="K709" s="110"/>
      <c r="L709" s="15"/>
      <c r="M709" s="110"/>
      <c r="N709" s="15"/>
      <c r="O709" s="110"/>
      <c r="P709" s="15"/>
      <c r="Q709" s="110"/>
      <c r="R709" s="15"/>
      <c r="S709" s="110"/>
      <c r="T709" s="15"/>
      <c r="U709" s="110"/>
      <c r="V709" s="15"/>
    </row>
    <row r="710" spans="8:22" x14ac:dyDescent="0.2">
      <c r="H710" s="15"/>
      <c r="I710" s="110"/>
      <c r="J710" s="15"/>
      <c r="K710" s="110"/>
      <c r="L710" s="15"/>
      <c r="M710" s="110"/>
      <c r="N710" s="15"/>
      <c r="O710" s="110"/>
      <c r="P710" s="15"/>
      <c r="Q710" s="110"/>
      <c r="R710" s="15"/>
      <c r="S710" s="110"/>
      <c r="T710" s="15"/>
      <c r="U710" s="110"/>
      <c r="V710" s="15"/>
    </row>
    <row r="711" spans="8:22" x14ac:dyDescent="0.2">
      <c r="H711" s="15"/>
      <c r="I711" s="110"/>
      <c r="J711" s="15"/>
      <c r="K711" s="110"/>
      <c r="L711" s="15"/>
      <c r="M711" s="110"/>
      <c r="N711" s="15"/>
      <c r="O711" s="110"/>
      <c r="P711" s="15"/>
      <c r="Q711" s="110"/>
      <c r="R711" s="15"/>
      <c r="S711" s="110"/>
      <c r="T711" s="15"/>
      <c r="U711" s="110"/>
      <c r="V711" s="15"/>
    </row>
    <row r="712" spans="8:22" x14ac:dyDescent="0.2">
      <c r="H712" s="15"/>
      <c r="I712" s="110"/>
      <c r="J712" s="15"/>
      <c r="K712" s="110"/>
      <c r="L712" s="15"/>
      <c r="M712" s="110"/>
      <c r="N712" s="15"/>
      <c r="O712" s="110"/>
      <c r="P712" s="15"/>
      <c r="Q712" s="110"/>
      <c r="R712" s="15"/>
      <c r="S712" s="110"/>
      <c r="T712" s="15"/>
      <c r="U712" s="110"/>
      <c r="V712" s="15"/>
    </row>
    <row r="713" spans="8:22" x14ac:dyDescent="0.2">
      <c r="H713" s="15"/>
      <c r="I713" s="110"/>
      <c r="J713" s="15"/>
      <c r="K713" s="110"/>
      <c r="L713" s="15"/>
      <c r="M713" s="110"/>
      <c r="N713" s="15"/>
      <c r="O713" s="110"/>
      <c r="P713" s="15"/>
      <c r="Q713" s="110"/>
      <c r="R713" s="15"/>
      <c r="S713" s="110"/>
      <c r="T713" s="15"/>
      <c r="U713" s="110"/>
      <c r="V713" s="15"/>
    </row>
    <row r="714" spans="8:22" x14ac:dyDescent="0.2">
      <c r="H714" s="15"/>
      <c r="I714" s="110"/>
      <c r="J714" s="15"/>
      <c r="K714" s="110"/>
      <c r="L714" s="15"/>
      <c r="M714" s="110"/>
      <c r="N714" s="15"/>
      <c r="O714" s="110"/>
      <c r="P714" s="15"/>
      <c r="Q714" s="110"/>
      <c r="R714" s="15"/>
      <c r="S714" s="110"/>
      <c r="T714" s="15"/>
      <c r="U714" s="110"/>
      <c r="V714" s="15"/>
    </row>
    <row r="715" spans="8:22" x14ac:dyDescent="0.2">
      <c r="H715" s="15"/>
      <c r="I715" s="110"/>
      <c r="J715" s="15"/>
      <c r="K715" s="110"/>
      <c r="L715" s="15"/>
      <c r="M715" s="110"/>
      <c r="N715" s="15"/>
      <c r="O715" s="110"/>
      <c r="P715" s="15"/>
      <c r="Q715" s="110"/>
      <c r="R715" s="15"/>
      <c r="S715" s="110"/>
      <c r="T715" s="15"/>
      <c r="U715" s="110"/>
      <c r="V715" s="15"/>
    </row>
    <row r="716" spans="8:22" x14ac:dyDescent="0.2">
      <c r="H716" s="15"/>
      <c r="I716" s="110"/>
      <c r="J716" s="15"/>
      <c r="K716" s="110"/>
      <c r="L716" s="15"/>
      <c r="M716" s="110"/>
      <c r="N716" s="15"/>
      <c r="O716" s="110"/>
      <c r="P716" s="15"/>
      <c r="Q716" s="110"/>
      <c r="R716" s="15"/>
      <c r="S716" s="110"/>
      <c r="T716" s="15"/>
      <c r="U716" s="110"/>
      <c r="V716" s="15"/>
    </row>
    <row r="717" spans="8:22" x14ac:dyDescent="0.2">
      <c r="H717" s="15"/>
      <c r="I717" s="110"/>
      <c r="J717" s="15"/>
      <c r="K717" s="110"/>
      <c r="L717" s="15"/>
      <c r="M717" s="110"/>
      <c r="N717" s="15"/>
      <c r="O717" s="110"/>
      <c r="P717" s="15"/>
      <c r="Q717" s="110"/>
      <c r="R717" s="15"/>
      <c r="S717" s="110"/>
      <c r="T717" s="15"/>
      <c r="U717" s="110"/>
      <c r="V717" s="15"/>
    </row>
    <row r="718" spans="8:22" x14ac:dyDescent="0.2">
      <c r="H718" s="15"/>
      <c r="I718" s="110"/>
      <c r="J718" s="15"/>
      <c r="K718" s="110"/>
      <c r="L718" s="15"/>
      <c r="M718" s="110"/>
      <c r="N718" s="15"/>
      <c r="O718" s="110"/>
      <c r="P718" s="15"/>
      <c r="Q718" s="110"/>
      <c r="R718" s="15"/>
      <c r="S718" s="110"/>
      <c r="T718" s="15"/>
      <c r="U718" s="110"/>
      <c r="V718" s="15"/>
    </row>
    <row r="719" spans="8:22" x14ac:dyDescent="0.2">
      <c r="H719" s="15"/>
      <c r="I719" s="110"/>
      <c r="J719" s="15"/>
      <c r="K719" s="110"/>
      <c r="L719" s="15"/>
      <c r="M719" s="110"/>
      <c r="N719" s="15"/>
      <c r="O719" s="110"/>
      <c r="P719" s="15"/>
      <c r="Q719" s="110"/>
      <c r="R719" s="15"/>
      <c r="S719" s="110"/>
      <c r="T719" s="15"/>
      <c r="U719" s="110"/>
      <c r="V719" s="15"/>
    </row>
    <row r="720" spans="8:22" x14ac:dyDescent="0.2">
      <c r="H720" s="15"/>
      <c r="I720" s="110"/>
      <c r="J720" s="15"/>
      <c r="K720" s="110"/>
      <c r="L720" s="15"/>
      <c r="M720" s="110"/>
      <c r="N720" s="15"/>
      <c r="O720" s="110"/>
      <c r="P720" s="15"/>
      <c r="Q720" s="110"/>
      <c r="R720" s="15"/>
      <c r="S720" s="110"/>
      <c r="T720" s="15"/>
      <c r="U720" s="110"/>
      <c r="V720" s="15"/>
    </row>
    <row r="721" spans="8:22" x14ac:dyDescent="0.2">
      <c r="H721" s="15"/>
      <c r="I721" s="110"/>
      <c r="J721" s="15"/>
      <c r="K721" s="110"/>
      <c r="L721" s="15"/>
      <c r="M721" s="110"/>
      <c r="N721" s="15"/>
      <c r="O721" s="110"/>
      <c r="P721" s="15"/>
      <c r="Q721" s="110"/>
      <c r="R721" s="15"/>
      <c r="S721" s="110"/>
      <c r="T721" s="15"/>
      <c r="U721" s="110"/>
      <c r="V721" s="15"/>
    </row>
    <row r="722" spans="8:22" x14ac:dyDescent="0.2">
      <c r="H722" s="15"/>
      <c r="I722" s="110"/>
      <c r="J722" s="15"/>
      <c r="K722" s="110"/>
      <c r="L722" s="15"/>
      <c r="M722" s="110"/>
      <c r="N722" s="15"/>
      <c r="O722" s="110"/>
      <c r="P722" s="15"/>
      <c r="Q722" s="110"/>
      <c r="R722" s="15"/>
      <c r="S722" s="110"/>
      <c r="T722" s="15"/>
      <c r="U722" s="110"/>
      <c r="V722" s="15"/>
    </row>
    <row r="723" spans="8:22" x14ac:dyDescent="0.2">
      <c r="H723" s="15"/>
      <c r="I723" s="110"/>
      <c r="J723" s="15"/>
      <c r="K723" s="110"/>
      <c r="L723" s="15"/>
      <c r="M723" s="110"/>
      <c r="N723" s="15"/>
      <c r="O723" s="110"/>
      <c r="P723" s="15"/>
      <c r="Q723" s="110"/>
      <c r="R723" s="15"/>
      <c r="S723" s="110"/>
      <c r="T723" s="15"/>
      <c r="U723" s="110"/>
      <c r="V723" s="15"/>
    </row>
    <row r="724" spans="8:22" x14ac:dyDescent="0.2">
      <c r="H724" s="15"/>
      <c r="I724" s="110"/>
      <c r="J724" s="15"/>
      <c r="K724" s="110"/>
      <c r="L724" s="15"/>
      <c r="M724" s="110"/>
      <c r="N724" s="15"/>
      <c r="O724" s="110"/>
      <c r="P724" s="15"/>
      <c r="Q724" s="110"/>
      <c r="R724" s="15"/>
      <c r="S724" s="110"/>
      <c r="T724" s="15"/>
      <c r="U724" s="110"/>
      <c r="V724" s="15"/>
    </row>
    <row r="725" spans="8:22" x14ac:dyDescent="0.2">
      <c r="H725" s="15"/>
      <c r="I725" s="110"/>
      <c r="J725" s="15"/>
      <c r="K725" s="110"/>
      <c r="L725" s="15"/>
      <c r="M725" s="110"/>
      <c r="N725" s="15"/>
      <c r="O725" s="110"/>
      <c r="P725" s="15"/>
      <c r="Q725" s="110"/>
      <c r="R725" s="15"/>
      <c r="S725" s="110"/>
      <c r="T725" s="15"/>
      <c r="U725" s="110"/>
      <c r="V725" s="15"/>
    </row>
    <row r="726" spans="8:22" x14ac:dyDescent="0.2">
      <c r="H726" s="15"/>
      <c r="I726" s="110"/>
      <c r="J726" s="15"/>
      <c r="K726" s="110"/>
      <c r="L726" s="15"/>
      <c r="M726" s="110"/>
      <c r="N726" s="15"/>
      <c r="O726" s="110"/>
      <c r="P726" s="15"/>
      <c r="Q726" s="110"/>
      <c r="R726" s="15"/>
      <c r="S726" s="110"/>
      <c r="T726" s="15"/>
      <c r="U726" s="110"/>
      <c r="V726" s="15"/>
    </row>
    <row r="727" spans="8:22" x14ac:dyDescent="0.2">
      <c r="H727" s="15"/>
      <c r="I727" s="110"/>
      <c r="J727" s="15"/>
      <c r="K727" s="110"/>
      <c r="L727" s="15"/>
      <c r="M727" s="110"/>
      <c r="N727" s="15"/>
      <c r="O727" s="110"/>
      <c r="P727" s="15"/>
      <c r="Q727" s="110"/>
      <c r="R727" s="15"/>
      <c r="S727" s="110"/>
      <c r="T727" s="15"/>
      <c r="U727" s="110"/>
      <c r="V727" s="15"/>
    </row>
    <row r="728" spans="8:22" x14ac:dyDescent="0.2">
      <c r="H728" s="15"/>
      <c r="I728" s="110"/>
      <c r="J728" s="15"/>
      <c r="K728" s="110"/>
      <c r="L728" s="15"/>
      <c r="M728" s="110"/>
      <c r="N728" s="15"/>
      <c r="O728" s="110"/>
      <c r="P728" s="15"/>
      <c r="Q728" s="110"/>
      <c r="R728" s="15"/>
      <c r="S728" s="110"/>
      <c r="T728" s="15"/>
      <c r="U728" s="110"/>
      <c r="V728" s="15"/>
    </row>
    <row r="729" spans="8:22" x14ac:dyDescent="0.2">
      <c r="H729" s="15"/>
      <c r="I729" s="110"/>
      <c r="J729" s="15"/>
      <c r="K729" s="110"/>
      <c r="L729" s="15"/>
      <c r="M729" s="110"/>
      <c r="N729" s="15"/>
      <c r="O729" s="110"/>
      <c r="P729" s="15"/>
      <c r="Q729" s="110"/>
      <c r="R729" s="15"/>
      <c r="S729" s="110"/>
      <c r="T729" s="15"/>
      <c r="U729" s="110"/>
      <c r="V729" s="15"/>
    </row>
    <row r="730" spans="8:22" x14ac:dyDescent="0.2">
      <c r="H730" s="15"/>
      <c r="I730" s="110"/>
      <c r="J730" s="15"/>
      <c r="K730" s="110"/>
      <c r="L730" s="15"/>
      <c r="M730" s="110"/>
      <c r="N730" s="15"/>
      <c r="O730" s="110"/>
      <c r="P730" s="15"/>
      <c r="Q730" s="110"/>
      <c r="R730" s="15"/>
      <c r="S730" s="110"/>
      <c r="T730" s="15"/>
      <c r="U730" s="110"/>
      <c r="V730" s="15"/>
    </row>
    <row r="731" spans="8:22" x14ac:dyDescent="0.2">
      <c r="H731" s="15"/>
      <c r="I731" s="110"/>
      <c r="J731" s="15"/>
      <c r="K731" s="110"/>
      <c r="L731" s="15"/>
      <c r="M731" s="110"/>
      <c r="N731" s="15"/>
      <c r="O731" s="110"/>
      <c r="P731" s="15"/>
      <c r="Q731" s="110"/>
      <c r="R731" s="15"/>
      <c r="S731" s="110"/>
      <c r="T731" s="15"/>
      <c r="U731" s="110"/>
      <c r="V731" s="15"/>
    </row>
    <row r="732" spans="8:22" x14ac:dyDescent="0.2">
      <c r="H732" s="15"/>
      <c r="I732" s="110"/>
      <c r="J732" s="15"/>
      <c r="K732" s="110"/>
      <c r="L732" s="15"/>
      <c r="M732" s="110"/>
      <c r="N732" s="15"/>
      <c r="O732" s="110"/>
      <c r="P732" s="15"/>
      <c r="Q732" s="110"/>
      <c r="R732" s="15"/>
      <c r="S732" s="110"/>
      <c r="T732" s="15"/>
      <c r="U732" s="110"/>
      <c r="V732" s="15"/>
    </row>
    <row r="733" spans="8:22" x14ac:dyDescent="0.2">
      <c r="H733" s="15"/>
      <c r="I733" s="110"/>
      <c r="J733" s="15"/>
      <c r="K733" s="110"/>
      <c r="L733" s="15"/>
      <c r="M733" s="110"/>
      <c r="N733" s="15"/>
      <c r="O733" s="110"/>
      <c r="P733" s="15"/>
      <c r="Q733" s="110"/>
      <c r="R733" s="15"/>
      <c r="S733" s="110"/>
      <c r="T733" s="15"/>
      <c r="U733" s="110"/>
      <c r="V733" s="15"/>
    </row>
    <row r="734" spans="8:22" x14ac:dyDescent="0.2">
      <c r="H734" s="15"/>
      <c r="I734" s="110"/>
      <c r="J734" s="15"/>
      <c r="K734" s="110"/>
      <c r="L734" s="15"/>
      <c r="M734" s="110"/>
      <c r="N734" s="15"/>
      <c r="O734" s="110"/>
      <c r="P734" s="15"/>
      <c r="Q734" s="110"/>
      <c r="R734" s="15"/>
      <c r="S734" s="110"/>
      <c r="T734" s="15"/>
      <c r="U734" s="110"/>
      <c r="V734" s="15"/>
    </row>
    <row r="735" spans="8:22" x14ac:dyDescent="0.2">
      <c r="H735" s="15"/>
      <c r="I735" s="110"/>
      <c r="J735" s="15"/>
      <c r="K735" s="110"/>
      <c r="L735" s="15"/>
      <c r="M735" s="110"/>
      <c r="N735" s="15"/>
      <c r="O735" s="110"/>
      <c r="P735" s="15"/>
      <c r="Q735" s="110"/>
      <c r="R735" s="15"/>
      <c r="S735" s="110"/>
      <c r="T735" s="15"/>
      <c r="U735" s="110"/>
      <c r="V735" s="15"/>
    </row>
    <row r="736" spans="8:22" x14ac:dyDescent="0.2">
      <c r="H736" s="15"/>
      <c r="I736" s="110"/>
      <c r="J736" s="15"/>
      <c r="K736" s="110"/>
      <c r="L736" s="15"/>
      <c r="M736" s="110"/>
      <c r="N736" s="15"/>
      <c r="O736" s="110"/>
      <c r="P736" s="15"/>
      <c r="Q736" s="110"/>
      <c r="R736" s="15"/>
      <c r="S736" s="110"/>
      <c r="T736" s="15"/>
      <c r="U736" s="110"/>
      <c r="V736" s="15"/>
    </row>
    <row r="737" spans="8:22" x14ac:dyDescent="0.2">
      <c r="H737" s="15"/>
      <c r="I737" s="110"/>
      <c r="J737" s="15"/>
      <c r="K737" s="110"/>
      <c r="L737" s="15"/>
      <c r="M737" s="110"/>
      <c r="N737" s="15"/>
      <c r="O737" s="110"/>
      <c r="P737" s="15"/>
      <c r="Q737" s="110"/>
      <c r="R737" s="15"/>
      <c r="S737" s="110"/>
      <c r="T737" s="15"/>
      <c r="U737" s="110"/>
      <c r="V737" s="15"/>
    </row>
    <row r="738" spans="8:22" x14ac:dyDescent="0.2">
      <c r="H738" s="15"/>
      <c r="I738" s="110"/>
      <c r="J738" s="15"/>
      <c r="K738" s="110"/>
      <c r="L738" s="15"/>
      <c r="M738" s="110"/>
      <c r="N738" s="15"/>
      <c r="O738" s="110"/>
      <c r="P738" s="15"/>
      <c r="Q738" s="110"/>
      <c r="R738" s="15"/>
      <c r="S738" s="110"/>
      <c r="T738" s="15"/>
      <c r="U738" s="110"/>
      <c r="V738" s="15"/>
    </row>
    <row r="739" spans="8:22" x14ac:dyDescent="0.2">
      <c r="H739" s="15"/>
      <c r="I739" s="110"/>
      <c r="J739" s="15"/>
      <c r="K739" s="110"/>
      <c r="L739" s="15"/>
      <c r="M739" s="110"/>
      <c r="N739" s="15"/>
      <c r="O739" s="110"/>
      <c r="P739" s="15"/>
      <c r="Q739" s="110"/>
      <c r="R739" s="15"/>
      <c r="S739" s="110"/>
      <c r="T739" s="15"/>
      <c r="U739" s="110"/>
      <c r="V739" s="15"/>
    </row>
    <row r="740" spans="8:22" x14ac:dyDescent="0.2">
      <c r="H740" s="15"/>
      <c r="I740" s="110"/>
      <c r="J740" s="15"/>
      <c r="K740" s="110"/>
      <c r="L740" s="15"/>
      <c r="M740" s="110"/>
      <c r="N740" s="15"/>
      <c r="O740" s="110"/>
      <c r="P740" s="15"/>
      <c r="Q740" s="110"/>
      <c r="R740" s="15"/>
      <c r="S740" s="110"/>
      <c r="T740" s="15"/>
      <c r="U740" s="110"/>
      <c r="V740" s="15"/>
    </row>
    <row r="741" spans="8:22" x14ac:dyDescent="0.2">
      <c r="H741" s="15"/>
      <c r="I741" s="110"/>
      <c r="J741" s="15"/>
      <c r="K741" s="110"/>
      <c r="L741" s="15"/>
      <c r="M741" s="110"/>
      <c r="N741" s="15"/>
      <c r="O741" s="110"/>
      <c r="P741" s="15"/>
      <c r="Q741" s="110"/>
      <c r="R741" s="15"/>
      <c r="S741" s="110"/>
      <c r="T741" s="15"/>
      <c r="U741" s="110"/>
      <c r="V741" s="15"/>
    </row>
    <row r="742" spans="8:22" x14ac:dyDescent="0.2">
      <c r="H742" s="15"/>
      <c r="I742" s="110"/>
      <c r="J742" s="15"/>
      <c r="K742" s="110"/>
      <c r="L742" s="15"/>
      <c r="M742" s="110"/>
      <c r="N742" s="15"/>
      <c r="O742" s="110"/>
      <c r="P742" s="15"/>
      <c r="Q742" s="110"/>
      <c r="R742" s="15"/>
      <c r="S742" s="110"/>
      <c r="T742" s="15"/>
      <c r="U742" s="110"/>
      <c r="V742" s="15"/>
    </row>
    <row r="743" spans="8:22" x14ac:dyDescent="0.2">
      <c r="H743" s="15"/>
      <c r="I743" s="110"/>
      <c r="J743" s="15"/>
      <c r="K743" s="110"/>
      <c r="L743" s="15"/>
      <c r="M743" s="110"/>
      <c r="N743" s="15"/>
      <c r="O743" s="110"/>
      <c r="P743" s="15"/>
      <c r="Q743" s="110"/>
      <c r="R743" s="15"/>
      <c r="S743" s="110"/>
      <c r="T743" s="15"/>
      <c r="U743" s="110"/>
      <c r="V743" s="15"/>
    </row>
    <row r="744" spans="8:22" x14ac:dyDescent="0.2">
      <c r="H744" s="15"/>
      <c r="I744" s="110"/>
      <c r="J744" s="15"/>
      <c r="K744" s="110"/>
      <c r="L744" s="15"/>
      <c r="M744" s="110"/>
      <c r="N744" s="15"/>
      <c r="O744" s="110"/>
      <c r="P744" s="15"/>
      <c r="Q744" s="110"/>
      <c r="R744" s="15"/>
      <c r="S744" s="110"/>
      <c r="T744" s="15"/>
      <c r="U744" s="110"/>
      <c r="V744" s="15"/>
    </row>
    <row r="745" spans="8:22" x14ac:dyDescent="0.2">
      <c r="H745" s="15"/>
      <c r="I745" s="110"/>
      <c r="J745" s="15"/>
      <c r="K745" s="110"/>
      <c r="L745" s="15"/>
      <c r="M745" s="110"/>
      <c r="N745" s="15"/>
      <c r="O745" s="110"/>
      <c r="P745" s="15"/>
      <c r="Q745" s="110"/>
      <c r="R745" s="15"/>
      <c r="S745" s="110"/>
      <c r="T745" s="15"/>
      <c r="U745" s="110"/>
      <c r="V745" s="15"/>
    </row>
    <row r="746" spans="8:22" x14ac:dyDescent="0.2">
      <c r="H746" s="15"/>
      <c r="I746" s="110"/>
      <c r="J746" s="15"/>
      <c r="K746" s="110"/>
      <c r="L746" s="15"/>
      <c r="M746" s="110"/>
      <c r="N746" s="15"/>
      <c r="O746" s="110"/>
      <c r="P746" s="15"/>
      <c r="Q746" s="110"/>
      <c r="R746" s="15"/>
      <c r="S746" s="110"/>
      <c r="T746" s="15"/>
      <c r="U746" s="110"/>
      <c r="V746" s="15"/>
    </row>
    <row r="747" spans="8:22" x14ac:dyDescent="0.2">
      <c r="H747" s="15"/>
      <c r="I747" s="110"/>
      <c r="J747" s="15"/>
      <c r="K747" s="110"/>
      <c r="L747" s="15"/>
      <c r="M747" s="110"/>
      <c r="N747" s="15"/>
      <c r="O747" s="110"/>
      <c r="P747" s="15"/>
      <c r="Q747" s="110"/>
      <c r="R747" s="15"/>
      <c r="S747" s="110"/>
      <c r="T747" s="15"/>
      <c r="U747" s="110"/>
      <c r="V747" s="15"/>
    </row>
    <row r="748" spans="8:22" x14ac:dyDescent="0.2">
      <c r="H748" s="15"/>
      <c r="I748" s="110"/>
      <c r="J748" s="15"/>
      <c r="K748" s="110"/>
      <c r="L748" s="15"/>
      <c r="M748" s="110"/>
      <c r="N748" s="15"/>
      <c r="O748" s="110"/>
      <c r="P748" s="15"/>
      <c r="Q748" s="110"/>
      <c r="R748" s="15"/>
      <c r="S748" s="110"/>
      <c r="T748" s="15"/>
      <c r="U748" s="110"/>
      <c r="V748" s="15"/>
    </row>
    <row r="749" spans="8:22" x14ac:dyDescent="0.2">
      <c r="H749" s="15"/>
      <c r="I749" s="110"/>
      <c r="J749" s="15"/>
      <c r="K749" s="110"/>
      <c r="L749" s="15"/>
      <c r="M749" s="110"/>
      <c r="N749" s="15"/>
      <c r="O749" s="110"/>
      <c r="P749" s="15"/>
      <c r="Q749" s="110"/>
      <c r="R749" s="15"/>
      <c r="S749" s="110"/>
      <c r="T749" s="15"/>
      <c r="U749" s="110"/>
      <c r="V749" s="15"/>
    </row>
    <row r="750" spans="8:22" x14ac:dyDescent="0.2">
      <c r="H750" s="15"/>
      <c r="I750" s="110"/>
      <c r="J750" s="15"/>
      <c r="K750" s="110"/>
      <c r="L750" s="15"/>
      <c r="M750" s="110"/>
      <c r="N750" s="15"/>
      <c r="O750" s="110"/>
      <c r="P750" s="15"/>
      <c r="Q750" s="110"/>
      <c r="R750" s="15"/>
      <c r="S750" s="110"/>
      <c r="T750" s="15"/>
      <c r="U750" s="110"/>
      <c r="V750" s="15"/>
    </row>
    <row r="751" spans="8:22" x14ac:dyDescent="0.2">
      <c r="H751" s="15"/>
      <c r="I751" s="110"/>
      <c r="J751" s="15"/>
      <c r="K751" s="110"/>
      <c r="L751" s="15"/>
      <c r="M751" s="110"/>
      <c r="N751" s="15"/>
      <c r="O751" s="110"/>
      <c r="P751" s="15"/>
      <c r="Q751" s="110"/>
      <c r="R751" s="15"/>
      <c r="S751" s="110"/>
      <c r="T751" s="15"/>
      <c r="U751" s="110"/>
      <c r="V751" s="15"/>
    </row>
    <row r="752" spans="8:22" x14ac:dyDescent="0.2">
      <c r="H752" s="15"/>
      <c r="I752" s="110"/>
      <c r="J752" s="15"/>
      <c r="K752" s="110"/>
      <c r="L752" s="15"/>
      <c r="M752" s="110"/>
      <c r="N752" s="15"/>
      <c r="O752" s="110"/>
      <c r="P752" s="15"/>
      <c r="Q752" s="110"/>
      <c r="R752" s="15"/>
      <c r="S752" s="110"/>
      <c r="T752" s="15"/>
      <c r="U752" s="110"/>
      <c r="V752" s="15"/>
    </row>
    <row r="753" spans="8:22" x14ac:dyDescent="0.2">
      <c r="H753" s="15"/>
      <c r="I753" s="110"/>
      <c r="J753" s="15"/>
      <c r="K753" s="110"/>
      <c r="L753" s="15"/>
      <c r="M753" s="110"/>
      <c r="N753" s="15"/>
      <c r="O753" s="110"/>
      <c r="P753" s="15"/>
      <c r="Q753" s="110"/>
      <c r="R753" s="15"/>
      <c r="S753" s="110"/>
      <c r="T753" s="15"/>
      <c r="U753" s="110"/>
      <c r="V753" s="15"/>
    </row>
    <row r="754" spans="8:22" x14ac:dyDescent="0.2">
      <c r="H754" s="15"/>
      <c r="I754" s="110"/>
      <c r="J754" s="15"/>
      <c r="K754" s="110"/>
      <c r="L754" s="15"/>
      <c r="M754" s="110"/>
      <c r="N754" s="15"/>
      <c r="O754" s="110"/>
      <c r="P754" s="15"/>
      <c r="Q754" s="110"/>
      <c r="R754" s="15"/>
      <c r="S754" s="110"/>
      <c r="T754" s="15"/>
      <c r="U754" s="110"/>
      <c r="V754" s="15"/>
    </row>
    <row r="755" spans="8:22" x14ac:dyDescent="0.2">
      <c r="H755" s="15"/>
      <c r="I755" s="110"/>
      <c r="J755" s="15"/>
      <c r="K755" s="110"/>
      <c r="L755" s="15"/>
      <c r="M755" s="110"/>
      <c r="N755" s="15"/>
      <c r="O755" s="110"/>
      <c r="P755" s="15"/>
      <c r="Q755" s="110"/>
      <c r="R755" s="15"/>
      <c r="S755" s="110"/>
      <c r="T755" s="15"/>
      <c r="U755" s="110"/>
      <c r="V755" s="15"/>
    </row>
    <row r="756" spans="8:22" x14ac:dyDescent="0.2">
      <c r="H756" s="15"/>
      <c r="I756" s="110"/>
      <c r="J756" s="15"/>
      <c r="K756" s="110"/>
      <c r="L756" s="15"/>
      <c r="M756" s="110"/>
      <c r="N756" s="15"/>
      <c r="O756" s="110"/>
      <c r="P756" s="15"/>
      <c r="Q756" s="110"/>
      <c r="R756" s="15"/>
      <c r="S756" s="110"/>
      <c r="T756" s="15"/>
      <c r="U756" s="110"/>
      <c r="V756" s="15"/>
    </row>
    <row r="757" spans="8:22" x14ac:dyDescent="0.2">
      <c r="H757" s="15"/>
      <c r="I757" s="110"/>
      <c r="J757" s="15"/>
      <c r="K757" s="110"/>
      <c r="L757" s="15"/>
      <c r="M757" s="110"/>
      <c r="N757" s="15"/>
      <c r="O757" s="110"/>
      <c r="P757" s="15"/>
      <c r="Q757" s="110"/>
      <c r="R757" s="15"/>
      <c r="S757" s="110"/>
      <c r="T757" s="15"/>
      <c r="U757" s="110"/>
      <c r="V757" s="15"/>
    </row>
    <row r="758" spans="8:22" x14ac:dyDescent="0.2">
      <c r="H758" s="15"/>
      <c r="I758" s="110"/>
      <c r="J758" s="15"/>
      <c r="K758" s="110"/>
      <c r="L758" s="15"/>
      <c r="M758" s="110"/>
      <c r="N758" s="15"/>
      <c r="O758" s="110"/>
      <c r="P758" s="15"/>
      <c r="Q758" s="110"/>
      <c r="R758" s="15"/>
      <c r="S758" s="110"/>
      <c r="T758" s="15"/>
      <c r="U758" s="110"/>
      <c r="V758" s="15"/>
    </row>
    <row r="759" spans="8:22" x14ac:dyDescent="0.2">
      <c r="H759" s="15"/>
      <c r="I759" s="110"/>
      <c r="J759" s="15"/>
      <c r="K759" s="110"/>
      <c r="L759" s="15"/>
      <c r="M759" s="110"/>
      <c r="N759" s="15"/>
      <c r="O759" s="110"/>
      <c r="P759" s="15"/>
      <c r="Q759" s="110"/>
      <c r="R759" s="15"/>
      <c r="S759" s="110"/>
      <c r="T759" s="15"/>
      <c r="U759" s="110"/>
      <c r="V759" s="15"/>
    </row>
    <row r="760" spans="8:22" x14ac:dyDescent="0.2">
      <c r="H760" s="15"/>
      <c r="I760" s="110"/>
      <c r="J760" s="15"/>
      <c r="K760" s="110"/>
      <c r="L760" s="15"/>
      <c r="M760" s="110"/>
      <c r="N760" s="15"/>
      <c r="O760" s="110"/>
      <c r="P760" s="15"/>
      <c r="Q760" s="110"/>
      <c r="R760" s="15"/>
      <c r="S760" s="110"/>
      <c r="T760" s="15"/>
      <c r="U760" s="110"/>
      <c r="V760" s="15"/>
    </row>
    <row r="761" spans="8:22" x14ac:dyDescent="0.2">
      <c r="H761" s="15"/>
      <c r="I761" s="110"/>
      <c r="J761" s="15"/>
      <c r="K761" s="110"/>
      <c r="L761" s="15"/>
      <c r="M761" s="110"/>
      <c r="N761" s="15"/>
      <c r="O761" s="110"/>
      <c r="P761" s="15"/>
      <c r="Q761" s="110"/>
      <c r="R761" s="15"/>
      <c r="S761" s="110"/>
      <c r="T761" s="15"/>
      <c r="U761" s="110"/>
      <c r="V761" s="15"/>
    </row>
    <row r="762" spans="8:22" x14ac:dyDescent="0.2">
      <c r="H762" s="15"/>
      <c r="I762" s="110"/>
      <c r="J762" s="15"/>
      <c r="K762" s="110"/>
      <c r="L762" s="15"/>
      <c r="M762" s="110"/>
      <c r="N762" s="15"/>
      <c r="O762" s="110"/>
      <c r="P762" s="15"/>
      <c r="Q762" s="110"/>
      <c r="R762" s="15"/>
      <c r="S762" s="110"/>
      <c r="T762" s="15"/>
      <c r="U762" s="110"/>
      <c r="V762" s="15"/>
    </row>
    <row r="763" spans="8:22" x14ac:dyDescent="0.2">
      <c r="H763" s="15"/>
      <c r="I763" s="110"/>
      <c r="J763" s="15"/>
      <c r="K763" s="110"/>
      <c r="L763" s="15"/>
      <c r="M763" s="110"/>
      <c r="N763" s="15"/>
      <c r="O763" s="110"/>
      <c r="P763" s="15"/>
      <c r="Q763" s="110"/>
      <c r="R763" s="15"/>
      <c r="S763" s="110"/>
      <c r="T763" s="15"/>
      <c r="U763" s="110"/>
      <c r="V763" s="15"/>
    </row>
    <row r="764" spans="8:22" x14ac:dyDescent="0.2">
      <c r="H764" s="15"/>
      <c r="I764" s="110"/>
      <c r="J764" s="15"/>
      <c r="K764" s="110"/>
      <c r="L764" s="15"/>
      <c r="M764" s="110"/>
      <c r="N764" s="15"/>
      <c r="O764" s="110"/>
      <c r="P764" s="15"/>
      <c r="Q764" s="110"/>
      <c r="R764" s="15"/>
      <c r="S764" s="110"/>
      <c r="T764" s="15"/>
      <c r="U764" s="110"/>
      <c r="V764" s="15"/>
    </row>
    <row r="765" spans="8:22" x14ac:dyDescent="0.2">
      <c r="H765" s="15"/>
      <c r="I765" s="110"/>
      <c r="J765" s="15"/>
      <c r="K765" s="110"/>
      <c r="L765" s="15"/>
      <c r="M765" s="110"/>
      <c r="N765" s="15"/>
      <c r="O765" s="110"/>
      <c r="P765" s="15"/>
      <c r="Q765" s="110"/>
      <c r="R765" s="15"/>
      <c r="S765" s="110"/>
      <c r="T765" s="15"/>
      <c r="U765" s="110"/>
      <c r="V765" s="15"/>
    </row>
    <row r="766" spans="8:22" x14ac:dyDescent="0.2">
      <c r="H766" s="15"/>
      <c r="I766" s="110"/>
      <c r="J766" s="15"/>
      <c r="K766" s="110"/>
      <c r="L766" s="15"/>
      <c r="M766" s="110"/>
      <c r="N766" s="15"/>
      <c r="O766" s="110"/>
      <c r="P766" s="15"/>
      <c r="Q766" s="110"/>
      <c r="R766" s="15"/>
      <c r="S766" s="110"/>
      <c r="T766" s="15"/>
      <c r="U766" s="110"/>
      <c r="V766" s="15"/>
    </row>
    <row r="767" spans="8:22" x14ac:dyDescent="0.2">
      <c r="H767" s="15"/>
      <c r="I767" s="110"/>
      <c r="J767" s="15"/>
      <c r="K767" s="110"/>
      <c r="L767" s="15"/>
      <c r="M767" s="110"/>
      <c r="N767" s="15"/>
      <c r="O767" s="110"/>
      <c r="P767" s="15"/>
      <c r="Q767" s="110"/>
      <c r="R767" s="15"/>
      <c r="S767" s="110"/>
      <c r="T767" s="15"/>
      <c r="U767" s="110"/>
      <c r="V767" s="15"/>
    </row>
    <row r="768" spans="8:22" x14ac:dyDescent="0.2">
      <c r="H768" s="15"/>
      <c r="I768" s="110"/>
      <c r="J768" s="15"/>
      <c r="K768" s="110"/>
      <c r="L768" s="15"/>
      <c r="M768" s="110"/>
      <c r="N768" s="15"/>
      <c r="O768" s="110"/>
      <c r="P768" s="15"/>
      <c r="Q768" s="110"/>
      <c r="R768" s="15"/>
      <c r="S768" s="110"/>
      <c r="T768" s="15"/>
      <c r="U768" s="110"/>
      <c r="V768" s="15"/>
    </row>
    <row r="769" spans="8:22" x14ac:dyDescent="0.2">
      <c r="H769" s="15"/>
      <c r="I769" s="110"/>
      <c r="J769" s="15"/>
      <c r="K769" s="110"/>
      <c r="L769" s="15"/>
      <c r="M769" s="110"/>
      <c r="N769" s="15"/>
      <c r="O769" s="110"/>
      <c r="P769" s="15"/>
      <c r="Q769" s="110"/>
      <c r="R769" s="15"/>
      <c r="S769" s="110"/>
      <c r="T769" s="15"/>
      <c r="U769" s="110"/>
      <c r="V769" s="15"/>
    </row>
    <row r="770" spans="8:22" x14ac:dyDescent="0.2">
      <c r="H770" s="15"/>
      <c r="I770" s="110"/>
      <c r="J770" s="15"/>
      <c r="K770" s="110"/>
      <c r="L770" s="15"/>
      <c r="M770" s="110"/>
      <c r="N770" s="15"/>
      <c r="O770" s="110"/>
      <c r="P770" s="15"/>
      <c r="Q770" s="110"/>
      <c r="R770" s="15"/>
      <c r="S770" s="110"/>
      <c r="T770" s="15"/>
      <c r="U770" s="110"/>
      <c r="V770" s="15"/>
    </row>
    <row r="771" spans="8:22" x14ac:dyDescent="0.2">
      <c r="H771" s="15"/>
      <c r="I771" s="110"/>
      <c r="J771" s="15"/>
      <c r="K771" s="110"/>
      <c r="L771" s="15"/>
      <c r="M771" s="110"/>
      <c r="N771" s="15"/>
      <c r="O771" s="110"/>
      <c r="P771" s="15"/>
      <c r="Q771" s="110"/>
      <c r="R771" s="15"/>
      <c r="S771" s="110"/>
      <c r="T771" s="15"/>
      <c r="U771" s="110"/>
      <c r="V771" s="15"/>
    </row>
    <row r="772" spans="8:22" x14ac:dyDescent="0.2">
      <c r="H772" s="15"/>
      <c r="I772" s="110"/>
      <c r="J772" s="15"/>
      <c r="K772" s="110"/>
      <c r="L772" s="15"/>
      <c r="M772" s="110"/>
      <c r="N772" s="15"/>
      <c r="O772" s="110"/>
      <c r="P772" s="15"/>
      <c r="Q772" s="110"/>
      <c r="R772" s="15"/>
      <c r="S772" s="110"/>
      <c r="T772" s="15"/>
      <c r="U772" s="110"/>
      <c r="V772" s="15"/>
    </row>
    <row r="773" spans="8:22" x14ac:dyDescent="0.2">
      <c r="H773" s="15"/>
      <c r="I773" s="110"/>
      <c r="J773" s="15"/>
      <c r="K773" s="110"/>
      <c r="L773" s="15"/>
      <c r="M773" s="110"/>
      <c r="N773" s="15"/>
      <c r="O773" s="110"/>
      <c r="P773" s="15"/>
      <c r="Q773" s="110"/>
      <c r="R773" s="15"/>
      <c r="S773" s="110"/>
      <c r="T773" s="15"/>
      <c r="U773" s="110"/>
      <c r="V773" s="15"/>
    </row>
    <row r="774" spans="8:22" x14ac:dyDescent="0.2">
      <c r="H774" s="15"/>
      <c r="I774" s="110"/>
      <c r="J774" s="15"/>
      <c r="K774" s="110"/>
      <c r="L774" s="15"/>
      <c r="M774" s="110"/>
      <c r="N774" s="15"/>
      <c r="O774" s="110"/>
      <c r="P774" s="15"/>
      <c r="Q774" s="110"/>
      <c r="R774" s="15"/>
      <c r="S774" s="110"/>
      <c r="T774" s="15"/>
      <c r="U774" s="110"/>
      <c r="V774" s="15"/>
    </row>
    <row r="775" spans="8:22" x14ac:dyDescent="0.2">
      <c r="H775" s="15"/>
      <c r="I775" s="110"/>
      <c r="J775" s="15"/>
      <c r="K775" s="110"/>
      <c r="L775" s="15"/>
      <c r="M775" s="110"/>
      <c r="N775" s="15"/>
      <c r="O775" s="110"/>
      <c r="P775" s="15"/>
      <c r="Q775" s="110"/>
      <c r="R775" s="15"/>
      <c r="S775" s="110"/>
      <c r="T775" s="15"/>
      <c r="U775" s="110"/>
      <c r="V775" s="15"/>
    </row>
    <row r="776" spans="8:22" x14ac:dyDescent="0.2">
      <c r="H776" s="15"/>
      <c r="I776" s="110"/>
      <c r="J776" s="15"/>
      <c r="K776" s="110"/>
      <c r="L776" s="15"/>
      <c r="M776" s="110"/>
      <c r="N776" s="15"/>
      <c r="O776" s="110"/>
      <c r="P776" s="15"/>
      <c r="Q776" s="110"/>
      <c r="R776" s="15"/>
      <c r="S776" s="110"/>
      <c r="T776" s="15"/>
      <c r="U776" s="110"/>
      <c r="V776" s="15"/>
    </row>
    <row r="777" spans="8:22" x14ac:dyDescent="0.2">
      <c r="H777" s="15"/>
      <c r="I777" s="110"/>
      <c r="J777" s="15"/>
      <c r="K777" s="110"/>
      <c r="L777" s="15"/>
      <c r="M777" s="110"/>
      <c r="N777" s="15"/>
      <c r="O777" s="110"/>
      <c r="P777" s="15"/>
      <c r="Q777" s="110"/>
      <c r="R777" s="15"/>
      <c r="S777" s="110"/>
      <c r="T777" s="15"/>
      <c r="U777" s="110"/>
      <c r="V777" s="15"/>
    </row>
    <row r="778" spans="8:22" x14ac:dyDescent="0.2">
      <c r="H778" s="15"/>
      <c r="I778" s="110"/>
      <c r="J778" s="15"/>
      <c r="K778" s="110"/>
      <c r="L778" s="15"/>
      <c r="M778" s="110"/>
      <c r="N778" s="15"/>
      <c r="O778" s="110"/>
      <c r="P778" s="15"/>
      <c r="Q778" s="110"/>
      <c r="R778" s="15"/>
      <c r="S778" s="110"/>
      <c r="T778" s="15"/>
      <c r="U778" s="110"/>
      <c r="V778" s="15"/>
    </row>
    <row r="779" spans="8:22" x14ac:dyDescent="0.2">
      <c r="H779" s="15"/>
      <c r="I779" s="110"/>
      <c r="J779" s="15"/>
      <c r="K779" s="110"/>
      <c r="L779" s="15"/>
      <c r="M779" s="110"/>
      <c r="N779" s="15"/>
      <c r="O779" s="110"/>
      <c r="P779" s="15"/>
      <c r="Q779" s="110"/>
      <c r="R779" s="15"/>
      <c r="S779" s="110"/>
      <c r="T779" s="15"/>
      <c r="U779" s="110"/>
      <c r="V779" s="15"/>
    </row>
    <row r="780" spans="8:22" x14ac:dyDescent="0.2">
      <c r="H780" s="15"/>
      <c r="I780" s="110"/>
      <c r="J780" s="15"/>
      <c r="K780" s="110"/>
      <c r="L780" s="15"/>
      <c r="M780" s="110"/>
      <c r="N780" s="15"/>
      <c r="O780" s="110"/>
      <c r="P780" s="15"/>
      <c r="Q780" s="110"/>
      <c r="R780" s="15"/>
      <c r="S780" s="110"/>
      <c r="T780" s="15"/>
      <c r="U780" s="110"/>
      <c r="V780" s="15"/>
    </row>
    <row r="781" spans="8:22" x14ac:dyDescent="0.2">
      <c r="H781" s="15"/>
      <c r="I781" s="110"/>
      <c r="J781" s="15"/>
      <c r="K781" s="110"/>
      <c r="L781" s="15"/>
      <c r="M781" s="110"/>
      <c r="N781" s="15"/>
      <c r="O781" s="110"/>
      <c r="P781" s="15"/>
      <c r="Q781" s="110"/>
      <c r="R781" s="15"/>
      <c r="S781" s="110"/>
      <c r="T781" s="15"/>
      <c r="U781" s="110"/>
      <c r="V781" s="15"/>
    </row>
    <row r="782" spans="8:22" x14ac:dyDescent="0.2">
      <c r="H782" s="15"/>
      <c r="I782" s="110"/>
      <c r="J782" s="15"/>
      <c r="K782" s="110"/>
      <c r="L782" s="15"/>
      <c r="M782" s="110"/>
      <c r="N782" s="15"/>
      <c r="O782" s="110"/>
      <c r="P782" s="15"/>
      <c r="Q782" s="110"/>
      <c r="R782" s="15"/>
      <c r="S782" s="110"/>
      <c r="T782" s="15"/>
      <c r="U782" s="110"/>
      <c r="V782" s="15"/>
    </row>
    <row r="783" spans="8:22" x14ac:dyDescent="0.2">
      <c r="H783" s="15"/>
      <c r="I783" s="110"/>
      <c r="J783" s="15"/>
      <c r="K783" s="110"/>
      <c r="L783" s="15"/>
      <c r="M783" s="110"/>
      <c r="N783" s="15"/>
      <c r="O783" s="110"/>
      <c r="P783" s="15"/>
      <c r="Q783" s="110"/>
      <c r="R783" s="15"/>
      <c r="S783" s="110"/>
      <c r="T783" s="15"/>
      <c r="U783" s="110"/>
      <c r="V783" s="15"/>
    </row>
    <row r="784" spans="8:22" x14ac:dyDescent="0.2">
      <c r="H784" s="15"/>
      <c r="I784" s="110"/>
      <c r="J784" s="15"/>
      <c r="K784" s="110"/>
      <c r="L784" s="15"/>
      <c r="M784" s="110"/>
      <c r="N784" s="15"/>
      <c r="O784" s="110"/>
      <c r="P784" s="15"/>
      <c r="Q784" s="110"/>
      <c r="R784" s="15"/>
      <c r="S784" s="110"/>
      <c r="T784" s="15"/>
      <c r="U784" s="110"/>
      <c r="V784" s="15"/>
    </row>
    <row r="785" spans="8:22" x14ac:dyDescent="0.2">
      <c r="H785" s="15"/>
      <c r="I785" s="110"/>
      <c r="J785" s="15"/>
      <c r="K785" s="110"/>
      <c r="L785" s="15"/>
      <c r="M785" s="110"/>
      <c r="N785" s="15"/>
      <c r="O785" s="110"/>
      <c r="P785" s="15"/>
      <c r="Q785" s="110"/>
      <c r="R785" s="15"/>
      <c r="S785" s="110"/>
      <c r="T785" s="15"/>
      <c r="U785" s="110"/>
      <c r="V785" s="15"/>
    </row>
    <row r="786" spans="8:22" x14ac:dyDescent="0.2">
      <c r="H786" s="15"/>
      <c r="I786" s="110"/>
      <c r="J786" s="15"/>
      <c r="K786" s="110"/>
      <c r="L786" s="15"/>
      <c r="M786" s="110"/>
      <c r="N786" s="15"/>
      <c r="O786" s="110"/>
      <c r="P786" s="15"/>
      <c r="Q786" s="110"/>
      <c r="R786" s="15"/>
      <c r="S786" s="110"/>
      <c r="T786" s="15"/>
      <c r="U786" s="110"/>
      <c r="V786" s="15"/>
    </row>
    <row r="787" spans="8:22" x14ac:dyDescent="0.2">
      <c r="H787" s="15"/>
      <c r="I787" s="110"/>
      <c r="J787" s="15"/>
      <c r="K787" s="110"/>
      <c r="L787" s="15"/>
      <c r="M787" s="110"/>
      <c r="N787" s="15"/>
      <c r="O787" s="110"/>
      <c r="P787" s="15"/>
      <c r="Q787" s="110"/>
      <c r="R787" s="15"/>
      <c r="S787" s="110"/>
      <c r="T787" s="15"/>
      <c r="U787" s="110"/>
      <c r="V787" s="15"/>
    </row>
    <row r="788" spans="8:22" x14ac:dyDescent="0.2">
      <c r="H788" s="15"/>
      <c r="I788" s="110"/>
      <c r="J788" s="15"/>
      <c r="K788" s="110"/>
      <c r="L788" s="15"/>
      <c r="M788" s="110"/>
      <c r="N788" s="15"/>
      <c r="O788" s="110"/>
      <c r="P788" s="15"/>
      <c r="Q788" s="110"/>
      <c r="R788" s="15"/>
      <c r="S788" s="110"/>
      <c r="T788" s="15"/>
      <c r="U788" s="110"/>
      <c r="V788" s="15"/>
    </row>
    <row r="789" spans="8:22" x14ac:dyDescent="0.2">
      <c r="H789" s="15"/>
      <c r="I789" s="110"/>
      <c r="J789" s="15"/>
      <c r="K789" s="110"/>
      <c r="L789" s="15"/>
      <c r="M789" s="110"/>
      <c r="N789" s="15"/>
      <c r="O789" s="110"/>
      <c r="P789" s="15"/>
      <c r="Q789" s="110"/>
      <c r="R789" s="15"/>
      <c r="S789" s="110"/>
      <c r="T789" s="15"/>
      <c r="U789" s="110"/>
      <c r="V789" s="15"/>
    </row>
    <row r="790" spans="8:22" x14ac:dyDescent="0.2">
      <c r="H790" s="15"/>
      <c r="I790" s="110"/>
      <c r="J790" s="15"/>
      <c r="K790" s="110"/>
      <c r="L790" s="15"/>
      <c r="M790" s="110"/>
      <c r="N790" s="15"/>
      <c r="O790" s="110"/>
      <c r="P790" s="15"/>
      <c r="Q790" s="110"/>
      <c r="R790" s="15"/>
      <c r="S790" s="110"/>
      <c r="T790" s="15"/>
      <c r="U790" s="110"/>
      <c r="V790" s="15"/>
    </row>
    <row r="791" spans="8:22" x14ac:dyDescent="0.2">
      <c r="H791" s="15"/>
      <c r="I791" s="110"/>
      <c r="J791" s="15"/>
      <c r="K791" s="110"/>
      <c r="L791" s="15"/>
      <c r="M791" s="110"/>
      <c r="N791" s="15"/>
      <c r="O791" s="110"/>
      <c r="P791" s="15"/>
      <c r="Q791" s="110"/>
      <c r="R791" s="15"/>
      <c r="S791" s="110"/>
      <c r="T791" s="15"/>
      <c r="U791" s="110"/>
      <c r="V791" s="15"/>
    </row>
    <row r="792" spans="8:22" x14ac:dyDescent="0.2">
      <c r="H792" s="15"/>
      <c r="I792" s="110"/>
      <c r="J792" s="15"/>
      <c r="K792" s="110"/>
      <c r="L792" s="15"/>
      <c r="M792" s="110"/>
      <c r="N792" s="15"/>
      <c r="O792" s="110"/>
      <c r="P792" s="15"/>
      <c r="Q792" s="110"/>
      <c r="R792" s="15"/>
      <c r="S792" s="110"/>
      <c r="T792" s="15"/>
      <c r="U792" s="110"/>
      <c r="V792" s="15"/>
    </row>
    <row r="793" spans="8:22" x14ac:dyDescent="0.2">
      <c r="H793" s="15"/>
      <c r="I793" s="110"/>
      <c r="J793" s="15"/>
      <c r="K793" s="110"/>
      <c r="L793" s="15"/>
      <c r="M793" s="110"/>
      <c r="N793" s="15"/>
      <c r="O793" s="110"/>
      <c r="P793" s="15"/>
      <c r="Q793" s="110"/>
      <c r="R793" s="15"/>
      <c r="S793" s="110"/>
      <c r="T793" s="15"/>
      <c r="U793" s="110"/>
      <c r="V793" s="15"/>
    </row>
    <row r="794" spans="8:22" x14ac:dyDescent="0.2">
      <c r="H794" s="15"/>
      <c r="I794" s="110"/>
      <c r="J794" s="15"/>
      <c r="K794" s="110"/>
      <c r="L794" s="15"/>
      <c r="M794" s="110"/>
      <c r="N794" s="15"/>
      <c r="O794" s="110"/>
      <c r="P794" s="15"/>
      <c r="Q794" s="110"/>
      <c r="R794" s="15"/>
      <c r="S794" s="110"/>
      <c r="T794" s="15"/>
      <c r="U794" s="110"/>
      <c r="V794" s="15"/>
    </row>
    <row r="795" spans="8:22" x14ac:dyDescent="0.2">
      <c r="H795" s="15"/>
      <c r="I795" s="110"/>
      <c r="J795" s="15"/>
      <c r="K795" s="110"/>
      <c r="L795" s="15"/>
      <c r="M795" s="110"/>
      <c r="N795" s="15"/>
      <c r="O795" s="110"/>
      <c r="P795" s="15"/>
      <c r="Q795" s="110"/>
      <c r="R795" s="15"/>
      <c r="S795" s="110"/>
      <c r="T795" s="15"/>
      <c r="U795" s="110"/>
      <c r="V795" s="15"/>
    </row>
    <row r="796" spans="8:22" x14ac:dyDescent="0.2">
      <c r="H796" s="15"/>
      <c r="I796" s="110"/>
      <c r="J796" s="15"/>
      <c r="K796" s="110"/>
      <c r="L796" s="15"/>
      <c r="M796" s="110"/>
      <c r="N796" s="15"/>
      <c r="O796" s="110"/>
      <c r="P796" s="15"/>
      <c r="Q796" s="110"/>
      <c r="R796" s="15"/>
      <c r="S796" s="110"/>
      <c r="T796" s="15"/>
      <c r="U796" s="110"/>
      <c r="V796" s="15"/>
    </row>
    <row r="797" spans="8:22" x14ac:dyDescent="0.2">
      <c r="H797" s="15"/>
      <c r="I797" s="110"/>
      <c r="J797" s="15"/>
      <c r="K797" s="110"/>
      <c r="L797" s="15"/>
      <c r="M797" s="110"/>
      <c r="N797" s="15"/>
      <c r="O797" s="110"/>
      <c r="P797" s="15"/>
      <c r="Q797" s="110"/>
      <c r="R797" s="15"/>
      <c r="S797" s="110"/>
      <c r="T797" s="15"/>
      <c r="U797" s="110"/>
      <c r="V797" s="15"/>
    </row>
    <row r="798" spans="8:22" x14ac:dyDescent="0.2">
      <c r="H798" s="15"/>
      <c r="I798" s="110"/>
      <c r="J798" s="15"/>
      <c r="K798" s="110"/>
      <c r="L798" s="15"/>
      <c r="M798" s="110"/>
      <c r="N798" s="15"/>
      <c r="O798" s="110"/>
      <c r="P798" s="15"/>
      <c r="Q798" s="110"/>
      <c r="R798" s="15"/>
      <c r="S798" s="110"/>
      <c r="T798" s="15"/>
      <c r="U798" s="110"/>
      <c r="V798" s="15"/>
    </row>
    <row r="799" spans="8:22" x14ac:dyDescent="0.2">
      <c r="H799" s="15"/>
      <c r="I799" s="110"/>
      <c r="J799" s="15"/>
      <c r="K799" s="110"/>
      <c r="L799" s="15"/>
      <c r="M799" s="110"/>
      <c r="N799" s="15"/>
      <c r="O799" s="110"/>
      <c r="P799" s="15"/>
      <c r="Q799" s="110"/>
      <c r="R799" s="15"/>
      <c r="S799" s="110"/>
      <c r="T799" s="15"/>
      <c r="U799" s="110"/>
      <c r="V799" s="15"/>
    </row>
    <row r="800" spans="8:22" x14ac:dyDescent="0.2">
      <c r="H800" s="15"/>
      <c r="I800" s="110"/>
      <c r="J800" s="15"/>
      <c r="K800" s="110"/>
      <c r="L800" s="15"/>
      <c r="M800" s="110"/>
      <c r="N800" s="15"/>
      <c r="O800" s="110"/>
      <c r="P800" s="15"/>
      <c r="Q800" s="110"/>
      <c r="R800" s="15"/>
      <c r="S800" s="110"/>
      <c r="T800" s="15"/>
      <c r="U800" s="110"/>
      <c r="V800" s="15"/>
    </row>
    <row r="801" spans="8:22" x14ac:dyDescent="0.2">
      <c r="H801" s="15"/>
      <c r="I801" s="110"/>
      <c r="J801" s="15"/>
      <c r="K801" s="110"/>
      <c r="L801" s="15"/>
      <c r="M801" s="110"/>
      <c r="N801" s="15"/>
      <c r="O801" s="110"/>
      <c r="P801" s="15"/>
      <c r="Q801" s="110"/>
      <c r="R801" s="15"/>
      <c r="S801" s="110"/>
      <c r="T801" s="15"/>
      <c r="U801" s="110"/>
      <c r="V801" s="15"/>
    </row>
    <row r="802" spans="8:22" x14ac:dyDescent="0.2">
      <c r="H802" s="15"/>
      <c r="I802" s="110"/>
      <c r="J802" s="15"/>
      <c r="K802" s="110"/>
      <c r="L802" s="15"/>
      <c r="M802" s="110"/>
      <c r="N802" s="15"/>
      <c r="O802" s="110"/>
      <c r="P802" s="15"/>
      <c r="Q802" s="110"/>
      <c r="R802" s="15"/>
      <c r="S802" s="110"/>
      <c r="T802" s="15"/>
      <c r="U802" s="110"/>
      <c r="V802" s="15"/>
    </row>
    <row r="803" spans="8:22" x14ac:dyDescent="0.2">
      <c r="H803" s="15"/>
      <c r="I803" s="110"/>
      <c r="J803" s="15"/>
      <c r="K803" s="110"/>
      <c r="L803" s="15"/>
      <c r="M803" s="110"/>
      <c r="N803" s="15"/>
      <c r="O803" s="110"/>
      <c r="P803" s="15"/>
      <c r="Q803" s="110"/>
      <c r="R803" s="15"/>
      <c r="S803" s="110"/>
      <c r="T803" s="15"/>
      <c r="U803" s="110"/>
      <c r="V803" s="15"/>
    </row>
    <row r="804" spans="8:22" x14ac:dyDescent="0.2">
      <c r="H804" s="15"/>
      <c r="I804" s="110"/>
      <c r="J804" s="15"/>
      <c r="K804" s="110"/>
      <c r="L804" s="15"/>
      <c r="M804" s="110"/>
      <c r="N804" s="15"/>
      <c r="O804" s="110"/>
      <c r="P804" s="15"/>
      <c r="Q804" s="110"/>
      <c r="R804" s="15"/>
      <c r="S804" s="110"/>
      <c r="T804" s="15"/>
      <c r="U804" s="110"/>
      <c r="V804" s="15"/>
    </row>
    <row r="805" spans="8:22" x14ac:dyDescent="0.2">
      <c r="H805" s="15"/>
      <c r="I805" s="110"/>
      <c r="J805" s="15"/>
      <c r="K805" s="110"/>
      <c r="L805" s="15"/>
      <c r="M805" s="110"/>
      <c r="N805" s="15"/>
      <c r="O805" s="110"/>
      <c r="P805" s="15"/>
      <c r="Q805" s="110"/>
      <c r="R805" s="15"/>
      <c r="S805" s="110"/>
      <c r="T805" s="15"/>
      <c r="U805" s="110"/>
      <c r="V805" s="15"/>
    </row>
    <row r="806" spans="8:22" x14ac:dyDescent="0.2">
      <c r="H806" s="15"/>
      <c r="I806" s="110"/>
      <c r="J806" s="15"/>
      <c r="K806" s="110"/>
      <c r="L806" s="15"/>
      <c r="M806" s="110"/>
      <c r="N806" s="15"/>
      <c r="O806" s="110"/>
      <c r="P806" s="15"/>
      <c r="Q806" s="110"/>
      <c r="R806" s="15"/>
      <c r="S806" s="110"/>
      <c r="T806" s="15"/>
      <c r="U806" s="110"/>
      <c r="V806" s="15"/>
    </row>
    <row r="807" spans="8:22" x14ac:dyDescent="0.2">
      <c r="H807" s="15"/>
      <c r="I807" s="110"/>
      <c r="J807" s="15"/>
      <c r="K807" s="110"/>
      <c r="L807" s="15"/>
      <c r="M807" s="110"/>
      <c r="N807" s="15"/>
      <c r="O807" s="110"/>
      <c r="P807" s="15"/>
      <c r="Q807" s="110"/>
      <c r="R807" s="15"/>
      <c r="S807" s="110"/>
      <c r="T807" s="15"/>
      <c r="U807" s="110"/>
      <c r="V807" s="15"/>
    </row>
    <row r="808" spans="8:22" x14ac:dyDescent="0.2">
      <c r="H808" s="15"/>
      <c r="I808" s="110"/>
      <c r="J808" s="15"/>
      <c r="K808" s="110"/>
      <c r="L808" s="15"/>
      <c r="M808" s="110"/>
      <c r="N808" s="15"/>
      <c r="O808" s="110"/>
      <c r="P808" s="15"/>
      <c r="Q808" s="110"/>
      <c r="R808" s="15"/>
      <c r="S808" s="110"/>
      <c r="T808" s="15"/>
      <c r="U808" s="110"/>
      <c r="V808" s="15"/>
    </row>
    <row r="809" spans="8:22" x14ac:dyDescent="0.2">
      <c r="H809" s="15"/>
      <c r="I809" s="110"/>
      <c r="J809" s="15"/>
      <c r="K809" s="110"/>
      <c r="L809" s="15"/>
      <c r="M809" s="110"/>
      <c r="N809" s="15"/>
      <c r="O809" s="110"/>
      <c r="P809" s="15"/>
      <c r="Q809" s="110"/>
      <c r="R809" s="15"/>
      <c r="S809" s="110"/>
      <c r="T809" s="15"/>
      <c r="U809" s="110"/>
      <c r="V809" s="15"/>
    </row>
    <row r="810" spans="8:22" x14ac:dyDescent="0.2">
      <c r="H810" s="15"/>
      <c r="I810" s="110"/>
      <c r="J810" s="15"/>
      <c r="K810" s="110"/>
      <c r="L810" s="15"/>
      <c r="M810" s="110"/>
      <c r="N810" s="15"/>
      <c r="O810" s="110"/>
      <c r="P810" s="15"/>
      <c r="Q810" s="110"/>
      <c r="R810" s="15"/>
      <c r="S810" s="110"/>
      <c r="T810" s="15"/>
      <c r="U810" s="110"/>
      <c r="V810" s="15"/>
    </row>
    <row r="811" spans="8:22" x14ac:dyDescent="0.2">
      <c r="H811" s="15"/>
      <c r="I811" s="110"/>
      <c r="J811" s="15"/>
      <c r="K811" s="110"/>
      <c r="L811" s="15"/>
      <c r="M811" s="110"/>
      <c r="N811" s="15"/>
      <c r="O811" s="110"/>
      <c r="P811" s="15"/>
      <c r="Q811" s="110"/>
      <c r="R811" s="15"/>
      <c r="S811" s="110"/>
      <c r="T811" s="15"/>
      <c r="U811" s="110"/>
      <c r="V811" s="15"/>
    </row>
    <row r="812" spans="8:22" x14ac:dyDescent="0.2">
      <c r="H812" s="15"/>
      <c r="I812" s="110"/>
      <c r="J812" s="15"/>
      <c r="K812" s="110"/>
      <c r="L812" s="15"/>
      <c r="M812" s="110"/>
      <c r="N812" s="15"/>
      <c r="O812" s="110"/>
      <c r="P812" s="15"/>
      <c r="Q812" s="110"/>
      <c r="R812" s="15"/>
      <c r="S812" s="110"/>
      <c r="T812" s="15"/>
      <c r="U812" s="110"/>
      <c r="V812" s="15"/>
    </row>
    <row r="813" spans="8:22" x14ac:dyDescent="0.2">
      <c r="H813" s="15"/>
      <c r="I813" s="110"/>
      <c r="J813" s="15"/>
      <c r="K813" s="110"/>
      <c r="L813" s="15"/>
      <c r="M813" s="110"/>
      <c r="N813" s="15"/>
      <c r="O813" s="110"/>
      <c r="P813" s="15"/>
      <c r="Q813" s="110"/>
      <c r="R813" s="15"/>
      <c r="S813" s="110"/>
      <c r="T813" s="15"/>
      <c r="U813" s="110"/>
      <c r="V813" s="15"/>
    </row>
    <row r="814" spans="8:22" x14ac:dyDescent="0.2">
      <c r="H814" s="15"/>
      <c r="I814" s="110"/>
      <c r="J814" s="15"/>
      <c r="K814" s="110"/>
      <c r="L814" s="15"/>
      <c r="M814" s="110"/>
      <c r="N814" s="15"/>
      <c r="O814" s="110"/>
      <c r="P814" s="15"/>
      <c r="Q814" s="110"/>
      <c r="R814" s="15"/>
      <c r="S814" s="110"/>
      <c r="T814" s="15"/>
      <c r="U814" s="110"/>
      <c r="V814" s="15"/>
    </row>
    <row r="815" spans="8:22" x14ac:dyDescent="0.2">
      <c r="H815" s="15"/>
      <c r="I815" s="110"/>
      <c r="J815" s="15"/>
      <c r="K815" s="110"/>
      <c r="L815" s="15"/>
      <c r="M815" s="110"/>
      <c r="N815" s="15"/>
      <c r="O815" s="110"/>
      <c r="P815" s="15"/>
      <c r="Q815" s="110"/>
      <c r="R815" s="15"/>
      <c r="S815" s="110"/>
      <c r="T815" s="15"/>
      <c r="U815" s="110"/>
      <c r="V815" s="15"/>
    </row>
    <row r="816" spans="8:22" x14ac:dyDescent="0.2">
      <c r="H816" s="15"/>
      <c r="I816" s="110"/>
      <c r="J816" s="15"/>
      <c r="K816" s="110"/>
      <c r="L816" s="15"/>
      <c r="M816" s="110"/>
      <c r="N816" s="15"/>
      <c r="O816" s="110"/>
      <c r="P816" s="15"/>
      <c r="Q816" s="110"/>
      <c r="R816" s="15"/>
      <c r="S816" s="110"/>
      <c r="T816" s="15"/>
      <c r="U816" s="110"/>
      <c r="V816" s="15"/>
    </row>
    <row r="817" spans="8:22" x14ac:dyDescent="0.2">
      <c r="H817" s="15"/>
      <c r="I817" s="110"/>
      <c r="J817" s="15"/>
      <c r="K817" s="110"/>
      <c r="L817" s="15"/>
      <c r="M817" s="110"/>
      <c r="N817" s="15"/>
      <c r="O817" s="110"/>
      <c r="P817" s="15"/>
      <c r="Q817" s="110"/>
      <c r="R817" s="15"/>
      <c r="S817" s="110"/>
      <c r="T817" s="15"/>
      <c r="U817" s="110"/>
      <c r="V817" s="15"/>
    </row>
    <row r="818" spans="8:22" x14ac:dyDescent="0.2">
      <c r="H818" s="15"/>
      <c r="I818" s="110"/>
      <c r="J818" s="15"/>
      <c r="K818" s="110"/>
      <c r="L818" s="15"/>
      <c r="M818" s="110"/>
      <c r="N818" s="15"/>
      <c r="O818" s="110"/>
      <c r="P818" s="15"/>
      <c r="Q818" s="110"/>
      <c r="R818" s="15"/>
      <c r="S818" s="110"/>
      <c r="T818" s="15"/>
      <c r="U818" s="110"/>
      <c r="V818" s="15"/>
    </row>
    <row r="819" spans="8:22" x14ac:dyDescent="0.2">
      <c r="H819" s="15"/>
      <c r="I819" s="110"/>
      <c r="J819" s="15"/>
      <c r="K819" s="110"/>
      <c r="L819" s="15"/>
      <c r="M819" s="110"/>
      <c r="N819" s="15"/>
      <c r="O819" s="110"/>
      <c r="P819" s="15"/>
      <c r="Q819" s="110"/>
      <c r="R819" s="15"/>
      <c r="S819" s="110"/>
      <c r="T819" s="15"/>
      <c r="U819" s="110"/>
      <c r="V819" s="15"/>
    </row>
    <row r="820" spans="8:22" x14ac:dyDescent="0.2">
      <c r="H820" s="15"/>
      <c r="I820" s="110"/>
      <c r="J820" s="15"/>
      <c r="K820" s="110"/>
      <c r="L820" s="15"/>
      <c r="M820" s="110"/>
      <c r="N820" s="15"/>
      <c r="O820" s="110"/>
      <c r="P820" s="15"/>
      <c r="Q820" s="110"/>
      <c r="R820" s="15"/>
      <c r="S820" s="110"/>
      <c r="T820" s="15"/>
      <c r="U820" s="110"/>
      <c r="V820" s="15"/>
    </row>
    <row r="821" spans="8:22" x14ac:dyDescent="0.2">
      <c r="H821" s="15"/>
      <c r="I821" s="110"/>
      <c r="J821" s="15"/>
      <c r="K821" s="110"/>
      <c r="L821" s="15"/>
      <c r="M821" s="110"/>
      <c r="N821" s="15"/>
      <c r="O821" s="110"/>
      <c r="P821" s="15"/>
      <c r="Q821" s="110"/>
      <c r="R821" s="15"/>
      <c r="S821" s="110"/>
      <c r="T821" s="15"/>
      <c r="U821" s="110"/>
      <c r="V821" s="15"/>
    </row>
    <row r="822" spans="8:22" x14ac:dyDescent="0.2">
      <c r="H822" s="15"/>
      <c r="I822" s="110"/>
      <c r="J822" s="15"/>
      <c r="K822" s="110"/>
      <c r="L822" s="15"/>
      <c r="M822" s="110"/>
      <c r="N822" s="15"/>
      <c r="O822" s="110"/>
      <c r="P822" s="15"/>
      <c r="Q822" s="110"/>
      <c r="R822" s="15"/>
      <c r="S822" s="110"/>
      <c r="T822" s="15"/>
      <c r="U822" s="110"/>
      <c r="V822" s="15"/>
    </row>
    <row r="823" spans="8:22" x14ac:dyDescent="0.2">
      <c r="H823" s="15"/>
      <c r="I823" s="110"/>
      <c r="J823" s="15"/>
      <c r="K823" s="110"/>
      <c r="L823" s="15"/>
      <c r="M823" s="110"/>
      <c r="N823" s="15"/>
      <c r="O823" s="110"/>
      <c r="P823" s="15"/>
      <c r="Q823" s="110"/>
      <c r="R823" s="15"/>
      <c r="S823" s="110"/>
      <c r="T823" s="15"/>
      <c r="U823" s="110"/>
      <c r="V823" s="15"/>
    </row>
    <row r="824" spans="8:22" x14ac:dyDescent="0.2">
      <c r="H824" s="15"/>
      <c r="I824" s="110"/>
      <c r="J824" s="15"/>
      <c r="K824" s="110"/>
      <c r="L824" s="15"/>
      <c r="M824" s="110"/>
      <c r="N824" s="15"/>
      <c r="O824" s="110"/>
      <c r="P824" s="15"/>
      <c r="Q824" s="110"/>
      <c r="R824" s="15"/>
      <c r="S824" s="110"/>
      <c r="T824" s="15"/>
      <c r="U824" s="110"/>
      <c r="V824" s="15"/>
    </row>
    <row r="825" spans="8:22" x14ac:dyDescent="0.2">
      <c r="H825" s="15"/>
      <c r="I825" s="110"/>
      <c r="J825" s="15"/>
      <c r="K825" s="110"/>
      <c r="L825" s="15"/>
      <c r="M825" s="110"/>
      <c r="N825" s="15"/>
      <c r="O825" s="110"/>
      <c r="P825" s="15"/>
      <c r="Q825" s="110"/>
      <c r="R825" s="15"/>
      <c r="S825" s="110"/>
      <c r="T825" s="15"/>
      <c r="U825" s="110"/>
      <c r="V825" s="15"/>
    </row>
    <row r="826" spans="8:22" x14ac:dyDescent="0.2">
      <c r="H826" s="15"/>
      <c r="I826" s="110"/>
      <c r="J826" s="15"/>
      <c r="K826" s="110"/>
      <c r="L826" s="15"/>
      <c r="M826" s="110"/>
      <c r="N826" s="15"/>
      <c r="O826" s="110"/>
      <c r="P826" s="15"/>
      <c r="Q826" s="110"/>
      <c r="R826" s="15"/>
      <c r="S826" s="110"/>
      <c r="T826" s="15"/>
      <c r="U826" s="110"/>
      <c r="V826" s="15"/>
    </row>
    <row r="827" spans="8:22" x14ac:dyDescent="0.2">
      <c r="H827" s="15"/>
      <c r="I827" s="110"/>
      <c r="J827" s="15"/>
      <c r="K827" s="110"/>
      <c r="L827" s="15"/>
      <c r="M827" s="110"/>
      <c r="N827" s="15"/>
      <c r="O827" s="110"/>
      <c r="P827" s="15"/>
      <c r="Q827" s="110"/>
      <c r="R827" s="15"/>
      <c r="S827" s="110"/>
      <c r="T827" s="15"/>
      <c r="U827" s="110"/>
      <c r="V827" s="15"/>
    </row>
    <row r="828" spans="8:22" x14ac:dyDescent="0.2">
      <c r="H828" s="15"/>
      <c r="I828" s="110"/>
      <c r="J828" s="15"/>
      <c r="K828" s="110"/>
      <c r="L828" s="15"/>
      <c r="M828" s="110"/>
      <c r="N828" s="15"/>
      <c r="O828" s="110"/>
      <c r="P828" s="15"/>
      <c r="Q828" s="110"/>
      <c r="R828" s="15"/>
      <c r="S828" s="110"/>
      <c r="T828" s="15"/>
      <c r="U828" s="110"/>
      <c r="V828" s="15"/>
    </row>
    <row r="829" spans="8:22" x14ac:dyDescent="0.2">
      <c r="H829" s="15"/>
      <c r="I829" s="110"/>
      <c r="J829" s="15"/>
      <c r="K829" s="110"/>
      <c r="L829" s="15"/>
      <c r="M829" s="110"/>
      <c r="N829" s="15"/>
      <c r="O829" s="110"/>
      <c r="P829" s="15"/>
      <c r="Q829" s="110"/>
      <c r="R829" s="15"/>
      <c r="S829" s="110"/>
      <c r="T829" s="15"/>
      <c r="U829" s="110"/>
      <c r="V829" s="15"/>
    </row>
    <row r="830" spans="8:22" x14ac:dyDescent="0.2">
      <c r="H830" s="15"/>
      <c r="I830" s="110"/>
      <c r="J830" s="15"/>
      <c r="K830" s="110"/>
      <c r="L830" s="15"/>
      <c r="M830" s="110"/>
      <c r="N830" s="15"/>
      <c r="O830" s="110"/>
      <c r="P830" s="15"/>
      <c r="Q830" s="110"/>
      <c r="R830" s="15"/>
      <c r="S830" s="110"/>
      <c r="T830" s="15"/>
      <c r="U830" s="110"/>
      <c r="V830" s="15"/>
    </row>
    <row r="831" spans="8:22" x14ac:dyDescent="0.2">
      <c r="H831" s="15"/>
      <c r="I831" s="110"/>
      <c r="J831" s="15"/>
      <c r="K831" s="110"/>
      <c r="L831" s="15"/>
      <c r="M831" s="110"/>
      <c r="N831" s="15"/>
      <c r="O831" s="110"/>
      <c r="P831" s="15"/>
      <c r="Q831" s="110"/>
      <c r="R831" s="15"/>
      <c r="S831" s="110"/>
      <c r="T831" s="15"/>
      <c r="U831" s="110"/>
      <c r="V831" s="15"/>
    </row>
    <row r="832" spans="8:22" x14ac:dyDescent="0.2">
      <c r="H832" s="15"/>
      <c r="I832" s="110"/>
      <c r="J832" s="15"/>
      <c r="K832" s="110"/>
      <c r="L832" s="15"/>
      <c r="M832" s="110"/>
      <c r="N832" s="15"/>
      <c r="O832" s="110"/>
      <c r="P832" s="15"/>
      <c r="Q832" s="110"/>
      <c r="R832" s="15"/>
      <c r="S832" s="110"/>
      <c r="T832" s="15"/>
      <c r="U832" s="110"/>
      <c r="V832" s="15"/>
    </row>
    <row r="833" spans="8:22" x14ac:dyDescent="0.2">
      <c r="H833" s="15"/>
      <c r="I833" s="110"/>
      <c r="J833" s="15"/>
      <c r="K833" s="110"/>
      <c r="L833" s="15"/>
      <c r="M833" s="110"/>
      <c r="N833" s="15"/>
      <c r="O833" s="110"/>
      <c r="P833" s="15"/>
      <c r="Q833" s="110"/>
      <c r="R833" s="15"/>
      <c r="S833" s="110"/>
      <c r="T833" s="15"/>
      <c r="U833" s="110"/>
      <c r="V833" s="15"/>
    </row>
    <row r="834" spans="8:22" x14ac:dyDescent="0.2">
      <c r="H834" s="15"/>
      <c r="I834" s="110"/>
      <c r="J834" s="15"/>
      <c r="K834" s="110"/>
      <c r="L834" s="15"/>
      <c r="M834" s="110"/>
      <c r="N834" s="15"/>
      <c r="O834" s="110"/>
      <c r="P834" s="15"/>
      <c r="Q834" s="110"/>
      <c r="R834" s="15"/>
      <c r="S834" s="110"/>
      <c r="T834" s="15"/>
      <c r="U834" s="110"/>
      <c r="V834" s="15"/>
    </row>
    <row r="835" spans="8:22" x14ac:dyDescent="0.2">
      <c r="H835" s="15"/>
      <c r="I835" s="110"/>
      <c r="J835" s="15"/>
      <c r="K835" s="110"/>
      <c r="L835" s="15"/>
      <c r="M835" s="110"/>
      <c r="N835" s="15"/>
      <c r="O835" s="110"/>
      <c r="P835" s="15"/>
      <c r="Q835" s="110"/>
      <c r="R835" s="15"/>
      <c r="S835" s="110"/>
      <c r="T835" s="15"/>
      <c r="U835" s="110"/>
      <c r="V835" s="15"/>
    </row>
    <row r="836" spans="8:22" x14ac:dyDescent="0.2">
      <c r="H836" s="15"/>
      <c r="I836" s="110"/>
      <c r="J836" s="15"/>
      <c r="K836" s="110"/>
      <c r="L836" s="15"/>
      <c r="M836" s="110"/>
      <c r="N836" s="15"/>
      <c r="O836" s="110"/>
      <c r="P836" s="15"/>
      <c r="Q836" s="110"/>
      <c r="R836" s="15"/>
      <c r="S836" s="110"/>
      <c r="T836" s="15"/>
      <c r="U836" s="110"/>
      <c r="V836" s="15"/>
    </row>
    <row r="837" spans="8:22" x14ac:dyDescent="0.2">
      <c r="H837" s="15"/>
      <c r="I837" s="110"/>
      <c r="J837" s="15"/>
      <c r="K837" s="110"/>
      <c r="L837" s="15"/>
      <c r="M837" s="110"/>
      <c r="N837" s="15"/>
      <c r="O837" s="110"/>
      <c r="P837" s="15"/>
      <c r="Q837" s="110"/>
      <c r="R837" s="15"/>
      <c r="S837" s="110"/>
      <c r="T837" s="15"/>
      <c r="U837" s="110"/>
      <c r="V837" s="15"/>
    </row>
    <row r="838" spans="8:22" x14ac:dyDescent="0.2">
      <c r="H838" s="15"/>
      <c r="I838" s="110"/>
      <c r="J838" s="15"/>
      <c r="K838" s="110"/>
      <c r="L838" s="15"/>
      <c r="M838" s="110"/>
      <c r="N838" s="15"/>
      <c r="O838" s="110"/>
      <c r="P838" s="15"/>
      <c r="Q838" s="110"/>
      <c r="R838" s="15"/>
      <c r="S838" s="110"/>
      <c r="T838" s="15"/>
      <c r="U838" s="110"/>
      <c r="V838" s="15"/>
    </row>
    <row r="839" spans="8:22" x14ac:dyDescent="0.2">
      <c r="H839" s="15"/>
      <c r="I839" s="110"/>
      <c r="J839" s="15"/>
      <c r="K839" s="110"/>
      <c r="L839" s="15"/>
      <c r="M839" s="110"/>
      <c r="N839" s="15"/>
      <c r="O839" s="110"/>
      <c r="P839" s="15"/>
      <c r="Q839" s="110"/>
      <c r="R839" s="15"/>
      <c r="S839" s="110"/>
      <c r="T839" s="15"/>
      <c r="U839" s="110"/>
      <c r="V839" s="15"/>
    </row>
    <row r="840" spans="8:22" x14ac:dyDescent="0.2">
      <c r="H840" s="15"/>
      <c r="I840" s="110"/>
      <c r="J840" s="15"/>
      <c r="K840" s="110"/>
      <c r="L840" s="15"/>
      <c r="M840" s="110"/>
      <c r="N840" s="15"/>
      <c r="O840" s="110"/>
      <c r="P840" s="15"/>
      <c r="Q840" s="110"/>
      <c r="R840" s="15"/>
      <c r="S840" s="110"/>
      <c r="T840" s="15"/>
      <c r="U840" s="110"/>
      <c r="V840" s="15"/>
    </row>
    <row r="841" spans="8:22" x14ac:dyDescent="0.2">
      <c r="H841" s="15"/>
      <c r="I841" s="110"/>
      <c r="J841" s="15"/>
      <c r="K841" s="110"/>
      <c r="L841" s="15"/>
      <c r="M841" s="110"/>
      <c r="N841" s="15"/>
      <c r="O841" s="110"/>
      <c r="P841" s="15"/>
      <c r="Q841" s="110"/>
      <c r="R841" s="15"/>
      <c r="S841" s="110"/>
      <c r="T841" s="15"/>
      <c r="U841" s="110"/>
      <c r="V841" s="15"/>
    </row>
    <row r="842" spans="8:22" x14ac:dyDescent="0.2">
      <c r="H842" s="15"/>
      <c r="I842" s="110"/>
      <c r="J842" s="15"/>
      <c r="K842" s="110"/>
      <c r="L842" s="15"/>
      <c r="M842" s="110"/>
      <c r="N842" s="15"/>
      <c r="O842" s="110"/>
      <c r="P842" s="15"/>
      <c r="Q842" s="110"/>
      <c r="R842" s="15"/>
      <c r="S842" s="110"/>
      <c r="T842" s="15"/>
      <c r="U842" s="110"/>
      <c r="V842" s="15"/>
    </row>
    <row r="843" spans="8:22" x14ac:dyDescent="0.2">
      <c r="H843" s="15"/>
      <c r="I843" s="110"/>
      <c r="J843" s="15"/>
      <c r="K843" s="110"/>
      <c r="L843" s="15"/>
      <c r="M843" s="110"/>
      <c r="N843" s="15"/>
      <c r="O843" s="110"/>
      <c r="P843" s="15"/>
      <c r="Q843" s="110"/>
      <c r="R843" s="15"/>
      <c r="S843" s="110"/>
      <c r="T843" s="15"/>
      <c r="U843" s="110"/>
      <c r="V843" s="15"/>
    </row>
    <row r="844" spans="8:22" x14ac:dyDescent="0.2">
      <c r="H844" s="15"/>
      <c r="I844" s="110"/>
      <c r="J844" s="15"/>
      <c r="K844" s="110"/>
      <c r="L844" s="15"/>
      <c r="M844" s="110"/>
      <c r="N844" s="15"/>
      <c r="O844" s="110"/>
      <c r="P844" s="15"/>
      <c r="Q844" s="110"/>
      <c r="R844" s="15"/>
      <c r="S844" s="110"/>
      <c r="T844" s="15"/>
      <c r="U844" s="110"/>
      <c r="V844" s="15"/>
    </row>
    <row r="845" spans="8:22" x14ac:dyDescent="0.2">
      <c r="H845" s="15"/>
      <c r="I845" s="110"/>
      <c r="J845" s="15"/>
      <c r="K845" s="110"/>
      <c r="L845" s="15"/>
      <c r="M845" s="110"/>
      <c r="N845" s="15"/>
      <c r="O845" s="110"/>
      <c r="P845" s="15"/>
      <c r="Q845" s="110"/>
      <c r="R845" s="15"/>
      <c r="S845" s="110"/>
      <c r="T845" s="15"/>
      <c r="U845" s="110"/>
      <c r="V845" s="15"/>
    </row>
    <row r="846" spans="8:22" x14ac:dyDescent="0.2">
      <c r="H846" s="15"/>
      <c r="I846" s="110"/>
      <c r="J846" s="15"/>
      <c r="K846" s="110"/>
      <c r="L846" s="15"/>
      <c r="M846" s="110"/>
      <c r="N846" s="15"/>
      <c r="O846" s="110"/>
      <c r="P846" s="15"/>
      <c r="Q846" s="110"/>
      <c r="R846" s="15"/>
      <c r="S846" s="110"/>
      <c r="T846" s="15"/>
      <c r="U846" s="110"/>
      <c r="V846" s="15"/>
    </row>
    <row r="847" spans="8:22" x14ac:dyDescent="0.2">
      <c r="H847" s="15"/>
      <c r="I847" s="110"/>
      <c r="J847" s="15"/>
      <c r="K847" s="110"/>
      <c r="L847" s="15"/>
      <c r="M847" s="110"/>
      <c r="N847" s="15"/>
      <c r="O847" s="110"/>
      <c r="P847" s="15"/>
      <c r="Q847" s="110"/>
      <c r="R847" s="15"/>
      <c r="S847" s="110"/>
      <c r="T847" s="15"/>
      <c r="U847" s="110"/>
      <c r="V847" s="15"/>
    </row>
    <row r="848" spans="8:22" x14ac:dyDescent="0.2">
      <c r="H848" s="15"/>
      <c r="I848" s="110"/>
      <c r="J848" s="15"/>
      <c r="K848" s="110"/>
      <c r="L848" s="15"/>
      <c r="M848" s="110"/>
      <c r="N848" s="15"/>
      <c r="O848" s="110"/>
      <c r="P848" s="15"/>
      <c r="Q848" s="110"/>
      <c r="R848" s="15"/>
      <c r="S848" s="110"/>
      <c r="T848" s="15"/>
      <c r="U848" s="110"/>
      <c r="V848" s="15"/>
    </row>
    <row r="849" spans="8:22" x14ac:dyDescent="0.2">
      <c r="H849" s="15"/>
      <c r="I849" s="110"/>
      <c r="J849" s="15"/>
      <c r="K849" s="110"/>
      <c r="L849" s="15"/>
      <c r="M849" s="110"/>
      <c r="N849" s="15"/>
      <c r="O849" s="110"/>
      <c r="P849" s="15"/>
      <c r="Q849" s="110"/>
      <c r="R849" s="15"/>
      <c r="S849" s="110"/>
      <c r="T849" s="15"/>
      <c r="U849" s="110"/>
      <c r="V849" s="15"/>
    </row>
    <row r="850" spans="8:22" x14ac:dyDescent="0.2">
      <c r="H850" s="15"/>
      <c r="I850" s="110"/>
      <c r="J850" s="15"/>
      <c r="K850" s="110"/>
      <c r="L850" s="15"/>
      <c r="M850" s="110"/>
      <c r="N850" s="15"/>
      <c r="O850" s="110"/>
      <c r="P850" s="15"/>
      <c r="Q850" s="110"/>
      <c r="R850" s="15"/>
      <c r="S850" s="110"/>
      <c r="T850" s="15"/>
      <c r="U850" s="110"/>
      <c r="V850" s="15"/>
    </row>
    <row r="851" spans="8:22" x14ac:dyDescent="0.2">
      <c r="H851" s="15"/>
      <c r="I851" s="110"/>
      <c r="J851" s="15"/>
      <c r="K851" s="110"/>
      <c r="L851" s="15"/>
      <c r="M851" s="110"/>
      <c r="N851" s="15"/>
      <c r="O851" s="110"/>
      <c r="P851" s="15"/>
      <c r="Q851" s="110"/>
      <c r="R851" s="15"/>
      <c r="S851" s="110"/>
      <c r="T851" s="15"/>
      <c r="U851" s="110"/>
      <c r="V851" s="15"/>
    </row>
    <row r="852" spans="8:22" x14ac:dyDescent="0.2">
      <c r="H852" s="15"/>
      <c r="I852" s="110"/>
      <c r="J852" s="15"/>
      <c r="K852" s="110"/>
      <c r="L852" s="15"/>
      <c r="M852" s="110"/>
      <c r="N852" s="15"/>
      <c r="O852" s="110"/>
      <c r="P852" s="15"/>
      <c r="Q852" s="110"/>
      <c r="R852" s="15"/>
      <c r="S852" s="110"/>
      <c r="T852" s="15"/>
      <c r="U852" s="110"/>
      <c r="V852" s="15"/>
    </row>
    <row r="853" spans="8:22" x14ac:dyDescent="0.2">
      <c r="H853" s="15"/>
      <c r="I853" s="110"/>
      <c r="J853" s="15"/>
      <c r="K853" s="110"/>
      <c r="L853" s="15"/>
      <c r="M853" s="110"/>
      <c r="N853" s="15"/>
      <c r="O853" s="110"/>
      <c r="P853" s="15"/>
      <c r="Q853" s="110"/>
      <c r="R853" s="15"/>
      <c r="S853" s="110"/>
      <c r="T853" s="15"/>
      <c r="U853" s="110"/>
      <c r="V853" s="15"/>
    </row>
    <row r="854" spans="8:22" x14ac:dyDescent="0.2">
      <c r="H854" s="15"/>
      <c r="I854" s="110"/>
      <c r="J854" s="15"/>
      <c r="K854" s="110"/>
      <c r="L854" s="15"/>
      <c r="M854" s="110"/>
      <c r="N854" s="15"/>
      <c r="O854" s="110"/>
      <c r="P854" s="15"/>
      <c r="Q854" s="110"/>
      <c r="R854" s="15"/>
      <c r="S854" s="110"/>
      <c r="T854" s="15"/>
      <c r="U854" s="110"/>
      <c r="V854" s="15"/>
    </row>
    <row r="855" spans="8:22" x14ac:dyDescent="0.2">
      <c r="H855" s="15"/>
      <c r="I855" s="110"/>
      <c r="J855" s="15"/>
      <c r="K855" s="110"/>
      <c r="L855" s="15"/>
      <c r="M855" s="110"/>
      <c r="N855" s="15"/>
      <c r="O855" s="110"/>
      <c r="P855" s="15"/>
      <c r="Q855" s="110"/>
      <c r="R855" s="15"/>
      <c r="S855" s="110"/>
      <c r="T855" s="15"/>
      <c r="U855" s="110"/>
      <c r="V855" s="15"/>
    </row>
    <row r="856" spans="8:22" x14ac:dyDescent="0.2">
      <c r="H856" s="15"/>
      <c r="I856" s="110"/>
      <c r="J856" s="15"/>
      <c r="K856" s="110"/>
      <c r="L856" s="15"/>
      <c r="M856" s="110"/>
      <c r="N856" s="15"/>
      <c r="O856" s="110"/>
      <c r="P856" s="15"/>
      <c r="Q856" s="110"/>
      <c r="R856" s="15"/>
      <c r="S856" s="110"/>
      <c r="T856" s="15"/>
      <c r="U856" s="110"/>
      <c r="V856" s="15"/>
    </row>
    <row r="857" spans="8:22" x14ac:dyDescent="0.2">
      <c r="H857" s="15"/>
      <c r="I857" s="110"/>
      <c r="J857" s="15"/>
      <c r="K857" s="110"/>
      <c r="L857" s="15"/>
      <c r="M857" s="110"/>
      <c r="N857" s="15"/>
      <c r="O857" s="110"/>
      <c r="P857" s="15"/>
      <c r="Q857" s="110"/>
      <c r="R857" s="15"/>
      <c r="S857" s="110"/>
      <c r="T857" s="15"/>
      <c r="U857" s="110"/>
      <c r="V857" s="15"/>
    </row>
    <row r="858" spans="8:22" x14ac:dyDescent="0.2">
      <c r="H858" s="15"/>
      <c r="I858" s="110"/>
      <c r="J858" s="15"/>
      <c r="K858" s="110"/>
      <c r="L858" s="15"/>
      <c r="M858" s="110"/>
      <c r="N858" s="15"/>
      <c r="O858" s="110"/>
      <c r="P858" s="15"/>
      <c r="Q858" s="110"/>
      <c r="R858" s="15"/>
      <c r="S858" s="110"/>
      <c r="T858" s="15"/>
      <c r="U858" s="110"/>
      <c r="V858" s="15"/>
    </row>
    <row r="859" spans="8:22" x14ac:dyDescent="0.2">
      <c r="H859" s="15"/>
      <c r="I859" s="110"/>
      <c r="J859" s="15"/>
      <c r="K859" s="110"/>
      <c r="L859" s="15"/>
      <c r="M859" s="110"/>
      <c r="N859" s="15"/>
      <c r="O859" s="110"/>
      <c r="P859" s="15"/>
      <c r="Q859" s="110"/>
      <c r="R859" s="15"/>
      <c r="S859" s="110"/>
      <c r="T859" s="15"/>
      <c r="U859" s="110"/>
      <c r="V859" s="15"/>
    </row>
    <row r="860" spans="8:22" x14ac:dyDescent="0.2">
      <c r="H860" s="15"/>
      <c r="I860" s="110"/>
      <c r="J860" s="15"/>
      <c r="K860" s="110"/>
      <c r="L860" s="15"/>
      <c r="M860" s="110"/>
      <c r="N860" s="15"/>
      <c r="O860" s="110"/>
      <c r="P860" s="15"/>
      <c r="Q860" s="110"/>
      <c r="R860" s="15"/>
      <c r="S860" s="110"/>
      <c r="T860" s="15"/>
      <c r="U860" s="110"/>
      <c r="V860" s="15"/>
    </row>
    <row r="861" spans="8:22" x14ac:dyDescent="0.2">
      <c r="H861" s="15"/>
      <c r="I861" s="110"/>
      <c r="J861" s="15"/>
      <c r="K861" s="110"/>
      <c r="L861" s="15"/>
      <c r="M861" s="110"/>
      <c r="N861" s="15"/>
      <c r="O861" s="110"/>
      <c r="P861" s="15"/>
      <c r="Q861" s="110"/>
      <c r="R861" s="15"/>
      <c r="S861" s="110"/>
      <c r="T861" s="15"/>
      <c r="U861" s="110"/>
      <c r="V861" s="15"/>
    </row>
    <row r="862" spans="8:22" x14ac:dyDescent="0.2">
      <c r="H862" s="15"/>
      <c r="I862" s="110"/>
      <c r="J862" s="15"/>
      <c r="K862" s="110"/>
      <c r="L862" s="15"/>
      <c r="M862" s="110"/>
      <c r="N862" s="15"/>
      <c r="O862" s="110"/>
      <c r="P862" s="15"/>
      <c r="Q862" s="110"/>
      <c r="R862" s="15"/>
      <c r="S862" s="110"/>
      <c r="T862" s="15"/>
      <c r="U862" s="110"/>
      <c r="V862" s="15"/>
    </row>
    <row r="863" spans="8:22" x14ac:dyDescent="0.2">
      <c r="H863" s="15"/>
      <c r="I863" s="110"/>
      <c r="J863" s="15"/>
      <c r="K863" s="110"/>
      <c r="L863" s="15"/>
      <c r="M863" s="110"/>
      <c r="N863" s="15"/>
      <c r="O863" s="110"/>
      <c r="P863" s="15"/>
      <c r="Q863" s="110"/>
      <c r="R863" s="15"/>
      <c r="S863" s="110"/>
      <c r="T863" s="15"/>
      <c r="U863" s="110"/>
      <c r="V863" s="15"/>
    </row>
    <row r="864" spans="8:22" x14ac:dyDescent="0.2">
      <c r="H864" s="15"/>
      <c r="I864" s="110"/>
      <c r="J864" s="15"/>
      <c r="K864" s="110"/>
      <c r="L864" s="15"/>
      <c r="M864" s="110"/>
      <c r="N864" s="15"/>
      <c r="O864" s="110"/>
      <c r="P864" s="15"/>
      <c r="Q864" s="110"/>
      <c r="R864" s="15"/>
      <c r="S864" s="110"/>
      <c r="T864" s="15"/>
      <c r="U864" s="110"/>
      <c r="V864" s="15"/>
    </row>
    <row r="865" spans="8:22" x14ac:dyDescent="0.2">
      <c r="H865" s="15"/>
      <c r="I865" s="110"/>
      <c r="J865" s="15"/>
      <c r="K865" s="110"/>
      <c r="L865" s="15"/>
      <c r="M865" s="110"/>
      <c r="N865" s="15"/>
      <c r="O865" s="110"/>
      <c r="P865" s="15"/>
      <c r="Q865" s="110"/>
      <c r="R865" s="15"/>
      <c r="S865" s="110"/>
      <c r="T865" s="15"/>
      <c r="U865" s="110"/>
      <c r="V865" s="15"/>
    </row>
    <row r="866" spans="8:22" x14ac:dyDescent="0.2">
      <c r="H866" s="15"/>
      <c r="I866" s="110"/>
      <c r="J866" s="15"/>
      <c r="K866" s="110"/>
      <c r="L866" s="15"/>
      <c r="M866" s="110"/>
      <c r="N866" s="15"/>
      <c r="O866" s="110"/>
      <c r="P866" s="15"/>
      <c r="Q866" s="110"/>
      <c r="R866" s="15"/>
      <c r="S866" s="110"/>
      <c r="T866" s="15"/>
      <c r="U866" s="110"/>
      <c r="V866" s="15"/>
    </row>
    <row r="867" spans="8:22" x14ac:dyDescent="0.2">
      <c r="H867" s="15"/>
      <c r="I867" s="110"/>
      <c r="J867" s="15"/>
      <c r="K867" s="110"/>
      <c r="L867" s="15"/>
      <c r="M867" s="110"/>
      <c r="N867" s="15"/>
      <c r="O867" s="110"/>
      <c r="P867" s="15"/>
      <c r="Q867" s="110"/>
      <c r="R867" s="15"/>
      <c r="S867" s="110"/>
      <c r="T867" s="15"/>
      <c r="U867" s="110"/>
      <c r="V867" s="15"/>
    </row>
    <row r="868" spans="8:22" x14ac:dyDescent="0.2">
      <c r="H868" s="15"/>
      <c r="I868" s="110"/>
      <c r="J868" s="15"/>
      <c r="K868" s="110"/>
      <c r="L868" s="15"/>
      <c r="M868" s="110"/>
      <c r="N868" s="15"/>
      <c r="O868" s="110"/>
      <c r="P868" s="15"/>
      <c r="Q868" s="110"/>
      <c r="R868" s="15"/>
      <c r="S868" s="110"/>
      <c r="T868" s="15"/>
      <c r="U868" s="110"/>
      <c r="V868" s="15"/>
    </row>
    <row r="869" spans="8:22" x14ac:dyDescent="0.2">
      <c r="H869" s="15"/>
      <c r="I869" s="110"/>
      <c r="J869" s="15"/>
      <c r="K869" s="110"/>
      <c r="L869" s="15"/>
      <c r="M869" s="110"/>
      <c r="N869" s="15"/>
      <c r="O869" s="110"/>
      <c r="P869" s="15"/>
      <c r="Q869" s="110"/>
      <c r="R869" s="15"/>
      <c r="S869" s="110"/>
      <c r="T869" s="15"/>
      <c r="U869" s="110"/>
      <c r="V869" s="15"/>
    </row>
    <row r="870" spans="8:22" x14ac:dyDescent="0.2">
      <c r="H870" s="15"/>
      <c r="I870" s="110"/>
      <c r="J870" s="15"/>
      <c r="K870" s="110"/>
      <c r="L870" s="15"/>
      <c r="M870" s="110"/>
      <c r="N870" s="15"/>
      <c r="O870" s="110"/>
      <c r="P870" s="15"/>
      <c r="Q870" s="110"/>
      <c r="R870" s="15"/>
      <c r="S870" s="110"/>
      <c r="T870" s="15"/>
      <c r="U870" s="110"/>
      <c r="V870" s="15"/>
    </row>
    <row r="871" spans="8:22" x14ac:dyDescent="0.2">
      <c r="H871" s="15"/>
      <c r="I871" s="110"/>
      <c r="J871" s="15"/>
      <c r="K871" s="110"/>
      <c r="L871" s="15"/>
      <c r="M871" s="110"/>
      <c r="N871" s="15"/>
      <c r="O871" s="110"/>
      <c r="P871" s="15"/>
      <c r="Q871" s="110"/>
      <c r="R871" s="15"/>
      <c r="S871" s="110"/>
      <c r="T871" s="15"/>
      <c r="U871" s="110"/>
      <c r="V871" s="15"/>
    </row>
    <row r="872" spans="8:22" x14ac:dyDescent="0.2">
      <c r="H872" s="15"/>
      <c r="I872" s="110"/>
      <c r="J872" s="15"/>
      <c r="K872" s="110"/>
      <c r="L872" s="15"/>
      <c r="M872" s="110"/>
      <c r="N872" s="15"/>
      <c r="O872" s="110"/>
      <c r="P872" s="15"/>
      <c r="Q872" s="110"/>
      <c r="R872" s="15"/>
      <c r="S872" s="110"/>
      <c r="T872" s="15"/>
      <c r="U872" s="110"/>
      <c r="V872" s="15"/>
    </row>
    <row r="873" spans="8:22" x14ac:dyDescent="0.2">
      <c r="H873" s="15"/>
      <c r="I873" s="110"/>
      <c r="J873" s="15"/>
      <c r="K873" s="110"/>
      <c r="L873" s="15"/>
      <c r="M873" s="110"/>
      <c r="N873" s="15"/>
      <c r="O873" s="110"/>
      <c r="P873" s="15"/>
      <c r="Q873" s="110"/>
      <c r="R873" s="15"/>
      <c r="S873" s="110"/>
      <c r="T873" s="15"/>
      <c r="U873" s="110"/>
      <c r="V873" s="15"/>
    </row>
    <row r="874" spans="8:22" x14ac:dyDescent="0.2">
      <c r="H874" s="15"/>
      <c r="I874" s="110"/>
      <c r="J874" s="15"/>
      <c r="K874" s="110"/>
      <c r="L874" s="15"/>
      <c r="M874" s="110"/>
      <c r="N874" s="15"/>
      <c r="O874" s="110"/>
      <c r="P874" s="15"/>
      <c r="Q874" s="110"/>
      <c r="R874" s="15"/>
      <c r="S874" s="110"/>
      <c r="T874" s="15"/>
      <c r="U874" s="110"/>
      <c r="V874" s="15"/>
    </row>
    <row r="875" spans="8:22" x14ac:dyDescent="0.2">
      <c r="H875" s="15"/>
      <c r="I875" s="110"/>
      <c r="J875" s="15"/>
      <c r="K875" s="110"/>
      <c r="L875" s="15"/>
      <c r="M875" s="110"/>
      <c r="N875" s="15"/>
      <c r="O875" s="110"/>
      <c r="P875" s="15"/>
      <c r="Q875" s="110"/>
      <c r="R875" s="15"/>
      <c r="S875" s="110"/>
      <c r="T875" s="15"/>
      <c r="U875" s="110"/>
      <c r="V875" s="15"/>
    </row>
    <row r="876" spans="8:22" x14ac:dyDescent="0.2">
      <c r="H876" s="15"/>
      <c r="I876" s="110"/>
      <c r="J876" s="15"/>
      <c r="K876" s="110"/>
      <c r="L876" s="15"/>
      <c r="M876" s="110"/>
      <c r="N876" s="15"/>
      <c r="O876" s="110"/>
      <c r="P876" s="15"/>
      <c r="Q876" s="110"/>
      <c r="R876" s="15"/>
      <c r="S876" s="110"/>
      <c r="T876" s="15"/>
      <c r="U876" s="110"/>
      <c r="V876" s="15"/>
    </row>
    <row r="877" spans="8:22" x14ac:dyDescent="0.2">
      <c r="H877" s="15"/>
      <c r="I877" s="110"/>
      <c r="J877" s="15"/>
      <c r="K877" s="110"/>
      <c r="L877" s="15"/>
      <c r="M877" s="110"/>
      <c r="N877" s="15"/>
      <c r="O877" s="110"/>
      <c r="P877" s="15"/>
      <c r="Q877" s="110"/>
      <c r="R877" s="15"/>
      <c r="S877" s="110"/>
      <c r="T877" s="15"/>
      <c r="U877" s="110"/>
      <c r="V877" s="15"/>
    </row>
    <row r="878" spans="8:22" x14ac:dyDescent="0.2">
      <c r="H878" s="15"/>
      <c r="I878" s="110"/>
      <c r="J878" s="15"/>
      <c r="K878" s="110"/>
      <c r="L878" s="15"/>
      <c r="M878" s="110"/>
      <c r="N878" s="15"/>
      <c r="O878" s="110"/>
      <c r="P878" s="15"/>
      <c r="Q878" s="110"/>
      <c r="R878" s="15"/>
      <c r="S878" s="110"/>
      <c r="T878" s="15"/>
      <c r="U878" s="110"/>
      <c r="V878" s="15"/>
    </row>
    <row r="879" spans="8:22" x14ac:dyDescent="0.2">
      <c r="H879" s="15"/>
      <c r="I879" s="110"/>
      <c r="J879" s="15"/>
      <c r="K879" s="110"/>
      <c r="L879" s="15"/>
      <c r="M879" s="110"/>
      <c r="N879" s="15"/>
      <c r="O879" s="110"/>
      <c r="P879" s="15"/>
      <c r="Q879" s="110"/>
      <c r="R879" s="15"/>
      <c r="S879" s="110"/>
      <c r="T879" s="15"/>
      <c r="U879" s="110"/>
      <c r="V879" s="15"/>
    </row>
    <row r="880" spans="8:22" x14ac:dyDescent="0.2">
      <c r="H880" s="15"/>
      <c r="I880" s="110"/>
      <c r="J880" s="15"/>
      <c r="K880" s="110"/>
      <c r="L880" s="15"/>
      <c r="M880" s="110"/>
      <c r="N880" s="15"/>
      <c r="O880" s="110"/>
      <c r="P880" s="15"/>
      <c r="Q880" s="110"/>
      <c r="R880" s="15"/>
      <c r="S880" s="110"/>
      <c r="T880" s="15"/>
      <c r="U880" s="110"/>
      <c r="V880" s="15"/>
    </row>
    <row r="881" spans="8:22" x14ac:dyDescent="0.2">
      <c r="H881" s="15"/>
      <c r="I881" s="110"/>
      <c r="J881" s="15"/>
      <c r="K881" s="110"/>
      <c r="L881" s="15"/>
      <c r="M881" s="110"/>
      <c r="N881" s="15"/>
      <c r="O881" s="110"/>
      <c r="P881" s="15"/>
      <c r="Q881" s="110"/>
      <c r="R881" s="15"/>
      <c r="S881" s="110"/>
      <c r="T881" s="15"/>
      <c r="U881" s="110"/>
      <c r="V881" s="15"/>
    </row>
    <row r="882" spans="8:22" x14ac:dyDescent="0.2">
      <c r="H882" s="15"/>
      <c r="I882" s="110"/>
      <c r="J882" s="15"/>
      <c r="K882" s="110"/>
      <c r="L882" s="15"/>
      <c r="M882" s="110"/>
      <c r="N882" s="15"/>
      <c r="O882" s="110"/>
      <c r="P882" s="15"/>
      <c r="Q882" s="110"/>
      <c r="R882" s="15"/>
      <c r="S882" s="110"/>
      <c r="T882" s="15"/>
      <c r="U882" s="110"/>
      <c r="V882" s="15"/>
    </row>
    <row r="883" spans="8:22" x14ac:dyDescent="0.2">
      <c r="H883" s="15"/>
      <c r="I883" s="110"/>
      <c r="J883" s="15"/>
      <c r="K883" s="110"/>
      <c r="L883" s="15"/>
      <c r="M883" s="110"/>
      <c r="N883" s="15"/>
      <c r="O883" s="110"/>
      <c r="P883" s="15"/>
      <c r="Q883" s="110"/>
      <c r="R883" s="15"/>
      <c r="S883" s="110"/>
      <c r="T883" s="15"/>
      <c r="U883" s="110"/>
      <c r="V883" s="15"/>
    </row>
    <row r="884" spans="8:22" x14ac:dyDescent="0.2">
      <c r="H884" s="15"/>
      <c r="I884" s="110"/>
      <c r="J884" s="15"/>
      <c r="K884" s="110"/>
      <c r="L884" s="15"/>
      <c r="M884" s="110"/>
      <c r="N884" s="15"/>
      <c r="O884" s="110"/>
      <c r="P884" s="15"/>
      <c r="Q884" s="110"/>
      <c r="R884" s="15"/>
      <c r="S884" s="110"/>
      <c r="T884" s="15"/>
      <c r="U884" s="110"/>
      <c r="V884" s="15"/>
    </row>
    <row r="885" spans="8:22" x14ac:dyDescent="0.2">
      <c r="H885" s="15"/>
      <c r="I885" s="110"/>
      <c r="J885" s="15"/>
      <c r="K885" s="110"/>
      <c r="L885" s="15"/>
      <c r="M885" s="110"/>
      <c r="N885" s="15"/>
      <c r="O885" s="110"/>
      <c r="P885" s="15"/>
      <c r="Q885" s="110"/>
      <c r="R885" s="15"/>
      <c r="S885" s="110"/>
      <c r="T885" s="15"/>
      <c r="U885" s="110"/>
      <c r="V885" s="15"/>
    </row>
    <row r="886" spans="8:22" x14ac:dyDescent="0.2">
      <c r="H886" s="15"/>
      <c r="I886" s="110"/>
      <c r="J886" s="15"/>
      <c r="K886" s="110"/>
      <c r="L886" s="15"/>
      <c r="M886" s="110"/>
      <c r="N886" s="15"/>
      <c r="O886" s="110"/>
      <c r="P886" s="15"/>
      <c r="Q886" s="110"/>
      <c r="R886" s="15"/>
      <c r="S886" s="110"/>
      <c r="T886" s="15"/>
      <c r="U886" s="110"/>
      <c r="V886" s="15"/>
    </row>
    <row r="887" spans="8:22" x14ac:dyDescent="0.2">
      <c r="H887" s="15"/>
      <c r="I887" s="110"/>
      <c r="J887" s="15"/>
      <c r="K887" s="110"/>
      <c r="L887" s="15"/>
      <c r="M887" s="110"/>
      <c r="N887" s="15"/>
      <c r="O887" s="110"/>
      <c r="P887" s="15"/>
      <c r="Q887" s="110"/>
      <c r="R887" s="15"/>
      <c r="S887" s="110"/>
      <c r="T887" s="15"/>
      <c r="U887" s="110"/>
      <c r="V887" s="15"/>
    </row>
    <row r="888" spans="8:22" x14ac:dyDescent="0.2">
      <c r="H888" s="15"/>
      <c r="I888" s="110"/>
      <c r="J888" s="15"/>
      <c r="K888" s="110"/>
      <c r="L888" s="15"/>
      <c r="M888" s="110"/>
      <c r="N888" s="15"/>
      <c r="O888" s="110"/>
      <c r="P888" s="15"/>
      <c r="Q888" s="110"/>
      <c r="R888" s="15"/>
      <c r="S888" s="110"/>
      <c r="T888" s="15"/>
      <c r="U888" s="110"/>
      <c r="V888" s="15"/>
    </row>
    <row r="889" spans="8:22" x14ac:dyDescent="0.2">
      <c r="H889" s="15"/>
      <c r="I889" s="110"/>
      <c r="J889" s="15"/>
      <c r="K889" s="110"/>
      <c r="L889" s="15"/>
      <c r="M889" s="110"/>
      <c r="N889" s="15"/>
      <c r="O889" s="110"/>
      <c r="P889" s="15"/>
      <c r="Q889" s="110"/>
      <c r="R889" s="15"/>
      <c r="S889" s="110"/>
      <c r="T889" s="15"/>
      <c r="U889" s="110"/>
      <c r="V889" s="15"/>
    </row>
    <row r="890" spans="8:22" x14ac:dyDescent="0.2">
      <c r="H890" s="15"/>
      <c r="I890" s="110"/>
      <c r="J890" s="15"/>
      <c r="K890" s="110"/>
      <c r="L890" s="15"/>
      <c r="M890" s="110"/>
      <c r="N890" s="15"/>
      <c r="O890" s="110"/>
      <c r="P890" s="15"/>
      <c r="Q890" s="110"/>
      <c r="R890" s="15"/>
      <c r="S890" s="110"/>
      <c r="T890" s="15"/>
      <c r="U890" s="110"/>
      <c r="V890" s="15"/>
    </row>
    <row r="891" spans="8:22" x14ac:dyDescent="0.2">
      <c r="H891" s="15"/>
      <c r="I891" s="110"/>
      <c r="J891" s="15"/>
      <c r="K891" s="110"/>
      <c r="L891" s="15"/>
      <c r="M891" s="110"/>
      <c r="N891" s="15"/>
      <c r="O891" s="110"/>
      <c r="P891" s="15"/>
      <c r="Q891" s="110"/>
      <c r="R891" s="15"/>
      <c r="S891" s="110"/>
      <c r="T891" s="15"/>
      <c r="U891" s="110"/>
      <c r="V891" s="15"/>
    </row>
    <row r="892" spans="8:22" x14ac:dyDescent="0.2">
      <c r="H892" s="15"/>
      <c r="I892" s="110"/>
      <c r="J892" s="15"/>
      <c r="K892" s="110"/>
      <c r="L892" s="15"/>
      <c r="M892" s="110"/>
      <c r="N892" s="15"/>
      <c r="O892" s="110"/>
      <c r="P892" s="15"/>
      <c r="Q892" s="110"/>
      <c r="R892" s="15"/>
      <c r="S892" s="110"/>
      <c r="T892" s="15"/>
      <c r="U892" s="110"/>
      <c r="V892" s="15"/>
    </row>
    <row r="893" spans="8:22" x14ac:dyDescent="0.2">
      <c r="H893" s="15"/>
      <c r="I893" s="110"/>
      <c r="J893" s="15"/>
      <c r="K893" s="110"/>
      <c r="L893" s="15"/>
      <c r="M893" s="110"/>
      <c r="N893" s="15"/>
      <c r="O893" s="110"/>
      <c r="P893" s="15"/>
      <c r="Q893" s="110"/>
      <c r="R893" s="15"/>
      <c r="S893" s="110"/>
      <c r="T893" s="15"/>
      <c r="U893" s="110"/>
      <c r="V893" s="15"/>
    </row>
    <row r="894" spans="8:22" x14ac:dyDescent="0.2">
      <c r="H894" s="15"/>
      <c r="I894" s="110"/>
      <c r="J894" s="15"/>
      <c r="K894" s="110"/>
      <c r="L894" s="15"/>
      <c r="M894" s="110"/>
      <c r="N894" s="15"/>
      <c r="O894" s="110"/>
      <c r="P894" s="15"/>
      <c r="Q894" s="110"/>
      <c r="R894" s="15"/>
      <c r="S894" s="110"/>
      <c r="T894" s="15"/>
      <c r="U894" s="110"/>
      <c r="V894" s="15"/>
    </row>
    <row r="895" spans="8:22" x14ac:dyDescent="0.2">
      <c r="H895" s="15"/>
      <c r="I895" s="110"/>
      <c r="J895" s="15"/>
      <c r="K895" s="110"/>
      <c r="L895" s="15"/>
      <c r="M895" s="110"/>
      <c r="N895" s="15"/>
      <c r="O895" s="110"/>
      <c r="P895" s="15"/>
      <c r="Q895" s="110"/>
      <c r="R895" s="15"/>
      <c r="S895" s="110"/>
      <c r="T895" s="15"/>
      <c r="U895" s="110"/>
      <c r="V895" s="15"/>
    </row>
    <row r="896" spans="8:22" x14ac:dyDescent="0.2">
      <c r="H896" s="15"/>
      <c r="I896" s="110"/>
      <c r="J896" s="15"/>
      <c r="K896" s="110"/>
      <c r="L896" s="15"/>
      <c r="M896" s="110"/>
      <c r="N896" s="15"/>
      <c r="O896" s="110"/>
      <c r="P896" s="15"/>
      <c r="Q896" s="110"/>
      <c r="R896" s="15"/>
      <c r="S896" s="110"/>
      <c r="T896" s="15"/>
      <c r="U896" s="110"/>
      <c r="V896" s="15"/>
    </row>
    <row r="897" spans="8:22" x14ac:dyDescent="0.2">
      <c r="H897" s="15"/>
      <c r="I897" s="110"/>
      <c r="J897" s="15"/>
      <c r="K897" s="110"/>
      <c r="L897" s="15"/>
      <c r="M897" s="110"/>
      <c r="N897" s="15"/>
      <c r="O897" s="110"/>
      <c r="P897" s="15"/>
      <c r="Q897" s="110"/>
      <c r="R897" s="15"/>
      <c r="S897" s="110"/>
      <c r="T897" s="15"/>
      <c r="U897" s="110"/>
      <c r="V897" s="15"/>
    </row>
    <row r="898" spans="8:22" x14ac:dyDescent="0.2">
      <c r="H898" s="15"/>
      <c r="I898" s="110"/>
      <c r="J898" s="15"/>
      <c r="K898" s="110"/>
      <c r="L898" s="15"/>
      <c r="M898" s="110"/>
      <c r="N898" s="15"/>
      <c r="O898" s="110"/>
      <c r="P898" s="15"/>
      <c r="Q898" s="110"/>
      <c r="R898" s="15"/>
      <c r="S898" s="110"/>
      <c r="T898" s="15"/>
      <c r="U898" s="110"/>
      <c r="V898" s="15"/>
    </row>
    <row r="899" spans="8:22" x14ac:dyDescent="0.2">
      <c r="H899" s="15"/>
      <c r="I899" s="110"/>
      <c r="J899" s="15"/>
      <c r="K899" s="110"/>
      <c r="L899" s="15"/>
      <c r="M899" s="110"/>
      <c r="N899" s="15"/>
      <c r="O899" s="110"/>
      <c r="P899" s="15"/>
      <c r="Q899" s="110"/>
      <c r="R899" s="15"/>
      <c r="S899" s="110"/>
      <c r="T899" s="15"/>
      <c r="U899" s="110"/>
      <c r="V899" s="15"/>
    </row>
    <row r="900" spans="8:22" x14ac:dyDescent="0.2">
      <c r="H900" s="15"/>
      <c r="I900" s="110"/>
      <c r="J900" s="15"/>
      <c r="K900" s="110"/>
      <c r="L900" s="15"/>
      <c r="M900" s="110"/>
      <c r="N900" s="15"/>
      <c r="O900" s="110"/>
      <c r="P900" s="15"/>
      <c r="Q900" s="110"/>
      <c r="R900" s="15"/>
      <c r="S900" s="110"/>
      <c r="T900" s="15"/>
      <c r="U900" s="110"/>
      <c r="V900" s="15"/>
    </row>
    <row r="901" spans="8:22" x14ac:dyDescent="0.2">
      <c r="H901" s="15"/>
      <c r="I901" s="110"/>
      <c r="J901" s="15"/>
      <c r="K901" s="110"/>
      <c r="L901" s="15"/>
      <c r="M901" s="110"/>
      <c r="N901" s="15"/>
      <c r="O901" s="110"/>
      <c r="P901" s="15"/>
      <c r="Q901" s="110"/>
      <c r="R901" s="15"/>
      <c r="S901" s="110"/>
      <c r="T901" s="15"/>
      <c r="U901" s="110"/>
      <c r="V901" s="15"/>
    </row>
    <row r="902" spans="8:22" x14ac:dyDescent="0.2">
      <c r="H902" s="15"/>
      <c r="I902" s="110"/>
      <c r="J902" s="15"/>
      <c r="K902" s="110"/>
      <c r="L902" s="15"/>
      <c r="M902" s="110"/>
      <c r="N902" s="15"/>
      <c r="O902" s="110"/>
      <c r="P902" s="15"/>
      <c r="Q902" s="110"/>
      <c r="R902" s="15"/>
      <c r="S902" s="110"/>
      <c r="T902" s="15"/>
      <c r="U902" s="110"/>
      <c r="V902" s="15"/>
    </row>
    <row r="903" spans="8:22" x14ac:dyDescent="0.2">
      <c r="H903" s="15"/>
      <c r="I903" s="110"/>
      <c r="J903" s="15"/>
      <c r="K903" s="110"/>
      <c r="L903" s="15"/>
      <c r="M903" s="110"/>
      <c r="N903" s="15"/>
      <c r="O903" s="110"/>
      <c r="P903" s="15"/>
      <c r="Q903" s="110"/>
      <c r="R903" s="15"/>
      <c r="S903" s="110"/>
      <c r="T903" s="15"/>
      <c r="U903" s="110"/>
      <c r="V903" s="15"/>
    </row>
    <row r="904" spans="8:22" x14ac:dyDescent="0.2">
      <c r="H904" s="15"/>
      <c r="I904" s="110"/>
      <c r="J904" s="15"/>
      <c r="K904" s="110"/>
      <c r="L904" s="15"/>
      <c r="M904" s="110"/>
      <c r="N904" s="15"/>
      <c r="O904" s="110"/>
      <c r="P904" s="15"/>
      <c r="Q904" s="110"/>
      <c r="R904" s="15"/>
      <c r="S904" s="110"/>
      <c r="T904" s="15"/>
      <c r="U904" s="110"/>
      <c r="V904" s="15"/>
    </row>
    <row r="905" spans="8:22" x14ac:dyDescent="0.2">
      <c r="H905" s="15"/>
      <c r="I905" s="110"/>
      <c r="J905" s="15"/>
      <c r="K905" s="110"/>
      <c r="L905" s="15"/>
      <c r="M905" s="110"/>
      <c r="N905" s="15"/>
      <c r="O905" s="110"/>
      <c r="P905" s="15"/>
      <c r="Q905" s="110"/>
      <c r="R905" s="15"/>
      <c r="S905" s="110"/>
      <c r="T905" s="15"/>
      <c r="U905" s="110"/>
      <c r="V905" s="15"/>
    </row>
    <row r="906" spans="8:22" x14ac:dyDescent="0.2">
      <c r="H906" s="15"/>
      <c r="I906" s="110"/>
      <c r="J906" s="15"/>
      <c r="K906" s="110"/>
      <c r="L906" s="15"/>
      <c r="M906" s="110"/>
      <c r="N906" s="15"/>
      <c r="O906" s="110"/>
      <c r="P906" s="15"/>
      <c r="Q906" s="110"/>
      <c r="R906" s="15"/>
      <c r="S906" s="110"/>
      <c r="T906" s="15"/>
      <c r="U906" s="110"/>
      <c r="V906" s="15"/>
    </row>
    <row r="907" spans="8:22" x14ac:dyDescent="0.2">
      <c r="H907" s="15"/>
      <c r="I907" s="110"/>
      <c r="J907" s="15"/>
      <c r="K907" s="110"/>
      <c r="L907" s="15"/>
      <c r="M907" s="110"/>
      <c r="N907" s="15"/>
      <c r="O907" s="110"/>
      <c r="P907" s="15"/>
      <c r="Q907" s="110"/>
      <c r="R907" s="15"/>
      <c r="S907" s="110"/>
      <c r="T907" s="15"/>
      <c r="U907" s="110"/>
      <c r="V907" s="15"/>
    </row>
    <row r="908" spans="8:22" x14ac:dyDescent="0.2">
      <c r="H908" s="15"/>
      <c r="I908" s="110"/>
      <c r="J908" s="15"/>
      <c r="K908" s="110"/>
      <c r="L908" s="15"/>
      <c r="M908" s="110"/>
      <c r="N908" s="15"/>
      <c r="O908" s="110"/>
      <c r="P908" s="15"/>
      <c r="Q908" s="110"/>
      <c r="R908" s="15"/>
      <c r="S908" s="110"/>
      <c r="T908" s="15"/>
      <c r="U908" s="110"/>
      <c r="V908" s="15"/>
    </row>
    <row r="909" spans="8:22" x14ac:dyDescent="0.2">
      <c r="H909" s="15"/>
      <c r="I909" s="110"/>
      <c r="J909" s="15"/>
      <c r="K909" s="110"/>
      <c r="L909" s="15"/>
      <c r="M909" s="110"/>
      <c r="N909" s="15"/>
      <c r="O909" s="110"/>
      <c r="P909" s="15"/>
      <c r="Q909" s="110"/>
      <c r="R909" s="15"/>
      <c r="S909" s="110"/>
      <c r="T909" s="15"/>
      <c r="U909" s="110"/>
      <c r="V909" s="15"/>
    </row>
    <row r="910" spans="8:22" x14ac:dyDescent="0.2">
      <c r="H910" s="15"/>
      <c r="I910" s="110"/>
      <c r="J910" s="15"/>
      <c r="K910" s="110"/>
      <c r="L910" s="15"/>
      <c r="M910" s="110"/>
      <c r="N910" s="15"/>
      <c r="O910" s="110"/>
      <c r="P910" s="15"/>
      <c r="Q910" s="110"/>
      <c r="R910" s="15"/>
      <c r="S910" s="110"/>
      <c r="T910" s="15"/>
      <c r="U910" s="110"/>
      <c r="V910" s="15"/>
    </row>
    <row r="911" spans="8:22" x14ac:dyDescent="0.2">
      <c r="H911" s="15"/>
      <c r="I911" s="110"/>
      <c r="J911" s="15"/>
      <c r="K911" s="110"/>
      <c r="L911" s="15"/>
      <c r="M911" s="110"/>
      <c r="N911" s="15"/>
      <c r="O911" s="110"/>
      <c r="P911" s="15"/>
      <c r="Q911" s="110"/>
      <c r="R911" s="15"/>
      <c r="S911" s="110"/>
      <c r="T911" s="15"/>
      <c r="U911" s="110"/>
      <c r="V911" s="15"/>
    </row>
    <row r="912" spans="8:22" x14ac:dyDescent="0.2">
      <c r="H912" s="15"/>
      <c r="I912" s="110"/>
      <c r="J912" s="15"/>
      <c r="K912" s="110"/>
      <c r="L912" s="15"/>
      <c r="M912" s="110"/>
      <c r="N912" s="15"/>
      <c r="O912" s="110"/>
      <c r="P912" s="15"/>
      <c r="Q912" s="110"/>
      <c r="R912" s="15"/>
      <c r="S912" s="110"/>
      <c r="T912" s="15"/>
      <c r="U912" s="110"/>
      <c r="V912" s="15"/>
    </row>
    <row r="913" spans="8:22" x14ac:dyDescent="0.2">
      <c r="H913" s="15"/>
      <c r="I913" s="110"/>
      <c r="J913" s="15"/>
      <c r="K913" s="110"/>
      <c r="L913" s="15"/>
      <c r="M913" s="110"/>
      <c r="N913" s="15"/>
      <c r="O913" s="110"/>
      <c r="P913" s="15"/>
      <c r="Q913" s="110"/>
      <c r="R913" s="15"/>
      <c r="S913" s="110"/>
      <c r="T913" s="15"/>
      <c r="U913" s="110"/>
      <c r="V913" s="15"/>
    </row>
    <row r="914" spans="8:22" x14ac:dyDescent="0.2">
      <c r="H914" s="15"/>
      <c r="I914" s="110"/>
      <c r="J914" s="15"/>
      <c r="K914" s="110"/>
      <c r="L914" s="15"/>
      <c r="M914" s="110"/>
      <c r="N914" s="15"/>
      <c r="O914" s="110"/>
      <c r="P914" s="15"/>
      <c r="Q914" s="110"/>
      <c r="R914" s="15"/>
      <c r="S914" s="110"/>
      <c r="T914" s="15"/>
      <c r="U914" s="110"/>
      <c r="V914" s="15"/>
    </row>
    <row r="915" spans="8:22" x14ac:dyDescent="0.2">
      <c r="H915" s="15"/>
      <c r="I915" s="110"/>
      <c r="J915" s="15"/>
      <c r="K915" s="110"/>
      <c r="L915" s="15"/>
      <c r="M915" s="110"/>
      <c r="N915" s="15"/>
      <c r="O915" s="110"/>
      <c r="P915" s="15"/>
      <c r="Q915" s="110"/>
      <c r="R915" s="15"/>
      <c r="S915" s="110"/>
      <c r="T915" s="15"/>
      <c r="U915" s="110"/>
      <c r="V915" s="15"/>
    </row>
    <row r="916" spans="8:22" x14ac:dyDescent="0.2">
      <c r="H916" s="15"/>
      <c r="I916" s="110"/>
      <c r="J916" s="15"/>
      <c r="K916" s="110"/>
      <c r="L916" s="15"/>
      <c r="M916" s="110"/>
      <c r="N916" s="15"/>
      <c r="O916" s="110"/>
      <c r="P916" s="15"/>
      <c r="Q916" s="110"/>
      <c r="R916" s="15"/>
      <c r="S916" s="110"/>
      <c r="T916" s="15"/>
      <c r="U916" s="110"/>
      <c r="V916" s="15"/>
    </row>
    <row r="917" spans="8:22" x14ac:dyDescent="0.2">
      <c r="H917" s="15"/>
      <c r="I917" s="110"/>
      <c r="J917" s="15"/>
      <c r="K917" s="110"/>
      <c r="L917" s="15"/>
      <c r="M917" s="110"/>
      <c r="N917" s="15"/>
      <c r="O917" s="110"/>
      <c r="P917" s="15"/>
      <c r="Q917" s="110"/>
      <c r="R917" s="15"/>
      <c r="S917" s="110"/>
      <c r="T917" s="15"/>
      <c r="U917" s="110"/>
      <c r="V917" s="15"/>
    </row>
    <row r="918" spans="8:22" x14ac:dyDescent="0.2">
      <c r="H918" s="15"/>
      <c r="I918" s="110"/>
      <c r="J918" s="15"/>
      <c r="K918" s="110"/>
      <c r="L918" s="15"/>
      <c r="M918" s="110"/>
      <c r="N918" s="15"/>
      <c r="O918" s="110"/>
      <c r="P918" s="15"/>
      <c r="Q918" s="110"/>
      <c r="R918" s="15"/>
      <c r="S918" s="110"/>
      <c r="T918" s="15"/>
      <c r="U918" s="110"/>
      <c r="V918" s="15"/>
    </row>
    <row r="919" spans="8:22" x14ac:dyDescent="0.2">
      <c r="H919" s="15"/>
      <c r="I919" s="110"/>
      <c r="J919" s="15"/>
      <c r="K919" s="110"/>
      <c r="L919" s="15"/>
      <c r="M919" s="110"/>
      <c r="N919" s="15"/>
      <c r="O919" s="110"/>
      <c r="P919" s="15"/>
      <c r="Q919" s="110"/>
      <c r="R919" s="15"/>
      <c r="S919" s="110"/>
      <c r="T919" s="15"/>
      <c r="U919" s="110"/>
      <c r="V919" s="15"/>
    </row>
    <row r="920" spans="8:22" x14ac:dyDescent="0.2">
      <c r="H920" s="15"/>
      <c r="I920" s="110"/>
      <c r="J920" s="15"/>
      <c r="K920" s="110"/>
      <c r="L920" s="15"/>
      <c r="M920" s="110"/>
      <c r="N920" s="15"/>
      <c r="O920" s="110"/>
      <c r="P920" s="15"/>
      <c r="Q920" s="110"/>
      <c r="R920" s="15"/>
      <c r="S920" s="110"/>
      <c r="T920" s="15"/>
      <c r="U920" s="110"/>
      <c r="V920" s="15"/>
    </row>
    <row r="921" spans="8:22" x14ac:dyDescent="0.2">
      <c r="H921" s="15"/>
      <c r="I921" s="110"/>
      <c r="J921" s="15"/>
      <c r="K921" s="110"/>
      <c r="L921" s="15"/>
      <c r="M921" s="110"/>
      <c r="N921" s="15"/>
      <c r="O921" s="110"/>
      <c r="P921" s="15"/>
      <c r="Q921" s="110"/>
      <c r="R921" s="15"/>
      <c r="S921" s="110"/>
      <c r="T921" s="15"/>
      <c r="U921" s="110"/>
      <c r="V921" s="15"/>
    </row>
    <row r="922" spans="8:22" x14ac:dyDescent="0.2">
      <c r="H922" s="15"/>
      <c r="I922" s="110"/>
      <c r="J922" s="15"/>
      <c r="K922" s="110"/>
      <c r="L922" s="15"/>
      <c r="M922" s="110"/>
      <c r="N922" s="15"/>
      <c r="O922" s="110"/>
      <c r="P922" s="15"/>
      <c r="Q922" s="110"/>
      <c r="R922" s="15"/>
      <c r="S922" s="110"/>
      <c r="T922" s="15"/>
      <c r="U922" s="110"/>
      <c r="V922" s="15"/>
    </row>
    <row r="923" spans="8:22" x14ac:dyDescent="0.2">
      <c r="H923" s="15"/>
      <c r="I923" s="110"/>
      <c r="J923" s="15"/>
      <c r="K923" s="110"/>
      <c r="L923" s="15"/>
      <c r="M923" s="110"/>
      <c r="N923" s="15"/>
      <c r="O923" s="110"/>
      <c r="P923" s="15"/>
      <c r="Q923" s="110"/>
      <c r="R923" s="15"/>
      <c r="S923" s="110"/>
      <c r="T923" s="15"/>
      <c r="U923" s="110"/>
      <c r="V923" s="15"/>
    </row>
    <row r="924" spans="8:22" x14ac:dyDescent="0.2">
      <c r="H924" s="15"/>
      <c r="I924" s="110"/>
      <c r="J924" s="15"/>
      <c r="K924" s="110"/>
      <c r="L924" s="15"/>
      <c r="M924" s="110"/>
      <c r="N924" s="15"/>
      <c r="O924" s="110"/>
      <c r="P924" s="15"/>
      <c r="Q924" s="110"/>
      <c r="R924" s="15"/>
      <c r="S924" s="110"/>
      <c r="T924" s="15"/>
      <c r="U924" s="110"/>
      <c r="V924" s="15"/>
    </row>
    <row r="925" spans="8:22" x14ac:dyDescent="0.2">
      <c r="H925" s="15"/>
      <c r="I925" s="110"/>
      <c r="J925" s="15"/>
      <c r="K925" s="110"/>
      <c r="L925" s="15"/>
      <c r="M925" s="110"/>
      <c r="N925" s="15"/>
      <c r="O925" s="110"/>
      <c r="P925" s="15"/>
      <c r="Q925" s="110"/>
      <c r="R925" s="15"/>
      <c r="S925" s="110"/>
      <c r="T925" s="15"/>
      <c r="U925" s="110"/>
      <c r="V925" s="15"/>
    </row>
    <row r="926" spans="8:22" x14ac:dyDescent="0.2">
      <c r="H926" s="15"/>
      <c r="I926" s="110"/>
      <c r="J926" s="15"/>
      <c r="K926" s="110"/>
      <c r="L926" s="15"/>
      <c r="M926" s="110"/>
      <c r="N926" s="15"/>
      <c r="O926" s="110"/>
      <c r="P926" s="15"/>
      <c r="Q926" s="110"/>
      <c r="R926" s="15"/>
      <c r="S926" s="110"/>
      <c r="T926" s="15"/>
      <c r="U926" s="110"/>
      <c r="V926" s="15"/>
    </row>
    <row r="927" spans="8:22" x14ac:dyDescent="0.2">
      <c r="H927" s="15"/>
      <c r="I927" s="110"/>
      <c r="J927" s="15"/>
      <c r="K927" s="110"/>
      <c r="L927" s="15"/>
      <c r="M927" s="110"/>
      <c r="N927" s="15"/>
      <c r="O927" s="110"/>
      <c r="P927" s="15"/>
      <c r="Q927" s="110"/>
      <c r="R927" s="15"/>
      <c r="S927" s="110"/>
      <c r="T927" s="15"/>
      <c r="U927" s="110"/>
      <c r="V927" s="15"/>
    </row>
    <row r="928" spans="8:22" x14ac:dyDescent="0.2">
      <c r="H928" s="15"/>
      <c r="I928" s="110"/>
      <c r="J928" s="15"/>
      <c r="K928" s="110"/>
      <c r="L928" s="15"/>
      <c r="M928" s="110"/>
      <c r="N928" s="15"/>
      <c r="O928" s="110"/>
      <c r="P928" s="15"/>
      <c r="Q928" s="110"/>
      <c r="R928" s="15"/>
      <c r="S928" s="110"/>
      <c r="T928" s="15"/>
      <c r="U928" s="110"/>
      <c r="V928" s="15"/>
    </row>
    <row r="929" spans="8:22" x14ac:dyDescent="0.2">
      <c r="H929" s="15"/>
      <c r="I929" s="110"/>
      <c r="J929" s="15"/>
      <c r="K929" s="110"/>
      <c r="L929" s="15"/>
      <c r="M929" s="110"/>
      <c r="N929" s="15"/>
      <c r="O929" s="110"/>
      <c r="P929" s="15"/>
      <c r="Q929" s="110"/>
      <c r="R929" s="15"/>
      <c r="S929" s="110"/>
      <c r="T929" s="15"/>
      <c r="U929" s="110"/>
      <c r="V929" s="15"/>
    </row>
    <row r="930" spans="8:22" x14ac:dyDescent="0.2">
      <c r="H930" s="15"/>
      <c r="I930" s="110"/>
      <c r="J930" s="15"/>
      <c r="K930" s="110"/>
      <c r="L930" s="15"/>
      <c r="M930" s="110"/>
      <c r="N930" s="15"/>
      <c r="O930" s="110"/>
      <c r="P930" s="15"/>
      <c r="Q930" s="110"/>
      <c r="R930" s="15"/>
      <c r="S930" s="110"/>
      <c r="T930" s="15"/>
      <c r="U930" s="110"/>
      <c r="V930" s="15"/>
    </row>
    <row r="931" spans="8:22" x14ac:dyDescent="0.2">
      <c r="H931" s="15"/>
      <c r="I931" s="110"/>
      <c r="J931" s="15"/>
      <c r="K931" s="110"/>
      <c r="L931" s="15"/>
      <c r="M931" s="110"/>
      <c r="N931" s="15"/>
      <c r="O931" s="110"/>
      <c r="P931" s="15"/>
      <c r="Q931" s="110"/>
      <c r="R931" s="15"/>
      <c r="S931" s="110"/>
      <c r="T931" s="15"/>
      <c r="U931" s="110"/>
      <c r="V931" s="15"/>
    </row>
    <row r="932" spans="8:22" x14ac:dyDescent="0.2">
      <c r="H932" s="15"/>
      <c r="I932" s="110"/>
      <c r="J932" s="15"/>
      <c r="K932" s="110"/>
      <c r="L932" s="15"/>
      <c r="M932" s="110"/>
      <c r="N932" s="15"/>
      <c r="O932" s="110"/>
      <c r="P932" s="15"/>
      <c r="Q932" s="110"/>
      <c r="R932" s="15"/>
      <c r="S932" s="110"/>
      <c r="T932" s="15"/>
      <c r="U932" s="110"/>
      <c r="V932" s="15"/>
    </row>
    <row r="933" spans="8:22" x14ac:dyDescent="0.2">
      <c r="H933" s="15"/>
      <c r="I933" s="110"/>
      <c r="J933" s="15"/>
      <c r="K933" s="110"/>
      <c r="L933" s="15"/>
      <c r="M933" s="110"/>
      <c r="N933" s="15"/>
      <c r="O933" s="110"/>
      <c r="P933" s="15"/>
      <c r="Q933" s="110"/>
      <c r="R933" s="15"/>
      <c r="S933" s="110"/>
      <c r="T933" s="15"/>
      <c r="U933" s="110"/>
      <c r="V933" s="15"/>
    </row>
    <row r="934" spans="8:22" x14ac:dyDescent="0.2">
      <c r="H934" s="15"/>
      <c r="I934" s="110"/>
      <c r="J934" s="15"/>
      <c r="K934" s="110"/>
      <c r="L934" s="15"/>
      <c r="M934" s="110"/>
      <c r="N934" s="15"/>
      <c r="O934" s="110"/>
      <c r="P934" s="15"/>
      <c r="Q934" s="110"/>
      <c r="R934" s="15"/>
      <c r="S934" s="110"/>
      <c r="T934" s="15"/>
      <c r="U934" s="110"/>
      <c r="V934" s="15"/>
    </row>
    <row r="935" spans="8:22" x14ac:dyDescent="0.2">
      <c r="H935" s="15"/>
      <c r="I935" s="110"/>
      <c r="J935" s="15"/>
      <c r="K935" s="110"/>
      <c r="L935" s="15"/>
      <c r="M935" s="110"/>
      <c r="N935" s="15"/>
      <c r="O935" s="110"/>
      <c r="P935" s="15"/>
      <c r="Q935" s="110"/>
      <c r="R935" s="15"/>
      <c r="S935" s="110"/>
      <c r="T935" s="15"/>
      <c r="U935" s="110"/>
      <c r="V935" s="15"/>
    </row>
    <row r="936" spans="8:22" x14ac:dyDescent="0.2">
      <c r="H936" s="15"/>
      <c r="I936" s="110"/>
      <c r="J936" s="15"/>
      <c r="K936" s="110"/>
      <c r="L936" s="15"/>
      <c r="M936" s="110"/>
      <c r="N936" s="15"/>
      <c r="O936" s="110"/>
      <c r="P936" s="15"/>
      <c r="Q936" s="110"/>
      <c r="R936" s="15"/>
      <c r="S936" s="110"/>
      <c r="T936" s="15"/>
      <c r="U936" s="110"/>
      <c r="V936" s="15"/>
    </row>
    <row r="937" spans="8:22" x14ac:dyDescent="0.2">
      <c r="H937" s="15"/>
      <c r="I937" s="110"/>
      <c r="J937" s="15"/>
      <c r="K937" s="110"/>
      <c r="L937" s="15"/>
      <c r="M937" s="110"/>
      <c r="N937" s="15"/>
      <c r="O937" s="110"/>
      <c r="P937" s="15"/>
      <c r="Q937" s="110"/>
      <c r="R937" s="15"/>
      <c r="S937" s="110"/>
      <c r="T937" s="15"/>
      <c r="U937" s="110"/>
      <c r="V937" s="15"/>
    </row>
    <row r="938" spans="8:22" x14ac:dyDescent="0.2">
      <c r="H938" s="15"/>
      <c r="I938" s="110"/>
      <c r="J938" s="15"/>
      <c r="K938" s="110"/>
      <c r="L938" s="15"/>
      <c r="M938" s="110"/>
      <c r="N938" s="15"/>
      <c r="O938" s="110"/>
      <c r="P938" s="15"/>
      <c r="Q938" s="110"/>
      <c r="R938" s="15"/>
      <c r="S938" s="110"/>
      <c r="T938" s="15"/>
      <c r="U938" s="110"/>
      <c r="V938" s="15"/>
    </row>
    <row r="939" spans="8:22" x14ac:dyDescent="0.2">
      <c r="H939" s="15"/>
      <c r="I939" s="110"/>
      <c r="J939" s="15"/>
      <c r="K939" s="110"/>
      <c r="L939" s="15"/>
      <c r="M939" s="110"/>
      <c r="N939" s="15"/>
      <c r="O939" s="110"/>
      <c r="P939" s="15"/>
      <c r="Q939" s="110"/>
      <c r="R939" s="15"/>
      <c r="S939" s="110"/>
      <c r="T939" s="15"/>
      <c r="U939" s="110"/>
      <c r="V939" s="15"/>
    </row>
    <row r="940" spans="8:22" x14ac:dyDescent="0.2">
      <c r="H940" s="15"/>
      <c r="I940" s="110"/>
      <c r="J940" s="15"/>
      <c r="K940" s="110"/>
      <c r="L940" s="15"/>
      <c r="M940" s="110"/>
      <c r="N940" s="15"/>
      <c r="O940" s="110"/>
      <c r="P940" s="15"/>
      <c r="Q940" s="110"/>
      <c r="R940" s="15"/>
      <c r="S940" s="110"/>
      <c r="T940" s="15"/>
      <c r="U940" s="110"/>
      <c r="V940" s="15"/>
    </row>
    <row r="941" spans="8:22" x14ac:dyDescent="0.2">
      <c r="H941" s="15"/>
      <c r="I941" s="110"/>
      <c r="J941" s="15"/>
      <c r="K941" s="110"/>
      <c r="L941" s="15"/>
      <c r="M941" s="110"/>
      <c r="N941" s="15"/>
      <c r="O941" s="110"/>
      <c r="P941" s="15"/>
      <c r="Q941" s="110"/>
      <c r="R941" s="15"/>
      <c r="S941" s="110"/>
      <c r="T941" s="15"/>
      <c r="U941" s="110"/>
      <c r="V941" s="15"/>
    </row>
    <row r="942" spans="8:22" x14ac:dyDescent="0.2">
      <c r="H942" s="15"/>
      <c r="I942" s="110"/>
      <c r="J942" s="15"/>
      <c r="K942" s="110"/>
      <c r="L942" s="15"/>
      <c r="M942" s="110"/>
      <c r="N942" s="15"/>
      <c r="O942" s="110"/>
      <c r="P942" s="15"/>
      <c r="Q942" s="110"/>
      <c r="R942" s="15"/>
      <c r="S942" s="110"/>
      <c r="T942" s="15"/>
      <c r="U942" s="110"/>
      <c r="V942" s="15"/>
    </row>
    <row r="943" spans="8:22" x14ac:dyDescent="0.2">
      <c r="H943" s="15"/>
      <c r="I943" s="110"/>
      <c r="J943" s="15"/>
      <c r="K943" s="110"/>
      <c r="L943" s="15"/>
      <c r="M943" s="110"/>
      <c r="N943" s="15"/>
      <c r="O943" s="110"/>
      <c r="P943" s="15"/>
      <c r="Q943" s="110"/>
      <c r="R943" s="15"/>
      <c r="S943" s="110"/>
      <c r="T943" s="15"/>
      <c r="U943" s="110"/>
      <c r="V943" s="15"/>
    </row>
    <row r="944" spans="8:22" x14ac:dyDescent="0.2">
      <c r="H944" s="15"/>
      <c r="I944" s="110"/>
      <c r="J944" s="15"/>
      <c r="K944" s="110"/>
      <c r="L944" s="15"/>
      <c r="M944" s="110"/>
      <c r="N944" s="15"/>
      <c r="O944" s="110"/>
      <c r="P944" s="15"/>
      <c r="Q944" s="110"/>
      <c r="R944" s="15"/>
      <c r="S944" s="110"/>
      <c r="T944" s="15"/>
      <c r="U944" s="110"/>
      <c r="V944" s="15"/>
    </row>
    <row r="945" spans="8:22" x14ac:dyDescent="0.2">
      <c r="H945" s="15"/>
      <c r="I945" s="110"/>
      <c r="J945" s="15"/>
      <c r="K945" s="110"/>
      <c r="L945" s="15"/>
      <c r="M945" s="110"/>
      <c r="N945" s="15"/>
      <c r="O945" s="110"/>
      <c r="P945" s="15"/>
      <c r="Q945" s="110"/>
      <c r="R945" s="15"/>
      <c r="S945" s="110"/>
      <c r="T945" s="15"/>
      <c r="U945" s="110"/>
      <c r="V945" s="15"/>
    </row>
    <row r="946" spans="8:22" x14ac:dyDescent="0.2">
      <c r="H946" s="15"/>
      <c r="I946" s="110"/>
      <c r="J946" s="15"/>
      <c r="K946" s="110"/>
      <c r="L946" s="15"/>
      <c r="M946" s="110"/>
      <c r="N946" s="15"/>
      <c r="O946" s="110"/>
      <c r="P946" s="15"/>
      <c r="Q946" s="110"/>
      <c r="R946" s="15"/>
      <c r="S946" s="110"/>
      <c r="T946" s="15"/>
      <c r="U946" s="110"/>
      <c r="V946" s="15"/>
    </row>
    <row r="947" spans="8:22" x14ac:dyDescent="0.2">
      <c r="H947" s="15"/>
      <c r="I947" s="110"/>
      <c r="J947" s="15"/>
      <c r="K947" s="110"/>
      <c r="L947" s="15"/>
      <c r="M947" s="110"/>
      <c r="N947" s="15"/>
      <c r="O947" s="110"/>
      <c r="P947" s="15"/>
      <c r="Q947" s="110"/>
      <c r="R947" s="15"/>
      <c r="S947" s="110"/>
      <c r="T947" s="15"/>
      <c r="U947" s="110"/>
      <c r="V947" s="15"/>
    </row>
    <row r="948" spans="8:22" x14ac:dyDescent="0.2">
      <c r="H948" s="15"/>
      <c r="I948" s="110"/>
      <c r="J948" s="15"/>
      <c r="K948" s="110"/>
      <c r="L948" s="15"/>
      <c r="M948" s="110"/>
      <c r="N948" s="15"/>
      <c r="O948" s="110"/>
      <c r="P948" s="15"/>
      <c r="Q948" s="110"/>
      <c r="R948" s="15"/>
      <c r="S948" s="110"/>
      <c r="T948" s="15"/>
      <c r="U948" s="110"/>
      <c r="V948" s="15"/>
    </row>
    <row r="949" spans="8:22" x14ac:dyDescent="0.2">
      <c r="H949" s="15"/>
      <c r="I949" s="110"/>
      <c r="J949" s="15"/>
      <c r="K949" s="110"/>
      <c r="L949" s="15"/>
      <c r="M949" s="110"/>
      <c r="N949" s="15"/>
      <c r="O949" s="110"/>
      <c r="P949" s="15"/>
      <c r="Q949" s="110"/>
      <c r="R949" s="15"/>
      <c r="S949" s="110"/>
      <c r="T949" s="15"/>
      <c r="U949" s="110"/>
      <c r="V949" s="15"/>
    </row>
    <row r="950" spans="8:22" x14ac:dyDescent="0.2">
      <c r="H950" s="15"/>
      <c r="I950" s="110"/>
      <c r="J950" s="15"/>
      <c r="K950" s="110"/>
      <c r="L950" s="15"/>
      <c r="M950" s="110"/>
      <c r="N950" s="15"/>
      <c r="O950" s="110"/>
      <c r="P950" s="15"/>
      <c r="Q950" s="110"/>
      <c r="R950" s="15"/>
      <c r="S950" s="110"/>
      <c r="T950" s="15"/>
      <c r="U950" s="110"/>
      <c r="V950" s="15"/>
    </row>
    <row r="951" spans="8:22" x14ac:dyDescent="0.2">
      <c r="H951" s="15"/>
      <c r="I951" s="110"/>
      <c r="J951" s="15"/>
      <c r="K951" s="110"/>
      <c r="L951" s="15"/>
      <c r="M951" s="110"/>
      <c r="N951" s="15"/>
      <c r="O951" s="110"/>
      <c r="P951" s="15"/>
      <c r="Q951" s="110"/>
      <c r="R951" s="15"/>
      <c r="S951" s="110"/>
      <c r="T951" s="15"/>
      <c r="U951" s="110"/>
      <c r="V951" s="15"/>
    </row>
    <row r="952" spans="8:22" x14ac:dyDescent="0.2">
      <c r="H952" s="15"/>
      <c r="I952" s="110"/>
      <c r="J952" s="15"/>
      <c r="K952" s="110"/>
      <c r="L952" s="15"/>
      <c r="M952" s="110"/>
      <c r="N952" s="15"/>
      <c r="O952" s="110"/>
      <c r="P952" s="15"/>
      <c r="Q952" s="110"/>
      <c r="R952" s="15"/>
      <c r="S952" s="110"/>
      <c r="T952" s="15"/>
      <c r="U952" s="110"/>
      <c r="V952" s="15"/>
    </row>
    <row r="953" spans="8:22" x14ac:dyDescent="0.2">
      <c r="H953" s="15"/>
      <c r="I953" s="110"/>
      <c r="J953" s="15"/>
      <c r="K953" s="110"/>
      <c r="L953" s="15"/>
      <c r="M953" s="110"/>
      <c r="N953" s="15"/>
      <c r="O953" s="110"/>
      <c r="P953" s="15"/>
      <c r="Q953" s="110"/>
      <c r="R953" s="15"/>
      <c r="S953" s="110"/>
      <c r="T953" s="15"/>
      <c r="U953" s="110"/>
      <c r="V953" s="15"/>
    </row>
    <row r="954" spans="8:22" x14ac:dyDescent="0.2">
      <c r="H954" s="15"/>
      <c r="I954" s="110"/>
      <c r="J954" s="15"/>
      <c r="K954" s="110"/>
      <c r="L954" s="15"/>
      <c r="M954" s="110"/>
      <c r="N954" s="15"/>
      <c r="O954" s="110"/>
      <c r="P954" s="15"/>
      <c r="Q954" s="110"/>
      <c r="R954" s="15"/>
      <c r="S954" s="110"/>
      <c r="T954" s="15"/>
      <c r="U954" s="110"/>
      <c r="V954" s="15"/>
    </row>
    <row r="955" spans="8:22" x14ac:dyDescent="0.2">
      <c r="H955" s="15"/>
      <c r="I955" s="110"/>
      <c r="J955" s="15"/>
      <c r="K955" s="110"/>
      <c r="L955" s="15"/>
      <c r="M955" s="110"/>
      <c r="N955" s="15"/>
      <c r="O955" s="110"/>
      <c r="P955" s="15"/>
      <c r="Q955" s="110"/>
      <c r="R955" s="15"/>
      <c r="S955" s="110"/>
      <c r="T955" s="15"/>
      <c r="U955" s="110"/>
      <c r="V955" s="15"/>
    </row>
    <row r="956" spans="8:22" x14ac:dyDescent="0.2">
      <c r="H956" s="15"/>
      <c r="I956" s="110"/>
      <c r="J956" s="15"/>
      <c r="K956" s="110"/>
      <c r="L956" s="15"/>
      <c r="M956" s="110"/>
      <c r="N956" s="15"/>
      <c r="O956" s="110"/>
      <c r="P956" s="15"/>
      <c r="Q956" s="110"/>
      <c r="R956" s="15"/>
      <c r="S956" s="110"/>
      <c r="T956" s="15"/>
      <c r="U956" s="110"/>
      <c r="V956" s="15"/>
    </row>
    <row r="957" spans="8:22" x14ac:dyDescent="0.2">
      <c r="H957" s="15"/>
      <c r="I957" s="110"/>
      <c r="J957" s="15"/>
      <c r="K957" s="110"/>
      <c r="L957" s="15"/>
      <c r="M957" s="110"/>
      <c r="N957" s="15"/>
      <c r="O957" s="110"/>
      <c r="P957" s="15"/>
      <c r="Q957" s="110"/>
      <c r="R957" s="15"/>
      <c r="S957" s="110"/>
      <c r="T957" s="15"/>
      <c r="U957" s="110"/>
      <c r="V957" s="15"/>
    </row>
    <row r="958" spans="8:22" x14ac:dyDescent="0.2">
      <c r="H958" s="15"/>
      <c r="I958" s="110"/>
      <c r="J958" s="15"/>
      <c r="K958" s="110"/>
      <c r="L958" s="15"/>
      <c r="M958" s="110"/>
      <c r="N958" s="15"/>
      <c r="O958" s="110"/>
      <c r="P958" s="15"/>
      <c r="Q958" s="110"/>
      <c r="R958" s="15"/>
      <c r="S958" s="110"/>
      <c r="T958" s="15"/>
      <c r="U958" s="110"/>
      <c r="V958" s="15"/>
    </row>
    <row r="959" spans="8:22" x14ac:dyDescent="0.2">
      <c r="H959" s="15"/>
      <c r="I959" s="110"/>
      <c r="J959" s="15"/>
      <c r="K959" s="110"/>
      <c r="L959" s="15"/>
      <c r="M959" s="110"/>
      <c r="N959" s="15"/>
      <c r="O959" s="110"/>
      <c r="P959" s="15"/>
      <c r="Q959" s="110"/>
      <c r="R959" s="15"/>
      <c r="S959" s="110"/>
      <c r="T959" s="15"/>
      <c r="U959" s="110"/>
      <c r="V959" s="15"/>
    </row>
    <row r="960" spans="8:22" x14ac:dyDescent="0.2">
      <c r="H960" s="15"/>
      <c r="I960" s="110"/>
      <c r="J960" s="15"/>
      <c r="K960" s="110"/>
      <c r="L960" s="15"/>
      <c r="M960" s="110"/>
      <c r="N960" s="15"/>
      <c r="O960" s="110"/>
      <c r="P960" s="15"/>
      <c r="Q960" s="110"/>
      <c r="R960" s="15"/>
      <c r="S960" s="110"/>
      <c r="T960" s="15"/>
      <c r="U960" s="110"/>
      <c r="V960" s="15"/>
    </row>
    <row r="961" spans="8:22" x14ac:dyDescent="0.2">
      <c r="H961" s="15"/>
      <c r="I961" s="110"/>
      <c r="J961" s="15"/>
      <c r="K961" s="110"/>
      <c r="L961" s="15"/>
      <c r="M961" s="110"/>
      <c r="N961" s="15"/>
      <c r="O961" s="110"/>
      <c r="P961" s="15"/>
      <c r="Q961" s="110"/>
      <c r="R961" s="15"/>
      <c r="S961" s="110"/>
      <c r="T961" s="15"/>
      <c r="U961" s="110"/>
      <c r="V961" s="15"/>
    </row>
    <row r="962" spans="8:22" x14ac:dyDescent="0.2">
      <c r="H962" s="15"/>
      <c r="I962" s="110"/>
      <c r="J962" s="15"/>
      <c r="K962" s="110"/>
      <c r="L962" s="15"/>
      <c r="M962" s="110"/>
      <c r="N962" s="15"/>
      <c r="O962" s="110"/>
      <c r="P962" s="15"/>
      <c r="Q962" s="110"/>
      <c r="R962" s="15"/>
      <c r="S962" s="110"/>
      <c r="T962" s="15"/>
      <c r="U962" s="110"/>
      <c r="V962" s="15"/>
    </row>
    <row r="963" spans="8:22" x14ac:dyDescent="0.2">
      <c r="H963" s="15"/>
      <c r="I963" s="110"/>
      <c r="J963" s="15"/>
      <c r="K963" s="110"/>
      <c r="L963" s="15"/>
      <c r="M963" s="110"/>
      <c r="N963" s="15"/>
      <c r="O963" s="110"/>
      <c r="P963" s="15"/>
      <c r="Q963" s="110"/>
      <c r="R963" s="15"/>
      <c r="S963" s="110"/>
      <c r="T963" s="15"/>
      <c r="U963" s="110"/>
      <c r="V963" s="15"/>
    </row>
    <row r="964" spans="8:22" x14ac:dyDescent="0.2">
      <c r="H964" s="15"/>
      <c r="I964" s="110"/>
      <c r="J964" s="15"/>
      <c r="K964" s="110"/>
      <c r="L964" s="15"/>
      <c r="M964" s="110"/>
      <c r="N964" s="15"/>
      <c r="O964" s="110"/>
      <c r="P964" s="15"/>
      <c r="Q964" s="110"/>
      <c r="R964" s="15"/>
      <c r="S964" s="110"/>
      <c r="T964" s="15"/>
      <c r="U964" s="110"/>
      <c r="V964" s="15"/>
    </row>
    <row r="965" spans="8:22" x14ac:dyDescent="0.2">
      <c r="H965" s="15"/>
      <c r="I965" s="110"/>
      <c r="J965" s="15"/>
      <c r="K965" s="110"/>
      <c r="L965" s="15"/>
      <c r="M965" s="110"/>
      <c r="N965" s="15"/>
      <c r="O965" s="110"/>
      <c r="P965" s="15"/>
      <c r="Q965" s="110"/>
      <c r="R965" s="15"/>
      <c r="S965" s="110"/>
      <c r="T965" s="15"/>
      <c r="U965" s="110"/>
      <c r="V965" s="15"/>
    </row>
    <row r="966" spans="8:22" x14ac:dyDescent="0.2">
      <c r="H966" s="15"/>
      <c r="I966" s="110"/>
      <c r="J966" s="15"/>
      <c r="K966" s="110"/>
      <c r="L966" s="15"/>
      <c r="M966" s="110"/>
      <c r="N966" s="15"/>
      <c r="O966" s="110"/>
      <c r="P966" s="15"/>
      <c r="Q966" s="110"/>
      <c r="R966" s="15"/>
      <c r="S966" s="110"/>
      <c r="T966" s="15"/>
      <c r="U966" s="110"/>
      <c r="V966" s="15"/>
    </row>
    <row r="967" spans="8:22" x14ac:dyDescent="0.2">
      <c r="H967" s="15"/>
      <c r="I967" s="110"/>
      <c r="J967" s="15"/>
      <c r="K967" s="110"/>
      <c r="L967" s="15"/>
      <c r="M967" s="110"/>
      <c r="N967" s="15"/>
      <c r="O967" s="110"/>
      <c r="P967" s="15"/>
      <c r="Q967" s="110"/>
      <c r="R967" s="15"/>
      <c r="S967" s="110"/>
      <c r="T967" s="15"/>
      <c r="U967" s="110"/>
      <c r="V967" s="15"/>
    </row>
    <row r="968" spans="8:22" x14ac:dyDescent="0.2">
      <c r="H968" s="15"/>
      <c r="I968" s="110"/>
      <c r="J968" s="15"/>
      <c r="K968" s="110"/>
      <c r="L968" s="15"/>
      <c r="M968" s="110"/>
      <c r="N968" s="15"/>
      <c r="O968" s="110"/>
      <c r="P968" s="15"/>
      <c r="Q968" s="110"/>
      <c r="R968" s="15"/>
      <c r="S968" s="110"/>
      <c r="T968" s="15"/>
      <c r="U968" s="110"/>
      <c r="V968" s="15"/>
    </row>
    <row r="969" spans="8:22" x14ac:dyDescent="0.2">
      <c r="H969" s="15"/>
      <c r="I969" s="110"/>
      <c r="J969" s="15"/>
      <c r="K969" s="110"/>
      <c r="L969" s="15"/>
      <c r="M969" s="110"/>
      <c r="N969" s="15"/>
      <c r="O969" s="110"/>
      <c r="P969" s="15"/>
      <c r="Q969" s="110"/>
      <c r="R969" s="15"/>
      <c r="S969" s="110"/>
      <c r="T969" s="15"/>
      <c r="U969" s="110"/>
      <c r="V969" s="15"/>
    </row>
    <row r="970" spans="8:22" x14ac:dyDescent="0.2">
      <c r="H970" s="15"/>
      <c r="I970" s="110"/>
      <c r="J970" s="15"/>
      <c r="K970" s="110"/>
      <c r="L970" s="15"/>
      <c r="M970" s="110"/>
      <c r="N970" s="15"/>
      <c r="O970" s="110"/>
      <c r="P970" s="15"/>
      <c r="Q970" s="110"/>
      <c r="R970" s="15"/>
      <c r="S970" s="110"/>
      <c r="T970" s="15"/>
      <c r="U970" s="110"/>
      <c r="V970" s="15"/>
    </row>
    <row r="971" spans="8:22" x14ac:dyDescent="0.2">
      <c r="H971" s="15"/>
      <c r="I971" s="110"/>
      <c r="J971" s="15"/>
      <c r="K971" s="110"/>
      <c r="L971" s="15"/>
      <c r="M971" s="110"/>
      <c r="N971" s="15"/>
      <c r="O971" s="110"/>
      <c r="P971" s="15"/>
      <c r="Q971" s="110"/>
      <c r="R971" s="15"/>
      <c r="S971" s="110"/>
      <c r="T971" s="15"/>
      <c r="U971" s="110"/>
      <c r="V971" s="15"/>
    </row>
    <row r="972" spans="8:22" x14ac:dyDescent="0.2">
      <c r="H972" s="15"/>
      <c r="I972" s="110"/>
      <c r="J972" s="15"/>
      <c r="K972" s="110"/>
      <c r="L972" s="15"/>
      <c r="M972" s="110"/>
      <c r="N972" s="15"/>
      <c r="O972" s="110"/>
      <c r="P972" s="15"/>
      <c r="Q972" s="110"/>
      <c r="R972" s="15"/>
      <c r="S972" s="110"/>
      <c r="T972" s="15"/>
      <c r="U972" s="110"/>
      <c r="V972" s="15"/>
    </row>
    <row r="973" spans="8:22" x14ac:dyDescent="0.2">
      <c r="H973" s="15"/>
      <c r="I973" s="110"/>
      <c r="J973" s="15"/>
      <c r="K973" s="110"/>
      <c r="L973" s="15"/>
      <c r="M973" s="110"/>
      <c r="N973" s="15"/>
      <c r="O973" s="110"/>
      <c r="P973" s="15"/>
      <c r="Q973" s="110"/>
      <c r="R973" s="15"/>
      <c r="S973" s="110"/>
      <c r="T973" s="15"/>
      <c r="U973" s="110"/>
      <c r="V973" s="15"/>
    </row>
    <row r="974" spans="8:22" x14ac:dyDescent="0.2">
      <c r="H974" s="15"/>
      <c r="I974" s="110"/>
      <c r="J974" s="15"/>
      <c r="K974" s="110"/>
      <c r="L974" s="15"/>
      <c r="M974" s="110"/>
      <c r="N974" s="15"/>
      <c r="O974" s="110"/>
      <c r="P974" s="15"/>
      <c r="Q974" s="110"/>
      <c r="R974" s="15"/>
      <c r="S974" s="110"/>
      <c r="T974" s="15"/>
      <c r="U974" s="110"/>
      <c r="V974" s="15"/>
    </row>
    <row r="975" spans="8:22" x14ac:dyDescent="0.2">
      <c r="H975" s="15"/>
      <c r="I975" s="110"/>
      <c r="J975" s="15"/>
      <c r="K975" s="110"/>
      <c r="L975" s="15"/>
      <c r="M975" s="110"/>
      <c r="N975" s="15"/>
      <c r="O975" s="110"/>
      <c r="P975" s="15"/>
      <c r="Q975" s="110"/>
      <c r="R975" s="15"/>
      <c r="S975" s="110"/>
      <c r="T975" s="15"/>
      <c r="U975" s="110"/>
      <c r="V975" s="15"/>
    </row>
    <row r="976" spans="8:22" x14ac:dyDescent="0.2">
      <c r="H976" s="15"/>
      <c r="I976" s="110"/>
      <c r="J976" s="15"/>
      <c r="K976" s="110"/>
      <c r="L976" s="15"/>
      <c r="M976" s="110"/>
      <c r="N976" s="15"/>
      <c r="O976" s="110"/>
      <c r="P976" s="15"/>
      <c r="Q976" s="110"/>
      <c r="R976" s="15"/>
      <c r="S976" s="110"/>
      <c r="T976" s="15"/>
      <c r="U976" s="110"/>
      <c r="V976" s="15"/>
    </row>
    <row r="977" spans="8:22" x14ac:dyDescent="0.2">
      <c r="H977" s="15"/>
      <c r="I977" s="110"/>
      <c r="J977" s="15"/>
      <c r="K977" s="110"/>
      <c r="L977" s="15"/>
      <c r="M977" s="110"/>
      <c r="N977" s="15"/>
      <c r="O977" s="110"/>
      <c r="P977" s="15"/>
      <c r="Q977" s="110"/>
      <c r="R977" s="15"/>
      <c r="S977" s="110"/>
      <c r="T977" s="15"/>
      <c r="U977" s="110"/>
      <c r="V977" s="15"/>
    </row>
    <row r="978" spans="8:22" x14ac:dyDescent="0.2">
      <c r="H978" s="15"/>
      <c r="I978" s="110"/>
      <c r="J978" s="15"/>
      <c r="K978" s="110"/>
      <c r="L978" s="15"/>
      <c r="M978" s="110"/>
      <c r="N978" s="15"/>
      <c r="O978" s="110"/>
      <c r="P978" s="15"/>
      <c r="Q978" s="110"/>
      <c r="R978" s="15"/>
      <c r="S978" s="110"/>
      <c r="T978" s="15"/>
      <c r="U978" s="110"/>
      <c r="V978" s="15"/>
    </row>
    <row r="979" spans="8:22" x14ac:dyDescent="0.2">
      <c r="H979" s="15"/>
      <c r="I979" s="110"/>
      <c r="J979" s="15"/>
      <c r="K979" s="110"/>
      <c r="L979" s="15"/>
      <c r="M979" s="110"/>
      <c r="N979" s="15"/>
      <c r="O979" s="110"/>
      <c r="P979" s="15"/>
      <c r="Q979" s="110"/>
      <c r="R979" s="15"/>
      <c r="S979" s="110"/>
      <c r="T979" s="15"/>
      <c r="U979" s="110"/>
      <c r="V979" s="15"/>
    </row>
    <row r="980" spans="8:22" x14ac:dyDescent="0.2">
      <c r="H980" s="15"/>
      <c r="I980" s="110"/>
      <c r="J980" s="15"/>
      <c r="K980" s="110"/>
      <c r="L980" s="15"/>
      <c r="M980" s="110"/>
      <c r="N980" s="15"/>
      <c r="O980" s="110"/>
      <c r="P980" s="15"/>
      <c r="Q980" s="110"/>
      <c r="R980" s="15"/>
      <c r="S980" s="110"/>
      <c r="T980" s="15"/>
      <c r="U980" s="110"/>
      <c r="V980" s="15"/>
    </row>
    <row r="981" spans="8:22" x14ac:dyDescent="0.2">
      <c r="H981" s="15"/>
      <c r="I981" s="110"/>
      <c r="J981" s="15"/>
      <c r="K981" s="110"/>
      <c r="L981" s="15"/>
      <c r="M981" s="110"/>
      <c r="N981" s="15"/>
      <c r="O981" s="110"/>
      <c r="P981" s="15"/>
      <c r="Q981" s="110"/>
      <c r="R981" s="15"/>
      <c r="S981" s="110"/>
      <c r="T981" s="15"/>
      <c r="U981" s="110"/>
      <c r="V981" s="15"/>
    </row>
    <row r="982" spans="8:22" x14ac:dyDescent="0.2">
      <c r="H982" s="15"/>
      <c r="I982" s="110"/>
      <c r="J982" s="15"/>
      <c r="K982" s="110"/>
      <c r="L982" s="15"/>
      <c r="M982" s="110"/>
      <c r="N982" s="15"/>
      <c r="O982" s="110"/>
      <c r="P982" s="15"/>
      <c r="Q982" s="110"/>
      <c r="R982" s="15"/>
      <c r="S982" s="110"/>
      <c r="T982" s="15"/>
      <c r="U982" s="110"/>
      <c r="V982" s="15"/>
    </row>
    <row r="983" spans="8:22" x14ac:dyDescent="0.2">
      <c r="H983" s="15"/>
      <c r="I983" s="110"/>
      <c r="J983" s="15"/>
      <c r="K983" s="110"/>
      <c r="L983" s="15"/>
      <c r="M983" s="110"/>
      <c r="N983" s="15"/>
      <c r="O983" s="110"/>
      <c r="P983" s="15"/>
      <c r="Q983" s="110"/>
      <c r="R983" s="15"/>
      <c r="S983" s="110"/>
      <c r="T983" s="15"/>
      <c r="U983" s="110"/>
      <c r="V983" s="15"/>
    </row>
    <row r="984" spans="8:22" x14ac:dyDescent="0.2">
      <c r="H984" s="15"/>
      <c r="I984" s="110"/>
      <c r="J984" s="15"/>
      <c r="K984" s="110"/>
      <c r="L984" s="15"/>
      <c r="M984" s="110"/>
      <c r="N984" s="15"/>
      <c r="O984" s="110"/>
      <c r="P984" s="15"/>
      <c r="Q984" s="110"/>
      <c r="R984" s="15"/>
      <c r="S984" s="110"/>
      <c r="T984" s="15"/>
      <c r="U984" s="110"/>
      <c r="V984" s="15"/>
    </row>
    <row r="985" spans="8:22" x14ac:dyDescent="0.2">
      <c r="H985" s="15"/>
      <c r="I985" s="110"/>
      <c r="J985" s="15"/>
      <c r="K985" s="110"/>
      <c r="L985" s="15"/>
      <c r="M985" s="110"/>
      <c r="N985" s="15"/>
      <c r="O985" s="110"/>
      <c r="P985" s="15"/>
      <c r="Q985" s="110"/>
      <c r="R985" s="15"/>
      <c r="S985" s="110"/>
      <c r="T985" s="15"/>
      <c r="U985" s="110"/>
      <c r="V985" s="15"/>
    </row>
    <row r="986" spans="8:22" x14ac:dyDescent="0.2">
      <c r="H986" s="15"/>
      <c r="I986" s="110"/>
      <c r="J986" s="15"/>
      <c r="K986" s="110"/>
      <c r="L986" s="15"/>
      <c r="M986" s="110"/>
      <c r="N986" s="15"/>
      <c r="O986" s="110"/>
      <c r="P986" s="15"/>
      <c r="Q986" s="110"/>
      <c r="R986" s="15"/>
      <c r="S986" s="110"/>
      <c r="T986" s="15"/>
      <c r="U986" s="110"/>
      <c r="V986" s="15"/>
    </row>
    <row r="987" spans="8:22" x14ac:dyDescent="0.2">
      <c r="H987" s="15"/>
      <c r="I987" s="110"/>
      <c r="J987" s="15"/>
      <c r="K987" s="110"/>
      <c r="L987" s="15"/>
      <c r="M987" s="110"/>
      <c r="N987" s="15"/>
      <c r="O987" s="110"/>
      <c r="P987" s="15"/>
      <c r="Q987" s="110"/>
      <c r="R987" s="15"/>
      <c r="S987" s="110"/>
      <c r="T987" s="15"/>
      <c r="U987" s="110"/>
      <c r="V987" s="15"/>
    </row>
    <row r="988" spans="8:22" x14ac:dyDescent="0.2">
      <c r="H988" s="15"/>
      <c r="I988" s="110"/>
      <c r="J988" s="15"/>
      <c r="K988" s="110"/>
      <c r="L988" s="15"/>
      <c r="M988" s="110"/>
      <c r="N988" s="15"/>
      <c r="O988" s="110"/>
      <c r="P988" s="15"/>
      <c r="Q988" s="110"/>
      <c r="R988" s="15"/>
      <c r="S988" s="110"/>
      <c r="T988" s="15"/>
      <c r="U988" s="110"/>
      <c r="V988" s="15"/>
    </row>
    <row r="989" spans="8:22" x14ac:dyDescent="0.2">
      <c r="H989" s="15"/>
      <c r="I989" s="110"/>
      <c r="J989" s="15"/>
      <c r="K989" s="110"/>
      <c r="L989" s="15"/>
      <c r="M989" s="110"/>
      <c r="N989" s="15"/>
      <c r="O989" s="110"/>
      <c r="P989" s="15"/>
      <c r="Q989" s="110"/>
      <c r="R989" s="15"/>
      <c r="S989" s="110"/>
      <c r="T989" s="15"/>
      <c r="U989" s="110"/>
      <c r="V989" s="15"/>
    </row>
    <row r="990" spans="8:22" x14ac:dyDescent="0.2">
      <c r="H990" s="15"/>
      <c r="I990" s="110"/>
      <c r="J990" s="15"/>
      <c r="K990" s="110"/>
      <c r="L990" s="15"/>
      <c r="M990" s="110"/>
      <c r="N990" s="15"/>
      <c r="O990" s="110"/>
      <c r="P990" s="15"/>
      <c r="Q990" s="110"/>
      <c r="R990" s="15"/>
      <c r="S990" s="110"/>
      <c r="T990" s="15"/>
      <c r="U990" s="110"/>
      <c r="V990" s="15"/>
    </row>
    <row r="991" spans="8:22" x14ac:dyDescent="0.2">
      <c r="H991" s="15"/>
      <c r="I991" s="110"/>
      <c r="J991" s="15"/>
      <c r="K991" s="110"/>
      <c r="L991" s="15"/>
      <c r="M991" s="110"/>
      <c r="N991" s="15"/>
      <c r="O991" s="110"/>
      <c r="P991" s="15"/>
      <c r="Q991" s="110"/>
      <c r="R991" s="15"/>
      <c r="S991" s="110"/>
      <c r="T991" s="15"/>
      <c r="U991" s="110"/>
      <c r="V991" s="15"/>
    </row>
    <row r="992" spans="8:22" x14ac:dyDescent="0.2">
      <c r="H992" s="15"/>
      <c r="I992" s="110"/>
      <c r="J992" s="15"/>
      <c r="K992" s="110"/>
      <c r="L992" s="15"/>
      <c r="M992" s="110"/>
      <c r="N992" s="15"/>
      <c r="O992" s="110"/>
      <c r="P992" s="15"/>
      <c r="Q992" s="110"/>
      <c r="R992" s="15"/>
      <c r="S992" s="110"/>
      <c r="T992" s="15"/>
      <c r="U992" s="110"/>
      <c r="V992" s="15"/>
    </row>
    <row r="993" spans="8:22" x14ac:dyDescent="0.2">
      <c r="H993" s="15"/>
      <c r="I993" s="110"/>
      <c r="J993" s="15"/>
      <c r="K993" s="110"/>
      <c r="L993" s="15"/>
      <c r="M993" s="110"/>
      <c r="N993" s="15"/>
      <c r="O993" s="110"/>
      <c r="P993" s="15"/>
      <c r="Q993" s="110"/>
      <c r="R993" s="15"/>
      <c r="S993" s="110"/>
      <c r="T993" s="15"/>
      <c r="U993" s="110"/>
      <c r="V993" s="15"/>
    </row>
    <row r="994" spans="8:22" x14ac:dyDescent="0.2">
      <c r="H994" s="15"/>
      <c r="I994" s="110"/>
      <c r="J994" s="15"/>
      <c r="K994" s="110"/>
      <c r="L994" s="15"/>
      <c r="M994" s="110"/>
      <c r="N994" s="15"/>
      <c r="O994" s="110"/>
      <c r="P994" s="15"/>
      <c r="Q994" s="110"/>
      <c r="R994" s="15"/>
      <c r="S994" s="110"/>
      <c r="T994" s="15"/>
      <c r="U994" s="110"/>
      <c r="V994" s="15"/>
    </row>
    <row r="995" spans="8:22" x14ac:dyDescent="0.2">
      <c r="H995" s="15"/>
      <c r="I995" s="110"/>
      <c r="J995" s="15"/>
      <c r="K995" s="110"/>
      <c r="L995" s="15"/>
      <c r="M995" s="110"/>
      <c r="N995" s="15"/>
      <c r="O995" s="110"/>
      <c r="P995" s="15"/>
      <c r="Q995" s="110"/>
      <c r="R995" s="15"/>
      <c r="S995" s="110"/>
      <c r="T995" s="15"/>
      <c r="U995" s="110"/>
      <c r="V995" s="15"/>
    </row>
    <row r="996" spans="8:22" x14ac:dyDescent="0.2">
      <c r="H996" s="15"/>
      <c r="I996" s="110"/>
      <c r="J996" s="15"/>
      <c r="K996" s="110"/>
      <c r="L996" s="15"/>
      <c r="M996" s="110"/>
      <c r="N996" s="15"/>
      <c r="O996" s="110"/>
      <c r="P996" s="15"/>
      <c r="Q996" s="110"/>
      <c r="R996" s="15"/>
      <c r="S996" s="110"/>
      <c r="T996" s="15"/>
      <c r="U996" s="110"/>
      <c r="V996" s="15"/>
    </row>
    <row r="997" spans="8:22" x14ac:dyDescent="0.2">
      <c r="H997" s="15"/>
      <c r="I997" s="110"/>
      <c r="J997" s="15"/>
      <c r="K997" s="110"/>
      <c r="L997" s="15"/>
      <c r="M997" s="110"/>
      <c r="N997" s="15"/>
      <c r="O997" s="110"/>
      <c r="P997" s="15"/>
      <c r="Q997" s="110"/>
      <c r="R997" s="15"/>
      <c r="S997" s="110"/>
      <c r="T997" s="15"/>
      <c r="U997" s="110"/>
      <c r="V997" s="15"/>
    </row>
    <row r="998" spans="8:22" x14ac:dyDescent="0.2">
      <c r="H998" s="15"/>
      <c r="I998" s="110"/>
      <c r="J998" s="15"/>
      <c r="K998" s="110"/>
      <c r="L998" s="15"/>
      <c r="M998" s="110"/>
      <c r="N998" s="15"/>
      <c r="O998" s="110"/>
      <c r="P998" s="15"/>
      <c r="Q998" s="110"/>
      <c r="R998" s="15"/>
      <c r="S998" s="110"/>
      <c r="T998" s="15"/>
      <c r="U998" s="110"/>
      <c r="V998" s="15"/>
    </row>
    <row r="999" spans="8:22" x14ac:dyDescent="0.2">
      <c r="H999" s="15"/>
      <c r="I999" s="110"/>
      <c r="J999" s="15"/>
      <c r="K999" s="110"/>
      <c r="L999" s="15"/>
      <c r="M999" s="110"/>
      <c r="N999" s="15"/>
      <c r="O999" s="110"/>
      <c r="P999" s="15"/>
      <c r="Q999" s="110"/>
      <c r="R999" s="15"/>
      <c r="S999" s="110"/>
      <c r="T999" s="15"/>
      <c r="U999" s="110"/>
      <c r="V999" s="15"/>
    </row>
    <row r="1000" spans="8:22" x14ac:dyDescent="0.2">
      <c r="H1000" s="15"/>
      <c r="I1000" s="110"/>
      <c r="J1000" s="15"/>
      <c r="K1000" s="110"/>
      <c r="L1000" s="15"/>
      <c r="M1000" s="110"/>
      <c r="N1000" s="15"/>
      <c r="O1000" s="110"/>
      <c r="P1000" s="15"/>
      <c r="Q1000" s="110"/>
      <c r="R1000" s="15"/>
      <c r="S1000" s="110"/>
      <c r="T1000" s="15"/>
      <c r="U1000" s="110"/>
      <c r="V1000" s="15"/>
    </row>
    <row r="1001" spans="8:22" x14ac:dyDescent="0.2">
      <c r="H1001" s="15"/>
      <c r="I1001" s="110"/>
      <c r="J1001" s="15"/>
      <c r="K1001" s="110"/>
      <c r="L1001" s="15"/>
      <c r="M1001" s="110"/>
      <c r="N1001" s="15"/>
      <c r="O1001" s="110"/>
      <c r="P1001" s="15"/>
      <c r="Q1001" s="110"/>
      <c r="R1001" s="15"/>
      <c r="S1001" s="110"/>
      <c r="T1001" s="15"/>
      <c r="U1001" s="110"/>
      <c r="V1001" s="15"/>
    </row>
    <row r="1002" spans="8:22" x14ac:dyDescent="0.2">
      <c r="H1002" s="15"/>
      <c r="I1002" s="110"/>
      <c r="J1002" s="15"/>
      <c r="K1002" s="110"/>
      <c r="L1002" s="15"/>
      <c r="M1002" s="110"/>
      <c r="N1002" s="15"/>
      <c r="O1002" s="110"/>
      <c r="P1002" s="15"/>
      <c r="Q1002" s="110"/>
      <c r="R1002" s="15"/>
      <c r="S1002" s="110"/>
      <c r="T1002" s="15"/>
      <c r="U1002" s="110"/>
      <c r="V1002" s="15"/>
    </row>
    <row r="1003" spans="8:22" x14ac:dyDescent="0.2">
      <c r="H1003" s="15"/>
      <c r="I1003" s="110"/>
      <c r="J1003" s="15"/>
      <c r="K1003" s="110"/>
      <c r="L1003" s="15"/>
      <c r="M1003" s="110"/>
      <c r="N1003" s="15"/>
      <c r="O1003" s="110"/>
      <c r="P1003" s="15"/>
      <c r="Q1003" s="110"/>
      <c r="R1003" s="15"/>
      <c r="S1003" s="110"/>
      <c r="T1003" s="15"/>
      <c r="U1003" s="110"/>
      <c r="V1003" s="15"/>
    </row>
    <row r="1004" spans="8:22" x14ac:dyDescent="0.2">
      <c r="H1004" s="15"/>
      <c r="I1004" s="110"/>
      <c r="J1004" s="15"/>
      <c r="K1004" s="110"/>
      <c r="L1004" s="15"/>
      <c r="M1004" s="110"/>
      <c r="N1004" s="15"/>
      <c r="O1004" s="110"/>
      <c r="P1004" s="15"/>
      <c r="Q1004" s="110"/>
      <c r="R1004" s="15"/>
      <c r="S1004" s="110"/>
      <c r="T1004" s="15"/>
      <c r="U1004" s="110"/>
      <c r="V1004" s="15"/>
    </row>
    <row r="1005" spans="8:22" x14ac:dyDescent="0.2">
      <c r="H1005" s="15"/>
      <c r="I1005" s="110"/>
      <c r="J1005" s="15"/>
      <c r="K1005" s="110"/>
      <c r="L1005" s="15"/>
      <c r="M1005" s="110"/>
      <c r="N1005" s="15"/>
      <c r="O1005" s="110"/>
      <c r="P1005" s="15"/>
      <c r="Q1005" s="110"/>
      <c r="R1005" s="15"/>
      <c r="S1005" s="110"/>
      <c r="T1005" s="15"/>
      <c r="U1005" s="110"/>
      <c r="V1005" s="15"/>
    </row>
    <row r="1006" spans="8:22" x14ac:dyDescent="0.2">
      <c r="H1006" s="15"/>
      <c r="I1006" s="110"/>
      <c r="J1006" s="15"/>
      <c r="K1006" s="110"/>
      <c r="L1006" s="15"/>
      <c r="M1006" s="110"/>
      <c r="N1006" s="15"/>
      <c r="O1006" s="110"/>
      <c r="P1006" s="15"/>
      <c r="Q1006" s="110"/>
      <c r="R1006" s="15"/>
      <c r="S1006" s="110"/>
      <c r="T1006" s="15"/>
      <c r="U1006" s="110"/>
      <c r="V1006" s="15"/>
    </row>
    <row r="1007" spans="8:22" x14ac:dyDescent="0.2">
      <c r="H1007" s="15"/>
      <c r="I1007" s="110"/>
      <c r="J1007" s="15"/>
      <c r="K1007" s="110"/>
      <c r="L1007" s="15"/>
      <c r="M1007" s="110"/>
      <c r="N1007" s="15"/>
      <c r="O1007" s="110"/>
      <c r="P1007" s="15"/>
      <c r="Q1007" s="110"/>
      <c r="R1007" s="15"/>
      <c r="S1007" s="110"/>
      <c r="T1007" s="15"/>
      <c r="U1007" s="110"/>
      <c r="V1007" s="15"/>
    </row>
    <row r="1008" spans="8:22" x14ac:dyDescent="0.2">
      <c r="H1008" s="15"/>
      <c r="I1008" s="110"/>
      <c r="J1008" s="15"/>
      <c r="K1008" s="110"/>
      <c r="L1008" s="15"/>
      <c r="M1008" s="110"/>
      <c r="N1008" s="15"/>
      <c r="O1008" s="110"/>
      <c r="P1008" s="15"/>
      <c r="Q1008" s="110"/>
      <c r="R1008" s="15"/>
      <c r="S1008" s="110"/>
      <c r="T1008" s="15"/>
      <c r="U1008" s="110"/>
      <c r="V1008" s="15"/>
    </row>
    <row r="1009" spans="8:22" x14ac:dyDescent="0.2">
      <c r="H1009" s="15"/>
      <c r="I1009" s="110"/>
      <c r="J1009" s="15"/>
      <c r="K1009" s="110"/>
      <c r="L1009" s="15"/>
      <c r="M1009" s="110"/>
      <c r="N1009" s="15"/>
      <c r="O1009" s="110"/>
      <c r="P1009" s="15"/>
      <c r="Q1009" s="110"/>
      <c r="R1009" s="15"/>
      <c r="S1009" s="110"/>
      <c r="T1009" s="15"/>
      <c r="U1009" s="110"/>
      <c r="V1009" s="15"/>
    </row>
    <row r="1010" spans="8:22" x14ac:dyDescent="0.2">
      <c r="H1010" s="15"/>
      <c r="I1010" s="110"/>
      <c r="J1010" s="15"/>
      <c r="K1010" s="110"/>
      <c r="L1010" s="15"/>
      <c r="M1010" s="110"/>
      <c r="N1010" s="15"/>
      <c r="O1010" s="110"/>
      <c r="P1010" s="15"/>
      <c r="Q1010" s="110"/>
      <c r="R1010" s="15"/>
      <c r="S1010" s="110"/>
      <c r="T1010" s="15"/>
      <c r="U1010" s="110"/>
      <c r="V1010" s="15"/>
    </row>
    <row r="1011" spans="8:22" x14ac:dyDescent="0.2">
      <c r="H1011" s="15"/>
      <c r="I1011" s="110"/>
      <c r="J1011" s="15"/>
      <c r="K1011" s="110"/>
      <c r="L1011" s="15"/>
      <c r="M1011" s="110"/>
      <c r="N1011" s="15"/>
      <c r="O1011" s="110"/>
      <c r="P1011" s="15"/>
      <c r="Q1011" s="110"/>
      <c r="R1011" s="15"/>
      <c r="S1011" s="110"/>
      <c r="T1011" s="15"/>
      <c r="U1011" s="110"/>
      <c r="V1011" s="15"/>
    </row>
    <row r="1012" spans="8:22" x14ac:dyDescent="0.2">
      <c r="H1012" s="15"/>
      <c r="I1012" s="110"/>
      <c r="J1012" s="15"/>
      <c r="K1012" s="110"/>
      <c r="L1012" s="15"/>
      <c r="M1012" s="110"/>
      <c r="N1012" s="15"/>
      <c r="O1012" s="110"/>
      <c r="P1012" s="15"/>
      <c r="Q1012" s="110"/>
      <c r="R1012" s="15"/>
      <c r="S1012" s="110"/>
      <c r="T1012" s="15"/>
      <c r="U1012" s="110"/>
      <c r="V1012" s="15"/>
    </row>
    <row r="1013" spans="8:22" x14ac:dyDescent="0.2">
      <c r="H1013" s="15"/>
      <c r="I1013" s="110"/>
      <c r="J1013" s="15"/>
      <c r="K1013" s="110"/>
      <c r="L1013" s="15"/>
      <c r="M1013" s="110"/>
      <c r="N1013" s="15"/>
      <c r="O1013" s="110"/>
      <c r="P1013" s="15"/>
      <c r="Q1013" s="110"/>
      <c r="R1013" s="15"/>
      <c r="S1013" s="110"/>
      <c r="T1013" s="15"/>
      <c r="U1013" s="110"/>
      <c r="V1013" s="15"/>
    </row>
    <row r="1014" spans="8:22" x14ac:dyDescent="0.2">
      <c r="H1014" s="15"/>
      <c r="I1014" s="110"/>
      <c r="J1014" s="15"/>
      <c r="K1014" s="110"/>
      <c r="L1014" s="15"/>
      <c r="M1014" s="110"/>
      <c r="N1014" s="15"/>
      <c r="O1014" s="110"/>
      <c r="P1014" s="15"/>
      <c r="Q1014" s="110"/>
      <c r="R1014" s="15"/>
      <c r="S1014" s="110"/>
      <c r="T1014" s="15"/>
      <c r="U1014" s="110"/>
      <c r="V1014" s="15"/>
    </row>
    <row r="1015" spans="8:22" x14ac:dyDescent="0.2">
      <c r="H1015" s="15"/>
      <c r="I1015" s="110"/>
      <c r="J1015" s="15"/>
      <c r="K1015" s="110"/>
      <c r="L1015" s="15"/>
      <c r="M1015" s="110"/>
      <c r="N1015" s="15"/>
      <c r="O1015" s="110"/>
      <c r="P1015" s="15"/>
      <c r="Q1015" s="110"/>
      <c r="R1015" s="15"/>
      <c r="S1015" s="110"/>
      <c r="T1015" s="15"/>
      <c r="U1015" s="110"/>
      <c r="V1015" s="15"/>
    </row>
    <row r="1016" spans="8:22" x14ac:dyDescent="0.2">
      <c r="H1016" s="15"/>
      <c r="I1016" s="110"/>
      <c r="J1016" s="15"/>
      <c r="K1016" s="110"/>
      <c r="L1016" s="15"/>
      <c r="M1016" s="110"/>
      <c r="N1016" s="15"/>
      <c r="O1016" s="110"/>
      <c r="P1016" s="15"/>
      <c r="Q1016" s="110"/>
      <c r="R1016" s="15"/>
      <c r="S1016" s="110"/>
      <c r="T1016" s="15"/>
      <c r="U1016" s="110"/>
      <c r="V1016" s="15"/>
    </row>
    <row r="1017" spans="8:22" x14ac:dyDescent="0.2">
      <c r="H1017" s="15"/>
      <c r="I1017" s="110"/>
      <c r="J1017" s="15"/>
      <c r="K1017" s="110"/>
      <c r="L1017" s="15"/>
      <c r="M1017" s="110"/>
      <c r="N1017" s="15"/>
      <c r="O1017" s="110"/>
      <c r="P1017" s="15"/>
      <c r="Q1017" s="110"/>
      <c r="R1017" s="15"/>
      <c r="S1017" s="110"/>
      <c r="T1017" s="15"/>
      <c r="U1017" s="110"/>
      <c r="V1017" s="15"/>
    </row>
    <row r="1018" spans="8:22" x14ac:dyDescent="0.2">
      <c r="H1018" s="15"/>
      <c r="I1018" s="110"/>
      <c r="J1018" s="15"/>
      <c r="K1018" s="110"/>
      <c r="L1018" s="15"/>
      <c r="M1018" s="110"/>
      <c r="N1018" s="15"/>
      <c r="O1018" s="110"/>
      <c r="P1018" s="15"/>
      <c r="Q1018" s="110"/>
      <c r="R1018" s="15"/>
      <c r="S1018" s="110"/>
      <c r="T1018" s="15"/>
      <c r="U1018" s="110"/>
      <c r="V1018" s="15"/>
    </row>
    <row r="1019" spans="8:22" x14ac:dyDescent="0.2">
      <c r="H1019" s="15"/>
      <c r="I1019" s="110"/>
      <c r="J1019" s="15"/>
      <c r="K1019" s="110"/>
      <c r="L1019" s="15"/>
      <c r="M1019" s="110"/>
      <c r="N1019" s="15"/>
      <c r="O1019" s="110"/>
      <c r="P1019" s="15"/>
      <c r="Q1019" s="110"/>
      <c r="R1019" s="15"/>
      <c r="S1019" s="110"/>
      <c r="T1019" s="15"/>
      <c r="U1019" s="110"/>
      <c r="V1019" s="15"/>
    </row>
    <row r="1020" spans="8:22" x14ac:dyDescent="0.2">
      <c r="H1020" s="15"/>
      <c r="I1020" s="110"/>
      <c r="J1020" s="15"/>
      <c r="K1020" s="110"/>
      <c r="L1020" s="15"/>
      <c r="M1020" s="110"/>
      <c r="N1020" s="15"/>
      <c r="O1020" s="110"/>
      <c r="P1020" s="15"/>
      <c r="Q1020" s="110"/>
      <c r="R1020" s="15"/>
      <c r="S1020" s="110"/>
      <c r="T1020" s="15"/>
      <c r="U1020" s="110"/>
      <c r="V1020" s="15"/>
    </row>
    <row r="1021" spans="8:22" x14ac:dyDescent="0.2">
      <c r="H1021" s="15"/>
      <c r="I1021" s="110"/>
      <c r="J1021" s="15"/>
      <c r="K1021" s="110"/>
      <c r="L1021" s="15"/>
      <c r="M1021" s="110"/>
      <c r="N1021" s="15"/>
      <c r="O1021" s="110"/>
      <c r="P1021" s="15"/>
      <c r="Q1021" s="110"/>
      <c r="R1021" s="15"/>
      <c r="S1021" s="110"/>
      <c r="T1021" s="15"/>
      <c r="U1021" s="110"/>
      <c r="V1021" s="15"/>
    </row>
    <row r="1022" spans="8:22" x14ac:dyDescent="0.2">
      <c r="H1022" s="15"/>
      <c r="I1022" s="110"/>
      <c r="J1022" s="15"/>
      <c r="K1022" s="110"/>
      <c r="L1022" s="15"/>
      <c r="M1022" s="110"/>
      <c r="N1022" s="15"/>
      <c r="O1022" s="110"/>
      <c r="P1022" s="15"/>
      <c r="Q1022" s="110"/>
      <c r="R1022" s="15"/>
      <c r="S1022" s="110"/>
      <c r="T1022" s="15"/>
      <c r="U1022" s="110"/>
      <c r="V1022" s="15"/>
    </row>
    <row r="1023" spans="8:22" x14ac:dyDescent="0.2">
      <c r="H1023" s="15"/>
      <c r="I1023" s="110"/>
      <c r="J1023" s="15"/>
      <c r="K1023" s="110"/>
      <c r="L1023" s="15"/>
      <c r="M1023" s="110"/>
      <c r="N1023" s="15"/>
      <c r="O1023" s="110"/>
      <c r="P1023" s="15"/>
      <c r="Q1023" s="110"/>
      <c r="R1023" s="15"/>
      <c r="S1023" s="110"/>
      <c r="T1023" s="15"/>
      <c r="U1023" s="110"/>
      <c r="V1023" s="15"/>
    </row>
    <row r="1024" spans="8:22" x14ac:dyDescent="0.2">
      <c r="H1024" s="15"/>
      <c r="I1024" s="110"/>
      <c r="J1024" s="15"/>
      <c r="K1024" s="110"/>
      <c r="L1024" s="15"/>
      <c r="M1024" s="110"/>
      <c r="N1024" s="15"/>
      <c r="O1024" s="110"/>
      <c r="P1024" s="15"/>
      <c r="Q1024" s="110"/>
      <c r="R1024" s="15"/>
      <c r="S1024" s="110"/>
      <c r="T1024" s="15"/>
      <c r="U1024" s="110"/>
      <c r="V1024" s="15"/>
    </row>
    <row r="1025" spans="8:22" x14ac:dyDescent="0.2">
      <c r="H1025" s="15"/>
      <c r="I1025" s="110"/>
      <c r="J1025" s="15"/>
      <c r="K1025" s="110"/>
      <c r="L1025" s="15"/>
      <c r="M1025" s="110"/>
      <c r="N1025" s="15"/>
      <c r="O1025" s="110"/>
      <c r="P1025" s="15"/>
      <c r="Q1025" s="110"/>
      <c r="R1025" s="15"/>
      <c r="S1025" s="110"/>
      <c r="T1025" s="15"/>
      <c r="U1025" s="110"/>
      <c r="V1025" s="15"/>
    </row>
    <row r="1026" spans="8:22" x14ac:dyDescent="0.2">
      <c r="H1026" s="15"/>
      <c r="I1026" s="110"/>
      <c r="J1026" s="15"/>
      <c r="K1026" s="110"/>
      <c r="L1026" s="15"/>
      <c r="M1026" s="110"/>
      <c r="N1026" s="15"/>
      <c r="O1026" s="110"/>
      <c r="P1026" s="15"/>
      <c r="Q1026" s="110"/>
      <c r="R1026" s="15"/>
      <c r="S1026" s="110"/>
      <c r="T1026" s="15"/>
      <c r="U1026" s="110"/>
      <c r="V1026" s="15"/>
    </row>
    <row r="1027" spans="8:22" x14ac:dyDescent="0.2">
      <c r="H1027" s="15"/>
      <c r="I1027" s="110"/>
      <c r="J1027" s="15"/>
      <c r="K1027" s="110"/>
      <c r="L1027" s="15"/>
      <c r="M1027" s="110"/>
      <c r="N1027" s="15"/>
      <c r="O1027" s="110"/>
      <c r="P1027" s="15"/>
      <c r="Q1027" s="110"/>
      <c r="R1027" s="15"/>
      <c r="S1027" s="110"/>
      <c r="T1027" s="15"/>
      <c r="U1027" s="110"/>
      <c r="V1027" s="15"/>
    </row>
    <row r="1028" spans="8:22" x14ac:dyDescent="0.2">
      <c r="H1028" s="15"/>
      <c r="I1028" s="110"/>
      <c r="J1028" s="15"/>
      <c r="K1028" s="110"/>
      <c r="L1028" s="15"/>
      <c r="M1028" s="110"/>
      <c r="N1028" s="15"/>
      <c r="O1028" s="110"/>
      <c r="P1028" s="15"/>
      <c r="Q1028" s="110"/>
      <c r="R1028" s="15"/>
      <c r="S1028" s="110"/>
      <c r="T1028" s="15"/>
      <c r="U1028" s="110"/>
      <c r="V1028" s="15"/>
    </row>
    <row r="1029" spans="8:22" x14ac:dyDescent="0.2">
      <c r="H1029" s="15"/>
      <c r="I1029" s="110"/>
      <c r="J1029" s="15"/>
      <c r="K1029" s="110"/>
      <c r="L1029" s="15"/>
      <c r="M1029" s="110"/>
      <c r="N1029" s="15"/>
      <c r="O1029" s="110"/>
      <c r="P1029" s="15"/>
      <c r="Q1029" s="110"/>
      <c r="R1029" s="15"/>
      <c r="S1029" s="110"/>
      <c r="T1029" s="15"/>
      <c r="U1029" s="110"/>
      <c r="V1029" s="15"/>
    </row>
    <row r="1030" spans="8:22" x14ac:dyDescent="0.2">
      <c r="H1030" s="15"/>
      <c r="I1030" s="110"/>
      <c r="J1030" s="15"/>
      <c r="K1030" s="110"/>
      <c r="L1030" s="15"/>
      <c r="M1030" s="110"/>
      <c r="N1030" s="15"/>
      <c r="O1030" s="110"/>
      <c r="P1030" s="15"/>
      <c r="Q1030" s="110"/>
      <c r="R1030" s="15"/>
      <c r="S1030" s="110"/>
      <c r="T1030" s="15"/>
      <c r="U1030" s="110"/>
      <c r="V1030" s="15"/>
    </row>
    <row r="1031" spans="8:22" x14ac:dyDescent="0.2">
      <c r="H1031" s="15"/>
      <c r="I1031" s="110"/>
      <c r="J1031" s="15"/>
      <c r="K1031" s="110"/>
      <c r="L1031" s="15"/>
      <c r="M1031" s="110"/>
      <c r="N1031" s="15"/>
      <c r="O1031" s="110"/>
      <c r="P1031" s="15"/>
      <c r="Q1031" s="110"/>
      <c r="R1031" s="15"/>
      <c r="S1031" s="110"/>
      <c r="T1031" s="15"/>
      <c r="U1031" s="110"/>
      <c r="V1031" s="15"/>
    </row>
    <row r="1032" spans="8:22" x14ac:dyDescent="0.2">
      <c r="H1032" s="15"/>
      <c r="I1032" s="110"/>
      <c r="J1032" s="15"/>
      <c r="K1032" s="110"/>
      <c r="L1032" s="15"/>
      <c r="M1032" s="110"/>
      <c r="N1032" s="15"/>
      <c r="O1032" s="110"/>
      <c r="P1032" s="15"/>
      <c r="Q1032" s="110"/>
      <c r="R1032" s="15"/>
      <c r="S1032" s="110"/>
      <c r="T1032" s="15"/>
      <c r="U1032" s="110"/>
      <c r="V1032" s="15"/>
    </row>
    <row r="1033" spans="8:22" x14ac:dyDescent="0.2">
      <c r="H1033" s="15"/>
      <c r="I1033" s="110"/>
      <c r="J1033" s="15"/>
      <c r="K1033" s="110"/>
      <c r="L1033" s="15"/>
      <c r="M1033" s="110"/>
      <c r="N1033" s="15"/>
      <c r="O1033" s="110"/>
      <c r="P1033" s="15"/>
      <c r="Q1033" s="110"/>
      <c r="R1033" s="15"/>
      <c r="S1033" s="110"/>
      <c r="T1033" s="15"/>
      <c r="U1033" s="110"/>
      <c r="V1033" s="15"/>
    </row>
    <row r="1034" spans="8:22" x14ac:dyDescent="0.2">
      <c r="H1034" s="15"/>
      <c r="I1034" s="110"/>
      <c r="J1034" s="15"/>
      <c r="K1034" s="110"/>
      <c r="L1034" s="15"/>
      <c r="M1034" s="110"/>
      <c r="N1034" s="15"/>
      <c r="O1034" s="110"/>
      <c r="P1034" s="15"/>
      <c r="Q1034" s="110"/>
      <c r="R1034" s="15"/>
      <c r="S1034" s="110"/>
      <c r="T1034" s="15"/>
      <c r="U1034" s="110"/>
      <c r="V1034" s="15"/>
    </row>
    <row r="1035" spans="8:22" x14ac:dyDescent="0.2">
      <c r="H1035" s="15"/>
      <c r="I1035" s="110"/>
      <c r="J1035" s="15"/>
      <c r="K1035" s="110"/>
      <c r="L1035" s="15"/>
      <c r="M1035" s="110"/>
      <c r="N1035" s="15"/>
      <c r="O1035" s="110"/>
      <c r="P1035" s="15"/>
      <c r="Q1035" s="110"/>
      <c r="R1035" s="15"/>
      <c r="S1035" s="110"/>
      <c r="T1035" s="15"/>
      <c r="U1035" s="110"/>
      <c r="V1035" s="15"/>
    </row>
    <row r="1036" spans="8:22" x14ac:dyDescent="0.2">
      <c r="H1036" s="15"/>
      <c r="I1036" s="110"/>
      <c r="J1036" s="15"/>
      <c r="K1036" s="110"/>
      <c r="L1036" s="15"/>
      <c r="M1036" s="110"/>
      <c r="N1036" s="15"/>
      <c r="O1036" s="110"/>
      <c r="P1036" s="15"/>
      <c r="Q1036" s="110"/>
      <c r="R1036" s="15"/>
      <c r="S1036" s="110"/>
      <c r="T1036" s="15"/>
      <c r="U1036" s="110"/>
      <c r="V1036" s="15"/>
    </row>
  </sheetData>
  <mergeCells count="38">
    <mergeCell ref="B29:C29"/>
    <mergeCell ref="B30:C30"/>
    <mergeCell ref="B31:C31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8:C8"/>
    <mergeCell ref="A2:W2"/>
    <mergeCell ref="A3:W3"/>
    <mergeCell ref="A4:N4"/>
    <mergeCell ref="B6:C6"/>
    <mergeCell ref="B7:C7"/>
    <mergeCell ref="B39:C39"/>
    <mergeCell ref="B41:C41"/>
    <mergeCell ref="B32:C32"/>
    <mergeCell ref="B34:C34"/>
    <mergeCell ref="B35:C35"/>
    <mergeCell ref="B36:C36"/>
    <mergeCell ref="B37:C37"/>
    <mergeCell ref="B38:C38"/>
    <mergeCell ref="B33:C33"/>
  </mergeCells>
  <pageMargins left="0.19685039370078741" right="0.19685039370078741" top="0.27559055118110237" bottom="0.35433070866141736" header="0.15748031496062992" footer="0.23622047244094491"/>
  <pageSetup paperSize="8" scale="39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за 2022 год</vt:lpstr>
      <vt:lpstr>за 2023 год</vt:lpstr>
      <vt:lpstr>за 2024 год</vt:lpstr>
      <vt:lpstr>за 2025 год</vt:lpstr>
      <vt:lpstr>'за 2023 год'!Заголовки_для_печати</vt:lpstr>
      <vt:lpstr>'за 2024 год'!Заголовки_для_печати</vt:lpstr>
      <vt:lpstr>'за 2025 год'!Заголовки_для_печати</vt:lpstr>
      <vt:lpstr>'за 2023 год'!Область_печати</vt:lpstr>
      <vt:lpstr>'за 2024 год'!Область_печати</vt:lpstr>
      <vt:lpstr>'за 2025 год'!Область_печати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u1561</cp:lastModifiedBy>
  <cp:lastPrinted>2026-03-16T13:21:25Z</cp:lastPrinted>
  <dcterms:created xsi:type="dcterms:W3CDTF">2017-03-13T07:05:52Z</dcterms:created>
  <dcterms:modified xsi:type="dcterms:W3CDTF">2026-03-17T14:13:31Z</dcterms:modified>
</cp:coreProperties>
</file>