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РЕЙТИНГИ открытости\2024\3 кв\"/>
    </mc:Choice>
  </mc:AlternateContent>
  <bookViews>
    <workbookView xWindow="-105" yWindow="-105" windowWidth="19425" windowHeight="10425"/>
  </bookViews>
  <sheets>
    <sheet name="МБТ - исполнение" sheetId="22" r:id="rId1"/>
    <sheet name="Проверочная  таблица" sheetId="21" r:id="rId2"/>
    <sheet name="Прочая  субсидия_МР  и  ГО" sheetId="20" r:id="rId3"/>
    <sheet name="Прочая  субсидия_БП" sheetId="19" r:id="rId4"/>
    <sheet name="Субвенция  на  полномочия" sheetId="18" r:id="rId5"/>
    <sheet name="Район  и  поселения" sheetId="17" r:id="rId6"/>
    <sheet name="Федеральные  средства  по  МО" sheetId="16" r:id="rId7"/>
    <sheet name="Федеральные  средства" sheetId="15" r:id="rId8"/>
    <sheet name="МБТ  по  программам" sheetId="14" r:id="rId9"/>
    <sheet name="МБТ  по  видам  расходов" sheetId="13" r:id="rId10"/>
    <sheet name="Дотация" sheetId="12" r:id="rId11"/>
    <sheet name="Субсидия" sheetId="11" r:id="rId12"/>
    <sheet name="Субвенция" sheetId="10" r:id="rId13"/>
    <sheet name="Иные  МБТ" sheetId="9" r:id="rId14"/>
    <sheet name="субсидия  фед." sheetId="8" r:id="rId15"/>
    <sheet name="субсидия  ВР 522" sheetId="7" r:id="rId16"/>
    <sheet name="субсидия  ВР 523" sheetId="6" r:id="rId17"/>
    <sheet name="Федеральная  субсидия" sheetId="5" r:id="rId18"/>
    <sheet name="ВУС" sheetId="4" r:id="rId19"/>
    <sheet name="Бюджетирование" sheetId="3" r:id="rId20"/>
  </sheets>
  <externalReferences>
    <externalReference r:id="rId21"/>
    <externalReference r:id="rId22"/>
  </externalReferences>
  <definedNames>
    <definedName name="_xlnm.Print_Titles" localSheetId="19">Бюджетирование!$4:$4</definedName>
    <definedName name="_xlnm.Print_Titles" localSheetId="18">ВУС!$4:$4</definedName>
    <definedName name="_xlnm.Print_Titles" localSheetId="13">'Иные  МБТ'!$7:$7</definedName>
    <definedName name="_xlnm.Print_Titles" localSheetId="1">'Проверочная  таблица'!$A:$A</definedName>
    <definedName name="_xlnm.Print_Titles" localSheetId="3">'Прочая  субсидия_БП'!$A:$A</definedName>
    <definedName name="_xlnm.Print_Titles" localSheetId="2">'Прочая  субсидия_МР  и  ГО'!$A:$A</definedName>
    <definedName name="_xlnm.Print_Titles" localSheetId="5">'Район  и  поселения'!$A:$A</definedName>
    <definedName name="_xlnm.Print_Titles" localSheetId="12">Субвенция!$7:$7</definedName>
    <definedName name="_xlnm.Print_Titles" localSheetId="4">'Субвенция  на  полномочия'!$A:$A</definedName>
    <definedName name="_xlnm.Print_Titles" localSheetId="11">Субсидия!$7:$7</definedName>
    <definedName name="_xlnm.Print_Titles" localSheetId="15">'субсидия  ВР 522'!$5:$5</definedName>
    <definedName name="_xlnm.Print_Titles" localSheetId="16">'субсидия  ВР 523'!$5:$5</definedName>
    <definedName name="_xlnm.Print_Titles" localSheetId="14">'субсидия  фед.'!$5:$5</definedName>
    <definedName name="_xlnm.Print_Titles" localSheetId="17">'Федеральная  субсидия'!$A:$A</definedName>
    <definedName name="_xlnm.Print_Titles" localSheetId="7">'Федеральные  средства'!$6:$6</definedName>
    <definedName name="_xlnm.Print_Titles" localSheetId="6">'Федеральные  средства  по  МО'!$A:$A</definedName>
    <definedName name="_xlnm.Print_Area" localSheetId="18">ВУС!$A$1:$E$227</definedName>
    <definedName name="_xlnm.Print_Area" localSheetId="10">Дотация!$A$1:$E$22</definedName>
    <definedName name="_xlnm.Print_Area" localSheetId="13">'Иные  МБТ'!$A$1:$G$70</definedName>
    <definedName name="_xlnm.Print_Area" localSheetId="9">'МБТ  по  видам  расходов'!$A$1:$E$27</definedName>
    <definedName name="_xlnm.Print_Area" localSheetId="8">'МБТ  по  программам'!$A$1:$I$21</definedName>
    <definedName name="_xlnm.Print_Area" localSheetId="1">'Проверочная  таблица'!$A$1:$AAS$44</definedName>
    <definedName name="_xlnm.Print_Area" localSheetId="3">'Прочая  субсидия_БП'!$A$1:$BP$26</definedName>
    <definedName name="_xlnm.Print_Area" localSheetId="2">'Прочая  субсидия_МР  и  ГО'!$A$1:$BI$43</definedName>
    <definedName name="_xlnm.Print_Area" localSheetId="5">'Район  и  поселения'!$A$1:$BI$41</definedName>
    <definedName name="_xlnm.Print_Area" localSheetId="12">Субвенция!$A$1:$G$16</definedName>
    <definedName name="_xlnm.Print_Area" localSheetId="4">'Субвенция  на  полномочия'!$A$1:$AO$33</definedName>
    <definedName name="_xlnm.Print_Area" localSheetId="11">Субсидия!$A$1:$G$549</definedName>
    <definedName name="_xlnm.Print_Area" localSheetId="7">'Федеральные  средства'!$A$1:$C$76</definedName>
    <definedName name="_xlnm.Print_Area" localSheetId="6">'Федеральные  средства  по  МО'!$A$1:$DG$43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7" i="22" l="1"/>
  <c r="C26" i="22"/>
  <c r="C7" i="22"/>
  <c r="C8" i="22"/>
  <c r="C9" i="22"/>
  <c r="C10" i="22"/>
  <c r="C11" i="22"/>
  <c r="C12" i="22"/>
  <c r="C13" i="22"/>
  <c r="C14" i="22"/>
  <c r="C15" i="22"/>
  <c r="C16" i="22"/>
  <c r="C17" i="22"/>
  <c r="C18" i="22"/>
  <c r="C19" i="22"/>
  <c r="C20" i="22"/>
  <c r="C21" i="22"/>
  <c r="C22" i="22"/>
  <c r="C23" i="22"/>
  <c r="C6" i="22"/>
  <c r="O28" i="22" l="1"/>
  <c r="N28" i="22"/>
  <c r="L28" i="22"/>
  <c r="K28" i="22"/>
  <c r="I28" i="22"/>
  <c r="H28" i="22"/>
  <c r="F28" i="22"/>
  <c r="E28" i="22"/>
  <c r="C28" i="22"/>
  <c r="B28" i="22"/>
  <c r="P27" i="22"/>
  <c r="M27" i="22"/>
  <c r="J27" i="22"/>
  <c r="G27" i="22"/>
  <c r="D27" i="22"/>
  <c r="P26" i="22"/>
  <c r="M26" i="22"/>
  <c r="J26" i="22"/>
  <c r="G26" i="22"/>
  <c r="D26" i="22"/>
  <c r="O25" i="22"/>
  <c r="N25" i="22"/>
  <c r="L25" i="22"/>
  <c r="K25" i="22"/>
  <c r="I25" i="22"/>
  <c r="H25" i="22"/>
  <c r="F25" i="22"/>
  <c r="E25" i="22"/>
  <c r="C25" i="22"/>
  <c r="B25" i="22"/>
  <c r="O24" i="22"/>
  <c r="N24" i="22"/>
  <c r="L24" i="22"/>
  <c r="K24" i="22"/>
  <c r="I24" i="22"/>
  <c r="H24" i="22"/>
  <c r="F24" i="22"/>
  <c r="E24" i="22"/>
  <c r="C24" i="22"/>
  <c r="B24" i="22"/>
  <c r="P23" i="22"/>
  <c r="M23" i="22"/>
  <c r="J23" i="22"/>
  <c r="G23" i="22"/>
  <c r="D23" i="22"/>
  <c r="P22" i="22"/>
  <c r="M22" i="22"/>
  <c r="J22" i="22"/>
  <c r="G22" i="22"/>
  <c r="D22" i="22"/>
  <c r="P21" i="22"/>
  <c r="M21" i="22"/>
  <c r="J21" i="22"/>
  <c r="G21" i="22"/>
  <c r="D21" i="22"/>
  <c r="P20" i="22"/>
  <c r="M20" i="22"/>
  <c r="J20" i="22"/>
  <c r="G20" i="22"/>
  <c r="D20" i="22"/>
  <c r="P19" i="22"/>
  <c r="M19" i="22"/>
  <c r="J19" i="22"/>
  <c r="G19" i="22"/>
  <c r="D19" i="22"/>
  <c r="P18" i="22"/>
  <c r="M18" i="22"/>
  <c r="J18" i="22"/>
  <c r="G18" i="22"/>
  <c r="D18" i="22"/>
  <c r="P17" i="22"/>
  <c r="M17" i="22"/>
  <c r="J17" i="22"/>
  <c r="G17" i="22"/>
  <c r="D17" i="22"/>
  <c r="P16" i="22"/>
  <c r="M16" i="22"/>
  <c r="J16" i="22"/>
  <c r="G16" i="22"/>
  <c r="D16" i="22"/>
  <c r="P15" i="22"/>
  <c r="M15" i="22"/>
  <c r="J15" i="22"/>
  <c r="G15" i="22"/>
  <c r="D15" i="22"/>
  <c r="P14" i="22"/>
  <c r="M14" i="22"/>
  <c r="J14" i="22"/>
  <c r="G14" i="22"/>
  <c r="D14" i="22"/>
  <c r="P13" i="22"/>
  <c r="M13" i="22"/>
  <c r="J13" i="22"/>
  <c r="G13" i="22"/>
  <c r="D13" i="22"/>
  <c r="P12" i="22"/>
  <c r="M12" i="22"/>
  <c r="J12" i="22"/>
  <c r="G12" i="22"/>
  <c r="D12" i="22"/>
  <c r="P11" i="22"/>
  <c r="M11" i="22"/>
  <c r="J11" i="22"/>
  <c r="G11" i="22"/>
  <c r="D11" i="22"/>
  <c r="P10" i="22"/>
  <c r="M10" i="22"/>
  <c r="J10" i="22"/>
  <c r="G10" i="22"/>
  <c r="D10" i="22"/>
  <c r="P9" i="22"/>
  <c r="M9" i="22"/>
  <c r="J9" i="22"/>
  <c r="G9" i="22"/>
  <c r="D9" i="22"/>
  <c r="P8" i="22"/>
  <c r="M8" i="22"/>
  <c r="J8" i="22"/>
  <c r="G8" i="22"/>
  <c r="D8" i="22"/>
  <c r="P7" i="22"/>
  <c r="M7" i="22"/>
  <c r="J7" i="22"/>
  <c r="G7" i="22"/>
  <c r="D7" i="22"/>
  <c r="P6" i="22"/>
  <c r="M6" i="22"/>
  <c r="J6" i="22"/>
  <c r="G6" i="22"/>
  <c r="D6" i="22"/>
  <c r="D28" i="22" l="1"/>
  <c r="P28" i="22"/>
  <c r="M28" i="22"/>
  <c r="G24" i="22"/>
  <c r="M24" i="22"/>
  <c r="P25" i="22"/>
  <c r="G28" i="22"/>
  <c r="J28" i="22"/>
  <c r="J24" i="22"/>
  <c r="N30" i="22"/>
  <c r="P24" i="22"/>
  <c r="L30" i="22"/>
  <c r="K30" i="22"/>
  <c r="H30" i="22"/>
  <c r="J25" i="22"/>
  <c r="E30" i="22"/>
  <c r="G25" i="22"/>
  <c r="B30" i="22"/>
  <c r="C30" i="22"/>
  <c r="D25" i="22"/>
  <c r="O30" i="22"/>
  <c r="F30" i="22"/>
  <c r="D24" i="22"/>
  <c r="M25" i="22"/>
  <c r="I30" i="22"/>
  <c r="G501" i="11"/>
  <c r="G504" i="11"/>
  <c r="E496" i="11"/>
  <c r="F496" i="11"/>
  <c r="D496" i="11"/>
  <c r="P30" i="22" l="1"/>
  <c r="J30" i="22"/>
  <c r="M30" i="22"/>
  <c r="G30" i="22"/>
  <c r="D30" i="22"/>
  <c r="C9" i="7"/>
  <c r="F9" i="7" s="1"/>
  <c r="B9" i="7"/>
  <c r="A9" i="7"/>
  <c r="EZ10" i="5"/>
  <c r="EZ11" i="5"/>
  <c r="EZ12" i="5"/>
  <c r="EZ13" i="5"/>
  <c r="EZ14" i="5"/>
  <c r="EZ15" i="5"/>
  <c r="EZ16" i="5"/>
  <c r="EZ17" i="5"/>
  <c r="EZ18" i="5"/>
  <c r="EZ19" i="5"/>
  <c r="EZ20" i="5"/>
  <c r="EZ21" i="5"/>
  <c r="EZ22" i="5"/>
  <c r="EZ23" i="5"/>
  <c r="EZ24" i="5"/>
  <c r="EZ25" i="5"/>
  <c r="EZ26" i="5"/>
  <c r="EZ27" i="5"/>
  <c r="TB13" i="21"/>
  <c r="TC13" i="21"/>
  <c r="BC26" i="20" l="1"/>
  <c r="AY26" i="20"/>
  <c r="AW26" i="20"/>
  <c r="AU30" i="20"/>
  <c r="AU26" i="20"/>
  <c r="AK12" i="19"/>
  <c r="AG21" i="19"/>
  <c r="AM30" i="20"/>
  <c r="AM26" i="20"/>
  <c r="AG30" i="20"/>
  <c r="AG26" i="20"/>
  <c r="AC26" i="20"/>
  <c r="AA30" i="20"/>
  <c r="AA26" i="20"/>
  <c r="S26" i="20"/>
  <c r="Q30" i="20"/>
  <c r="K26" i="20"/>
  <c r="G26" i="20"/>
  <c r="G30" i="20"/>
  <c r="AZ26" i="19"/>
  <c r="F37" i="3" l="1"/>
  <c r="F40" i="3" s="1"/>
  <c r="G37" i="3"/>
  <c r="G40" i="3" s="1"/>
  <c r="G38" i="3"/>
  <c r="G39" i="3"/>
  <c r="F39" i="3"/>
  <c r="F38" i="3"/>
  <c r="ZS23" i="21" l="1"/>
  <c r="C21" i="8" l="1"/>
  <c r="F21" i="8" s="1"/>
  <c r="B21" i="8"/>
  <c r="A21" i="8"/>
  <c r="BI26" i="20" l="1"/>
  <c r="BA26" i="20"/>
  <c r="AK30" i="20"/>
  <c r="AK26" i="20"/>
  <c r="W30" i="20"/>
  <c r="W26" i="20"/>
  <c r="S30" i="20"/>
  <c r="O30" i="20"/>
  <c r="O26" i="20"/>
  <c r="M30" i="20"/>
  <c r="M26" i="20"/>
  <c r="CV45" i="21" l="1"/>
  <c r="D31" i="9" l="1"/>
  <c r="D51" i="9"/>
  <c r="D125" i="11" l="1"/>
  <c r="G3" i="3"/>
  <c r="F3" i="3"/>
  <c r="ZS34" i="21" l="1"/>
  <c r="E116" i="11" l="1"/>
  <c r="F116" i="11"/>
  <c r="D116" i="11"/>
  <c r="D115" i="11"/>
  <c r="DA32" i="16" l="1"/>
  <c r="DA31" i="16"/>
  <c r="DA12" i="16"/>
  <c r="DA13" i="16"/>
  <c r="DA14" i="16"/>
  <c r="DA15" i="16"/>
  <c r="DA16" i="16"/>
  <c r="DA17" i="16"/>
  <c r="DA18" i="16"/>
  <c r="DA19" i="16"/>
  <c r="DA20" i="16"/>
  <c r="DA21" i="16"/>
  <c r="DA22" i="16"/>
  <c r="DA23" i="16"/>
  <c r="DA24" i="16"/>
  <c r="DA25" i="16"/>
  <c r="DA26" i="16"/>
  <c r="DA27" i="16"/>
  <c r="DA28" i="16"/>
  <c r="DA11" i="16"/>
  <c r="DA33" i="16"/>
  <c r="DA41" i="16" s="1"/>
  <c r="WN33" i="21"/>
  <c r="CZ32" i="16" s="1"/>
  <c r="WN32" i="21"/>
  <c r="CZ31" i="16" s="1"/>
  <c r="WN13" i="21"/>
  <c r="CZ12" i="16" s="1"/>
  <c r="WN14" i="21"/>
  <c r="CZ13" i="16" s="1"/>
  <c r="WN15" i="21"/>
  <c r="CZ14" i="16" s="1"/>
  <c r="WN16" i="21"/>
  <c r="CZ15" i="16" s="1"/>
  <c r="WN17" i="21"/>
  <c r="CZ16" i="16" s="1"/>
  <c r="WN18" i="21"/>
  <c r="CZ17" i="16" s="1"/>
  <c r="WN19" i="21"/>
  <c r="CZ18" i="16" s="1"/>
  <c r="WN20" i="21"/>
  <c r="CZ19" i="16" s="1"/>
  <c r="WN21" i="21"/>
  <c r="CZ20" i="16" s="1"/>
  <c r="WN22" i="21"/>
  <c r="CZ21" i="16" s="1"/>
  <c r="WN23" i="21"/>
  <c r="WL23" i="21" s="1"/>
  <c r="WN24" i="21"/>
  <c r="CZ23" i="16" s="1"/>
  <c r="WN25" i="21"/>
  <c r="CZ24" i="16" s="1"/>
  <c r="WN26" i="21"/>
  <c r="CZ25" i="16" s="1"/>
  <c r="WN27" i="21"/>
  <c r="CZ26" i="16" s="1"/>
  <c r="WN28" i="21"/>
  <c r="CZ27" i="16" s="1"/>
  <c r="WN29" i="21"/>
  <c r="CZ28" i="16" s="1"/>
  <c r="WN12" i="21"/>
  <c r="WL12" i="21" s="1"/>
  <c r="WQ41" i="21"/>
  <c r="WP41" i="21"/>
  <c r="WQ34" i="21"/>
  <c r="WQ42" i="21" s="1"/>
  <c r="WP34" i="21"/>
  <c r="WP42" i="21" s="1"/>
  <c r="WO33" i="21"/>
  <c r="WO32" i="21"/>
  <c r="WO34" i="21" s="1"/>
  <c r="WO42" i="21" s="1"/>
  <c r="WM34" i="21"/>
  <c r="WM42" i="21" s="1"/>
  <c r="WQ30" i="21"/>
  <c r="WQ40" i="21" s="1"/>
  <c r="WP30" i="21"/>
  <c r="WP40" i="21" s="1"/>
  <c r="WO29" i="21"/>
  <c r="WO28" i="21"/>
  <c r="WO27" i="21"/>
  <c r="WO26" i="21"/>
  <c r="WO25" i="21"/>
  <c r="WO24" i="21"/>
  <c r="WO23" i="21"/>
  <c r="WO22" i="21"/>
  <c r="WO21" i="21"/>
  <c r="WO20" i="21"/>
  <c r="WO19" i="21"/>
  <c r="WO18" i="21"/>
  <c r="WO17" i="21"/>
  <c r="WO16" i="21"/>
  <c r="WL16" i="21"/>
  <c r="WO15" i="21"/>
  <c r="WO14" i="21"/>
  <c r="WO13" i="21"/>
  <c r="WO12" i="21"/>
  <c r="WM41" i="21"/>
  <c r="J27" i="9"/>
  <c r="D61" i="9"/>
  <c r="D25" i="9"/>
  <c r="WL24" i="21" l="1"/>
  <c r="WO41" i="21"/>
  <c r="WL19" i="21"/>
  <c r="WL25" i="21"/>
  <c r="WL27" i="21"/>
  <c r="WL33" i="21"/>
  <c r="WL17" i="21"/>
  <c r="WL28" i="21"/>
  <c r="CZ33" i="16"/>
  <c r="CZ41" i="16" s="1"/>
  <c r="WL20" i="21"/>
  <c r="WL29" i="21"/>
  <c r="WL18" i="21"/>
  <c r="WL21" i="21"/>
  <c r="CZ11" i="16"/>
  <c r="CZ40" i="16" s="1"/>
  <c r="WL14" i="21"/>
  <c r="WL22" i="21"/>
  <c r="CZ22" i="16"/>
  <c r="WL13" i="21"/>
  <c r="WL15" i="21"/>
  <c r="WN34" i="21"/>
  <c r="WN42" i="21" s="1"/>
  <c r="WL26" i="21"/>
  <c r="WN41" i="21"/>
  <c r="DA40" i="16"/>
  <c r="DA29" i="16"/>
  <c r="WP37" i="21"/>
  <c r="F27" i="9" s="1"/>
  <c r="WM30" i="21"/>
  <c r="WQ37" i="21"/>
  <c r="WN30" i="21"/>
  <c r="WO30" i="21"/>
  <c r="WL32" i="21"/>
  <c r="WQ45" i="21" l="1"/>
  <c r="C57" i="15"/>
  <c r="F28" i="9"/>
  <c r="CZ29" i="16"/>
  <c r="CZ39" i="16" s="1"/>
  <c r="WL30" i="21"/>
  <c r="WL41" i="21"/>
  <c r="DA39" i="16"/>
  <c r="DA36" i="16"/>
  <c r="WL34" i="21"/>
  <c r="WL42" i="21" s="1"/>
  <c r="WN37" i="21"/>
  <c r="WN40" i="21"/>
  <c r="WQ47" i="21"/>
  <c r="WP45" i="21"/>
  <c r="WP47" i="21" s="1"/>
  <c r="WM37" i="21"/>
  <c r="E27" i="9" s="1"/>
  <c r="G27" i="9" s="1"/>
  <c r="WM40" i="21"/>
  <c r="WO37" i="21"/>
  <c r="WO40" i="21"/>
  <c r="CZ36" i="16" l="1"/>
  <c r="WL40" i="21"/>
  <c r="WL37" i="21"/>
  <c r="B57" i="15"/>
  <c r="E28" i="9"/>
  <c r="G28" i="9" s="1"/>
  <c r="VG33" i="21"/>
  <c r="WH30" i="21"/>
  <c r="D30" i="9" l="1"/>
  <c r="D443" i="11" l="1"/>
  <c r="D447" i="11"/>
  <c r="D165" i="11" l="1"/>
  <c r="D199" i="11"/>
  <c r="D323" i="11"/>
  <c r="D326" i="11"/>
  <c r="D305" i="11"/>
  <c r="C8" i="12" l="1"/>
  <c r="D33" i="9" l="1"/>
  <c r="D32" i="9"/>
  <c r="AW25" i="19" l="1"/>
  <c r="AW19" i="19"/>
  <c r="YY29" i="21" l="1"/>
  <c r="ZU29" i="21" l="1"/>
  <c r="ZU27" i="21"/>
  <c r="ZU23" i="21"/>
  <c r="ZU21" i="21"/>
  <c r="ZU17" i="21"/>
  <c r="ZU16" i="21"/>
  <c r="I9" i="8" l="1"/>
  <c r="G9" i="8" s="1"/>
  <c r="H9" i="8"/>
  <c r="C9" i="8"/>
  <c r="F9" i="8" s="1"/>
  <c r="B9" i="8"/>
  <c r="A9" i="8"/>
  <c r="D314" i="11"/>
  <c r="D311" i="11"/>
  <c r="H322" i="11"/>
  <c r="G322" i="11"/>
  <c r="I322" i="11" s="1"/>
  <c r="E321" i="11"/>
  <c r="H320" i="11"/>
  <c r="D321" i="11"/>
  <c r="H319" i="11"/>
  <c r="G319" i="11"/>
  <c r="I319" i="11" s="1"/>
  <c r="D318" i="11"/>
  <c r="H317" i="11"/>
  <c r="E318" i="11"/>
  <c r="J317" i="11"/>
  <c r="G321" i="11" l="1"/>
  <c r="I321" i="11" s="1"/>
  <c r="G318" i="11"/>
  <c r="I318" i="11" s="1"/>
  <c r="F321" i="11"/>
  <c r="H321" i="11" s="1"/>
  <c r="G317" i="11"/>
  <c r="G320" i="11"/>
  <c r="I320" i="11" s="1"/>
  <c r="F318" i="11"/>
  <c r="H318" i="11" s="1"/>
  <c r="I317" i="11" l="1"/>
  <c r="K317" i="11"/>
  <c r="D169" i="11"/>
  <c r="D190" i="11"/>
  <c r="D184" i="11"/>
  <c r="D82" i="11"/>
  <c r="E81" i="11"/>
  <c r="D81" i="11"/>
  <c r="D79" i="11"/>
  <c r="F43" i="9" l="1"/>
  <c r="E43" i="9"/>
  <c r="H6" i="3"/>
  <c r="H7" i="3"/>
  <c r="F52" i="9"/>
  <c r="E39" i="3"/>
  <c r="H39" i="3" s="1"/>
  <c r="E38" i="3"/>
  <c r="H38" i="3" s="1"/>
  <c r="E37" i="3"/>
  <c r="H37" i="3" s="1"/>
  <c r="H5" i="3" l="1"/>
  <c r="E23" i="9"/>
  <c r="F23" i="9"/>
  <c r="E52" i="9"/>
  <c r="BQ15" i="16" l="1"/>
  <c r="BQ40" i="16" s="1"/>
  <c r="BP15" i="16"/>
  <c r="BP29" i="16" s="1"/>
  <c r="BQ33" i="16"/>
  <c r="BQ41" i="16" s="1"/>
  <c r="BP33" i="16"/>
  <c r="BP41" i="16" s="1"/>
  <c r="SV13" i="21"/>
  <c r="SU13" i="21"/>
  <c r="PS41" i="21"/>
  <c r="PT41" i="21"/>
  <c r="PV41" i="21"/>
  <c r="PW41" i="21"/>
  <c r="PX41" i="21"/>
  <c r="PY41" i="21"/>
  <c r="PT34" i="21"/>
  <c r="PT42" i="21" s="1"/>
  <c r="PS34" i="21"/>
  <c r="PS42" i="21" s="1"/>
  <c r="PT30" i="21"/>
  <c r="PT37" i="21" s="1"/>
  <c r="PS30" i="21"/>
  <c r="PS37" i="21" s="1"/>
  <c r="PY34" i="21"/>
  <c r="PY42" i="21" s="1"/>
  <c r="PX34" i="21"/>
  <c r="PX42" i="21" s="1"/>
  <c r="PY30" i="21"/>
  <c r="PY37" i="21" s="1"/>
  <c r="PX30" i="21"/>
  <c r="PU13" i="21"/>
  <c r="PU14" i="21"/>
  <c r="PU15" i="21"/>
  <c r="PU16" i="21"/>
  <c r="PU17" i="21"/>
  <c r="PU18" i="21"/>
  <c r="PU19" i="21"/>
  <c r="PU20" i="21"/>
  <c r="PU21" i="21"/>
  <c r="PU22" i="21"/>
  <c r="PU23" i="21"/>
  <c r="PU24" i="21"/>
  <c r="PU25" i="21"/>
  <c r="PU26" i="21"/>
  <c r="PU27" i="21"/>
  <c r="PU28" i="21"/>
  <c r="PU29" i="21"/>
  <c r="PU12" i="21"/>
  <c r="PX37" i="21" l="1"/>
  <c r="PX40" i="21"/>
  <c r="PT40" i="21"/>
  <c r="PS40" i="21"/>
  <c r="PU41" i="21"/>
  <c r="PY40" i="21"/>
  <c r="BP40" i="16"/>
  <c r="BP39" i="16" s="1"/>
  <c r="BP36" i="16"/>
  <c r="BQ29" i="16"/>
  <c r="UO17" i="21"/>
  <c r="UN17" i="21"/>
  <c r="BQ39" i="16" l="1"/>
  <c r="BQ36" i="16"/>
  <c r="AW13" i="19"/>
  <c r="U28" i="18" l="1"/>
  <c r="AB34" i="21" l="1"/>
  <c r="Y33" i="21" l="1"/>
  <c r="Y32" i="21"/>
  <c r="Y27" i="21"/>
  <c r="Y28" i="21"/>
  <c r="AC28" i="21" s="1"/>
  <c r="Y29" i="21"/>
  <c r="AC29" i="21" s="1"/>
  <c r="Y26" i="21"/>
  <c r="Y23" i="21"/>
  <c r="Y24" i="21"/>
  <c r="Y25" i="21"/>
  <c r="Y22" i="21"/>
  <c r="Y20" i="21"/>
  <c r="Y21" i="21"/>
  <c r="Y19" i="21"/>
  <c r="Y17" i="21"/>
  <c r="Y18" i="21"/>
  <c r="Y16" i="21"/>
  <c r="AC16" i="21" s="1"/>
  <c r="Y15" i="21"/>
  <c r="Y14" i="21"/>
  <c r="Y13" i="21"/>
  <c r="Y12" i="21"/>
  <c r="X33" i="21"/>
  <c r="X32" i="21"/>
  <c r="X27" i="21"/>
  <c r="AB27" i="21" s="1"/>
  <c r="X28" i="21"/>
  <c r="AB28" i="21" s="1"/>
  <c r="X29" i="21"/>
  <c r="AB29" i="21" s="1"/>
  <c r="X26" i="21"/>
  <c r="AB26" i="21" s="1"/>
  <c r="X23" i="21"/>
  <c r="AB23" i="21" s="1"/>
  <c r="X24" i="21"/>
  <c r="AB24" i="21" s="1"/>
  <c r="X25" i="21"/>
  <c r="AB25" i="21" s="1"/>
  <c r="X22" i="21"/>
  <c r="AB22" i="21" s="1"/>
  <c r="X20" i="21"/>
  <c r="AB20" i="21" s="1"/>
  <c r="X21" i="21"/>
  <c r="AB21" i="21" s="1"/>
  <c r="X19" i="21"/>
  <c r="AB19" i="21" s="1"/>
  <c r="X17" i="21"/>
  <c r="AB17" i="21" s="1"/>
  <c r="X18" i="21"/>
  <c r="AB18" i="21" s="1"/>
  <c r="X16" i="21"/>
  <c r="AB16" i="21" s="1"/>
  <c r="X15" i="21"/>
  <c r="AB15" i="21" s="1"/>
  <c r="X14" i="21"/>
  <c r="AB14" i="21" s="1"/>
  <c r="X13" i="21"/>
  <c r="AB13" i="21" s="1"/>
  <c r="X12" i="21"/>
  <c r="AB12" i="21" s="1"/>
  <c r="W33" i="21"/>
  <c r="AA33" i="21" s="1"/>
  <c r="W32" i="21"/>
  <c r="W27" i="21"/>
  <c r="AA27" i="21" s="1"/>
  <c r="W28" i="21"/>
  <c r="AA28" i="21" s="1"/>
  <c r="W29" i="21"/>
  <c r="AA29" i="21" s="1"/>
  <c r="W26" i="21"/>
  <c r="AA26" i="21" s="1"/>
  <c r="W23" i="21"/>
  <c r="AA23" i="21" s="1"/>
  <c r="W24" i="21"/>
  <c r="AA24" i="21" s="1"/>
  <c r="W25" i="21"/>
  <c r="AA25" i="21" s="1"/>
  <c r="W22" i="21"/>
  <c r="AA22" i="21" s="1"/>
  <c r="W20" i="21"/>
  <c r="AA20" i="21" s="1"/>
  <c r="W21" i="21"/>
  <c r="AA21" i="21" s="1"/>
  <c r="W19" i="21"/>
  <c r="AA19" i="21" s="1"/>
  <c r="W17" i="21"/>
  <c r="AA17" i="21" s="1"/>
  <c r="W18" i="21"/>
  <c r="AA18" i="21" s="1"/>
  <c r="W16" i="21"/>
  <c r="AA16" i="21" s="1"/>
  <c r="W15" i="21"/>
  <c r="AA15" i="21" s="1"/>
  <c r="W14" i="21"/>
  <c r="AA14" i="21" s="1"/>
  <c r="W13" i="21"/>
  <c r="AA13" i="21" s="1"/>
  <c r="W12" i="21"/>
  <c r="AA12" i="21" s="1"/>
  <c r="AF27" i="21"/>
  <c r="AI27" i="21" s="1"/>
  <c r="AF28" i="21"/>
  <c r="AI28" i="21" s="1"/>
  <c r="AF29" i="21"/>
  <c r="AI29" i="21" s="1"/>
  <c r="AF26" i="21"/>
  <c r="AI26" i="21" s="1"/>
  <c r="AF23" i="21"/>
  <c r="AI23" i="21" s="1"/>
  <c r="AF24" i="21"/>
  <c r="AI24" i="21" s="1"/>
  <c r="AF25" i="21"/>
  <c r="AI25" i="21" s="1"/>
  <c r="AF22" i="21"/>
  <c r="AI22" i="21" s="1"/>
  <c r="AF20" i="21"/>
  <c r="AI20" i="21" s="1"/>
  <c r="AF21" i="21"/>
  <c r="AI21" i="21" s="1"/>
  <c r="AF19" i="21"/>
  <c r="AI19" i="21" s="1"/>
  <c r="AF17" i="21"/>
  <c r="AI17" i="21" s="1"/>
  <c r="AF18" i="21"/>
  <c r="AI18" i="21" s="1"/>
  <c r="AF16" i="21"/>
  <c r="AI16" i="21" s="1"/>
  <c r="AF15" i="21"/>
  <c r="AI15" i="21" s="1"/>
  <c r="AF14" i="21"/>
  <c r="AI14" i="21" s="1"/>
  <c r="AF13" i="21"/>
  <c r="AI13" i="21" s="1"/>
  <c r="AF12" i="21"/>
  <c r="AI12" i="21" s="1"/>
  <c r="AE27" i="21"/>
  <c r="AH27" i="21" s="1"/>
  <c r="AE28" i="21"/>
  <c r="AH28" i="21" s="1"/>
  <c r="AE29" i="21"/>
  <c r="AH29" i="21" s="1"/>
  <c r="AE26" i="21"/>
  <c r="AH26" i="21" s="1"/>
  <c r="AE23" i="21"/>
  <c r="AH23" i="21" s="1"/>
  <c r="AE24" i="21"/>
  <c r="AH24" i="21" s="1"/>
  <c r="AE25" i="21"/>
  <c r="AH25" i="21" s="1"/>
  <c r="AE22" i="21"/>
  <c r="AH22" i="21" s="1"/>
  <c r="AE20" i="21"/>
  <c r="AH20" i="21" s="1"/>
  <c r="AE21" i="21"/>
  <c r="AH21" i="21" s="1"/>
  <c r="AE19" i="21"/>
  <c r="AH19" i="21" s="1"/>
  <c r="AE17" i="21"/>
  <c r="AH17" i="21" s="1"/>
  <c r="AE18" i="21"/>
  <c r="AH18" i="21" s="1"/>
  <c r="AE16" i="21"/>
  <c r="AH16" i="21" s="1"/>
  <c r="AE15" i="21"/>
  <c r="AH15" i="21" s="1"/>
  <c r="AE14" i="21"/>
  <c r="AH14" i="21" s="1"/>
  <c r="AE13" i="21"/>
  <c r="AH13" i="21" s="1"/>
  <c r="AE12" i="21"/>
  <c r="AH12" i="21" s="1"/>
  <c r="AD33" i="21"/>
  <c r="AD32" i="21"/>
  <c r="AF34" i="21"/>
  <c r="AF42" i="21" s="1"/>
  <c r="AE34" i="21"/>
  <c r="AE42" i="21" s="1"/>
  <c r="AD34" i="21" l="1"/>
  <c r="AD28" i="21"/>
  <c r="AD23" i="21"/>
  <c r="V21" i="21"/>
  <c r="AD29" i="21"/>
  <c r="AD15" i="21"/>
  <c r="AD25" i="21"/>
  <c r="W34" i="21"/>
  <c r="W42" i="21" s="1"/>
  <c r="AA32" i="21"/>
  <c r="V20" i="21"/>
  <c r="V23" i="21"/>
  <c r="AD17" i="21"/>
  <c r="AD24" i="21"/>
  <c r="V28" i="21"/>
  <c r="V33" i="21"/>
  <c r="Y34" i="21"/>
  <c r="Y42" i="21" s="1"/>
  <c r="V27" i="21"/>
  <c r="V29" i="21"/>
  <c r="V25" i="21"/>
  <c r="V14" i="21"/>
  <c r="Y30" i="21"/>
  <c r="V16" i="21"/>
  <c r="V24" i="21"/>
  <c r="V19" i="21"/>
  <c r="V17" i="21"/>
  <c r="X34" i="21"/>
  <c r="X42" i="21" s="1"/>
  <c r="V22" i="21"/>
  <c r="V15" i="21"/>
  <c r="X30" i="21"/>
  <c r="V12" i="21"/>
  <c r="V32" i="21"/>
  <c r="V26" i="21"/>
  <c r="V18" i="21"/>
  <c r="W41" i="21"/>
  <c r="W30" i="21"/>
  <c r="X41" i="21"/>
  <c r="Y41" i="21"/>
  <c r="V13" i="21"/>
  <c r="AD26" i="21"/>
  <c r="AD22" i="21"/>
  <c r="AD21" i="21"/>
  <c r="AD20" i="21"/>
  <c r="AD18" i="21"/>
  <c r="AD16" i="21"/>
  <c r="AD14" i="21"/>
  <c r="AD13" i="21"/>
  <c r="AF41" i="21"/>
  <c r="AF30" i="21"/>
  <c r="AD19" i="21"/>
  <c r="AD27" i="21"/>
  <c r="AE30" i="21"/>
  <c r="AE37" i="21" s="1"/>
  <c r="AE41" i="21"/>
  <c r="AD12" i="21"/>
  <c r="V34" i="21" l="1"/>
  <c r="AB30" i="21"/>
  <c r="AF40" i="21"/>
  <c r="W37" i="21"/>
  <c r="Y37" i="21"/>
  <c r="Y40" i="21"/>
  <c r="X37" i="21"/>
  <c r="X40" i="21"/>
  <c r="V30" i="21"/>
  <c r="W40" i="21"/>
  <c r="AD30" i="21"/>
  <c r="AD37" i="21" s="1"/>
  <c r="AF37" i="21"/>
  <c r="AE40" i="21"/>
  <c r="D193" i="11"/>
  <c r="D187" i="11"/>
  <c r="D95" i="11"/>
  <c r="V37" i="21" l="1"/>
  <c r="D70" i="9"/>
  <c r="H23" i="9"/>
  <c r="G23" i="9"/>
  <c r="I23" i="9" s="1"/>
  <c r="D52" i="9"/>
  <c r="D40" i="9" l="1"/>
  <c r="H43" i="9"/>
  <c r="G43" i="9"/>
  <c r="I43" i="9" s="1"/>
  <c r="B17" i="7" l="1"/>
  <c r="A17" i="7"/>
  <c r="D19" i="7"/>
  <c r="E19" i="7"/>
  <c r="B16" i="7"/>
  <c r="A16" i="7"/>
  <c r="D198" i="11"/>
  <c r="C17" i="7" s="1"/>
  <c r="E511" i="11"/>
  <c r="B19" i="6"/>
  <c r="A19" i="6"/>
  <c r="B14" i="6"/>
  <c r="A14" i="6"/>
  <c r="F17" i="7" l="1"/>
  <c r="PM13" i="21" l="1"/>
  <c r="PN13" i="21"/>
  <c r="PM14" i="21"/>
  <c r="PN14" i="21"/>
  <c r="PM15" i="21"/>
  <c r="PN15" i="21"/>
  <c r="PM16" i="21"/>
  <c r="PN16" i="21"/>
  <c r="PM17" i="21"/>
  <c r="PN17" i="21"/>
  <c r="PM18" i="21"/>
  <c r="PN18" i="21"/>
  <c r="PM19" i="21"/>
  <c r="PN19" i="21"/>
  <c r="PM20" i="21"/>
  <c r="PN20" i="21"/>
  <c r="PM21" i="21"/>
  <c r="PN21" i="21"/>
  <c r="PM22" i="21"/>
  <c r="PN22" i="21"/>
  <c r="PM23" i="21"/>
  <c r="PN23" i="21"/>
  <c r="PM24" i="21"/>
  <c r="PN24" i="21"/>
  <c r="PM25" i="21"/>
  <c r="PN25" i="21"/>
  <c r="PM26" i="21"/>
  <c r="PN26" i="21"/>
  <c r="PM27" i="21"/>
  <c r="PN27" i="21"/>
  <c r="PM28" i="21"/>
  <c r="PN28" i="21"/>
  <c r="PM29" i="21"/>
  <c r="PN29" i="21"/>
  <c r="PN12" i="21"/>
  <c r="PM12" i="21"/>
  <c r="IF13" i="21" l="1"/>
  <c r="IG13" i="21"/>
  <c r="IF14" i="21"/>
  <c r="IG14" i="21"/>
  <c r="IF15" i="21"/>
  <c r="IG15" i="21"/>
  <c r="IF16" i="21"/>
  <c r="IG16" i="21"/>
  <c r="IF17" i="21"/>
  <c r="IG17" i="21"/>
  <c r="IF18" i="21"/>
  <c r="IG18" i="21"/>
  <c r="IF19" i="21"/>
  <c r="IG19" i="21"/>
  <c r="IF20" i="21"/>
  <c r="IG20" i="21"/>
  <c r="IF21" i="21"/>
  <c r="IG21" i="21"/>
  <c r="IF22" i="21"/>
  <c r="IG22" i="21"/>
  <c r="IF23" i="21"/>
  <c r="IG23" i="21"/>
  <c r="IF24" i="21"/>
  <c r="IG24" i="21"/>
  <c r="IF25" i="21"/>
  <c r="IG25" i="21"/>
  <c r="IF26" i="21"/>
  <c r="IG26" i="21"/>
  <c r="IF27" i="21"/>
  <c r="IG27" i="21"/>
  <c r="IF28" i="21"/>
  <c r="IG28" i="21"/>
  <c r="IF29" i="21"/>
  <c r="IG29" i="21"/>
  <c r="IG12" i="21"/>
  <c r="IF12" i="21"/>
  <c r="IG30" i="21" l="1"/>
  <c r="IF30" i="21"/>
  <c r="D225" i="11"/>
  <c r="D180" i="11"/>
  <c r="D176" i="11"/>
  <c r="D161" i="11"/>
  <c r="D153" i="11"/>
  <c r="AC37" i="5" l="1"/>
  <c r="AJ32" i="5"/>
  <c r="AI32" i="5"/>
  <c r="AF32" i="5"/>
  <c r="AE32" i="5"/>
  <c r="AJ28" i="5"/>
  <c r="AJ35" i="5" s="1"/>
  <c r="AI28" i="5"/>
  <c r="AI35" i="5" s="1"/>
  <c r="AF28" i="5"/>
  <c r="AF35" i="5" s="1"/>
  <c r="AE28" i="5"/>
  <c r="AE35" i="5" s="1"/>
  <c r="D539" i="11"/>
  <c r="E139" i="11"/>
  <c r="F139" i="11"/>
  <c r="D139" i="11"/>
  <c r="D152" i="11"/>
  <c r="C14" i="6" s="1"/>
  <c r="F14" i="6" s="1"/>
  <c r="I151" i="11"/>
  <c r="H151" i="11"/>
  <c r="I150" i="11"/>
  <c r="H150" i="11"/>
  <c r="K32" i="16"/>
  <c r="I32" i="16"/>
  <c r="AG31" i="5" s="1"/>
  <c r="AH31" i="5" s="1"/>
  <c r="K31" i="16"/>
  <c r="I31" i="16"/>
  <c r="AG30" i="5" s="1"/>
  <c r="AH30" i="5" s="1"/>
  <c r="I12" i="16"/>
  <c r="AG11" i="5" s="1"/>
  <c r="AH11" i="5" s="1"/>
  <c r="K12" i="16"/>
  <c r="I13" i="16"/>
  <c r="AG12" i="5" s="1"/>
  <c r="AH12" i="5" s="1"/>
  <c r="K13" i="16"/>
  <c r="I14" i="16"/>
  <c r="AG13" i="5" s="1"/>
  <c r="AH13" i="5" s="1"/>
  <c r="K14" i="16"/>
  <c r="I15" i="16"/>
  <c r="AG14" i="5" s="1"/>
  <c r="AH14" i="5" s="1"/>
  <c r="K15" i="16"/>
  <c r="I16" i="16"/>
  <c r="AG15" i="5" s="1"/>
  <c r="AH15" i="5" s="1"/>
  <c r="K16" i="16"/>
  <c r="I17" i="16"/>
  <c r="AG16" i="5" s="1"/>
  <c r="AH16" i="5" s="1"/>
  <c r="K17" i="16"/>
  <c r="I18" i="16"/>
  <c r="AG17" i="5" s="1"/>
  <c r="AH17" i="5" s="1"/>
  <c r="K18" i="16"/>
  <c r="I19" i="16"/>
  <c r="AG18" i="5" s="1"/>
  <c r="AH18" i="5" s="1"/>
  <c r="K19" i="16"/>
  <c r="I20" i="16"/>
  <c r="AG19" i="5" s="1"/>
  <c r="AH19" i="5" s="1"/>
  <c r="K20" i="16"/>
  <c r="I21" i="16"/>
  <c r="AG20" i="5" s="1"/>
  <c r="AH20" i="5" s="1"/>
  <c r="K21" i="16"/>
  <c r="I22" i="16"/>
  <c r="AG21" i="5" s="1"/>
  <c r="AH21" i="5" s="1"/>
  <c r="K22" i="16"/>
  <c r="I23" i="16"/>
  <c r="AG22" i="5" s="1"/>
  <c r="AH22" i="5" s="1"/>
  <c r="K23" i="16"/>
  <c r="I24" i="16"/>
  <c r="AG23" i="5" s="1"/>
  <c r="AH23" i="5" s="1"/>
  <c r="K24" i="16"/>
  <c r="I25" i="16"/>
  <c r="AG24" i="5" s="1"/>
  <c r="AH24" i="5" s="1"/>
  <c r="K25" i="16"/>
  <c r="I26" i="16"/>
  <c r="AG25" i="5" s="1"/>
  <c r="AH25" i="5" s="1"/>
  <c r="K26" i="16"/>
  <c r="I27" i="16"/>
  <c r="AG26" i="5" s="1"/>
  <c r="AH26" i="5" s="1"/>
  <c r="K27" i="16"/>
  <c r="I28" i="16"/>
  <c r="AG27" i="5" s="1"/>
  <c r="AH27" i="5" s="1"/>
  <c r="K28" i="16"/>
  <c r="K11" i="16"/>
  <c r="I11" i="16"/>
  <c r="AG10" i="5" s="1"/>
  <c r="AH10" i="5" s="1"/>
  <c r="BV33" i="21"/>
  <c r="BU33" i="21"/>
  <c r="BV32" i="21"/>
  <c r="BU32" i="21"/>
  <c r="BU16" i="21"/>
  <c r="BV16" i="21"/>
  <c r="BU17" i="21"/>
  <c r="BV17" i="21"/>
  <c r="BU18" i="21"/>
  <c r="BV18" i="21"/>
  <c r="BU13" i="21"/>
  <c r="BV13" i="21"/>
  <c r="BU19" i="21"/>
  <c r="BV19" i="21"/>
  <c r="BU20" i="21"/>
  <c r="BV20" i="21"/>
  <c r="BU21" i="21"/>
  <c r="BV21" i="21"/>
  <c r="BU14" i="21"/>
  <c r="BV14" i="21"/>
  <c r="BU22" i="21"/>
  <c r="BV22" i="21"/>
  <c r="BU23" i="21"/>
  <c r="BV23" i="21"/>
  <c r="BU24" i="21"/>
  <c r="BV24" i="21"/>
  <c r="BU25" i="21"/>
  <c r="BV25" i="21"/>
  <c r="BU15" i="21"/>
  <c r="BV15" i="21"/>
  <c r="BU26" i="21"/>
  <c r="BV26" i="21"/>
  <c r="BU27" i="21"/>
  <c r="BV27" i="21"/>
  <c r="BU28" i="21"/>
  <c r="BV28" i="21"/>
  <c r="BU29" i="21"/>
  <c r="BV29" i="21"/>
  <c r="BV12" i="21"/>
  <c r="BU12" i="21"/>
  <c r="BX41" i="21"/>
  <c r="BY41" i="21"/>
  <c r="BY34" i="21"/>
  <c r="BY42" i="21" s="1"/>
  <c r="BX34" i="21"/>
  <c r="BX42" i="21" s="1"/>
  <c r="BW33" i="21"/>
  <c r="BW32" i="21"/>
  <c r="BY30" i="21"/>
  <c r="BX30" i="21"/>
  <c r="BW29" i="21"/>
  <c r="BW28" i="21"/>
  <c r="BW27" i="21"/>
  <c r="BW26" i="21"/>
  <c r="BW15" i="21"/>
  <c r="BW25" i="21"/>
  <c r="BW24" i="21"/>
  <c r="BW23" i="21"/>
  <c r="BW22" i="21"/>
  <c r="BW14" i="21"/>
  <c r="BW21" i="21"/>
  <c r="BW20" i="21"/>
  <c r="BW19" i="21"/>
  <c r="BW13" i="21"/>
  <c r="BW18" i="21"/>
  <c r="BW17" i="21"/>
  <c r="BW16" i="21"/>
  <c r="BW12" i="21"/>
  <c r="BW34" i="21" l="1"/>
  <c r="BW42" i="21" s="1"/>
  <c r="BT17" i="21"/>
  <c r="BT26" i="21"/>
  <c r="BT20" i="21"/>
  <c r="BT23" i="21"/>
  <c r="I40" i="16"/>
  <c r="I33" i="16"/>
  <c r="I41" i="16" s="1"/>
  <c r="BT13" i="21"/>
  <c r="H31" i="16"/>
  <c r="AC30" i="5" s="1"/>
  <c r="AD30" i="5" s="1"/>
  <c r="H27" i="16"/>
  <c r="AC26" i="5" s="1"/>
  <c r="AD26" i="5" s="1"/>
  <c r="H23" i="16"/>
  <c r="AC22" i="5" s="1"/>
  <c r="AD22" i="5" s="1"/>
  <c r="H19" i="16"/>
  <c r="AC18" i="5" s="1"/>
  <c r="AD18" i="5" s="1"/>
  <c r="H15" i="16"/>
  <c r="AC14" i="5" s="1"/>
  <c r="AD14" i="5" s="1"/>
  <c r="J31" i="16"/>
  <c r="J22" i="16"/>
  <c r="J18" i="16"/>
  <c r="J14" i="16"/>
  <c r="H32" i="16"/>
  <c r="AC31" i="5" s="1"/>
  <c r="AD31" i="5" s="1"/>
  <c r="H26" i="16"/>
  <c r="AC25" i="5" s="1"/>
  <c r="AD25" i="5" s="1"/>
  <c r="H22" i="16"/>
  <c r="AC21" i="5" s="1"/>
  <c r="AD21" i="5" s="1"/>
  <c r="H18" i="16"/>
  <c r="AC17" i="5" s="1"/>
  <c r="AD17" i="5" s="1"/>
  <c r="H14" i="16"/>
  <c r="AC13" i="5" s="1"/>
  <c r="AD13" i="5" s="1"/>
  <c r="J32" i="16"/>
  <c r="H11" i="16"/>
  <c r="AC10" i="5" s="1"/>
  <c r="AD10" i="5" s="1"/>
  <c r="J25" i="16"/>
  <c r="J21" i="16"/>
  <c r="J17" i="16"/>
  <c r="J13" i="16"/>
  <c r="J11" i="16"/>
  <c r="H25" i="16"/>
  <c r="AC24" i="5" s="1"/>
  <c r="AD24" i="5" s="1"/>
  <c r="H21" i="16"/>
  <c r="AC20" i="5" s="1"/>
  <c r="AD20" i="5" s="1"/>
  <c r="H17" i="16"/>
  <c r="AC16" i="5" s="1"/>
  <c r="AD16" i="5" s="1"/>
  <c r="H13" i="16"/>
  <c r="AC12" i="5" s="1"/>
  <c r="AD12" i="5" s="1"/>
  <c r="J28" i="16"/>
  <c r="J24" i="16"/>
  <c r="J20" i="16"/>
  <c r="J16" i="16"/>
  <c r="J12" i="16"/>
  <c r="H28" i="16"/>
  <c r="AC27" i="5" s="1"/>
  <c r="AD27" i="5" s="1"/>
  <c r="H24" i="16"/>
  <c r="AC23" i="5" s="1"/>
  <c r="AD23" i="5" s="1"/>
  <c r="H20" i="16"/>
  <c r="AC19" i="5" s="1"/>
  <c r="AD19" i="5" s="1"/>
  <c r="H16" i="16"/>
  <c r="AC15" i="5" s="1"/>
  <c r="AD15" i="5" s="1"/>
  <c r="H12" i="16"/>
  <c r="AC11" i="5" s="1"/>
  <c r="AD11" i="5" s="1"/>
  <c r="BT24" i="21"/>
  <c r="BV34" i="21"/>
  <c r="BV42" i="21" s="1"/>
  <c r="BT33" i="21"/>
  <c r="BW30" i="21"/>
  <c r="BW37" i="21" s="1"/>
  <c r="BY40" i="21"/>
  <c r="BX40" i="21"/>
  <c r="BW41" i="21"/>
  <c r="BX37" i="21"/>
  <c r="BY37" i="21"/>
  <c r="BU34" i="21"/>
  <c r="BU42" i="21" s="1"/>
  <c r="BT18" i="21"/>
  <c r="BT27" i="21"/>
  <c r="BT25" i="21"/>
  <c r="BT14" i="21"/>
  <c r="BT21" i="21"/>
  <c r="BT28" i="21"/>
  <c r="J27" i="16"/>
  <c r="J23" i="16"/>
  <c r="J19" i="16"/>
  <c r="J15" i="16"/>
  <c r="BT29" i="21"/>
  <c r="BT15" i="21"/>
  <c r="BT22" i="21"/>
  <c r="BU41" i="21"/>
  <c r="J26" i="16"/>
  <c r="BT19" i="21"/>
  <c r="BT16" i="21"/>
  <c r="AH32" i="5"/>
  <c r="AG32" i="5"/>
  <c r="AH28" i="5"/>
  <c r="AG28" i="5"/>
  <c r="I29" i="16"/>
  <c r="BV30" i="21"/>
  <c r="BV41" i="21"/>
  <c r="BU30" i="21"/>
  <c r="BT32" i="21"/>
  <c r="BT12" i="21"/>
  <c r="BW40" i="21" l="1"/>
  <c r="AG35" i="5"/>
  <c r="AC32" i="5"/>
  <c r="H33" i="16"/>
  <c r="H41" i="16" s="1"/>
  <c r="AD32" i="5"/>
  <c r="BU37" i="21"/>
  <c r="B70" i="15" s="1"/>
  <c r="AD28" i="5"/>
  <c r="H40" i="16"/>
  <c r="AC28" i="5"/>
  <c r="BT34" i="21"/>
  <c r="BV37" i="21"/>
  <c r="E153" i="11" s="1"/>
  <c r="H29" i="16"/>
  <c r="C71" i="15"/>
  <c r="F153" i="11"/>
  <c r="BY47" i="21"/>
  <c r="C70" i="15"/>
  <c r="BX47" i="21"/>
  <c r="F149" i="11"/>
  <c r="F152" i="11" s="1"/>
  <c r="I14" i="6" s="1"/>
  <c r="G14" i="6" s="1"/>
  <c r="BT30" i="21"/>
  <c r="AH35" i="5"/>
  <c r="AG36" i="5" s="1"/>
  <c r="I39" i="16"/>
  <c r="I36" i="16"/>
  <c r="BV40" i="21"/>
  <c r="BU40" i="21"/>
  <c r="H36" i="16" l="1"/>
  <c r="AC35" i="5"/>
  <c r="E149" i="11"/>
  <c r="G149" i="11" s="1"/>
  <c r="BT37" i="21"/>
  <c r="AD35" i="5"/>
  <c r="H39" i="16"/>
  <c r="B71" i="15"/>
  <c r="E152" i="11"/>
  <c r="EX11" i="5"/>
  <c r="EX12" i="5"/>
  <c r="EX13" i="5"/>
  <c r="EX14" i="5"/>
  <c r="EX15" i="5"/>
  <c r="EX16" i="5"/>
  <c r="EX17" i="5"/>
  <c r="EX18" i="5"/>
  <c r="EX19" i="5"/>
  <c r="EX20" i="5"/>
  <c r="EX21" i="5"/>
  <c r="EX22" i="5"/>
  <c r="EX23" i="5"/>
  <c r="EX24" i="5"/>
  <c r="EX25" i="5"/>
  <c r="EX26" i="5"/>
  <c r="EX27" i="5"/>
  <c r="IW34" i="21"/>
  <c r="IW42" i="21" s="1"/>
  <c r="IU34" i="21"/>
  <c r="IU42" i="21" s="1"/>
  <c r="IV34" i="21"/>
  <c r="IV42" i="21" s="1"/>
  <c r="EX10" i="5"/>
  <c r="AQ32" i="16"/>
  <c r="AQ31" i="16"/>
  <c r="AQ12" i="16"/>
  <c r="EW11" i="5" s="1"/>
  <c r="AQ13" i="16"/>
  <c r="EW12" i="5" s="1"/>
  <c r="AQ14" i="16"/>
  <c r="EW13" i="5" s="1"/>
  <c r="AQ15" i="16"/>
  <c r="EW14" i="5" s="1"/>
  <c r="AQ16" i="16"/>
  <c r="EW15" i="5" s="1"/>
  <c r="AQ17" i="16"/>
  <c r="EW16" i="5" s="1"/>
  <c r="AQ18" i="16"/>
  <c r="EW17" i="5" s="1"/>
  <c r="AQ19" i="16"/>
  <c r="EW18" i="5" s="1"/>
  <c r="AQ20" i="16"/>
  <c r="EW19" i="5" s="1"/>
  <c r="AQ21" i="16"/>
  <c r="EW20" i="5" s="1"/>
  <c r="AQ22" i="16"/>
  <c r="EW21" i="5" s="1"/>
  <c r="AQ23" i="16"/>
  <c r="EW22" i="5" s="1"/>
  <c r="AQ24" i="16"/>
  <c r="EW23" i="5" s="1"/>
  <c r="AQ25" i="16"/>
  <c r="EW24" i="5" s="1"/>
  <c r="AQ26" i="16"/>
  <c r="EW25" i="5" s="1"/>
  <c r="AQ27" i="16"/>
  <c r="EW26" i="5" s="1"/>
  <c r="AQ28" i="16"/>
  <c r="EW27" i="5" s="1"/>
  <c r="AQ11" i="16"/>
  <c r="IO16" i="21"/>
  <c r="IP16" i="21"/>
  <c r="IO17" i="21"/>
  <c r="IP17" i="21"/>
  <c r="IO18" i="21"/>
  <c r="IP18" i="21"/>
  <c r="IO13" i="21"/>
  <c r="IP13" i="21"/>
  <c r="IO19" i="21"/>
  <c r="IP19" i="21"/>
  <c r="IO20" i="21"/>
  <c r="IP20" i="21"/>
  <c r="IO21" i="21"/>
  <c r="IP21" i="21"/>
  <c r="IO14" i="21"/>
  <c r="IP14" i="21"/>
  <c r="IO22" i="21"/>
  <c r="IP22" i="21"/>
  <c r="IO23" i="21"/>
  <c r="IP23" i="21"/>
  <c r="IO24" i="21"/>
  <c r="IP24" i="21"/>
  <c r="IO25" i="21"/>
  <c r="IP25" i="21"/>
  <c r="IO15" i="21"/>
  <c r="IP15" i="21"/>
  <c r="IO26" i="21"/>
  <c r="IP26" i="21"/>
  <c r="IO27" i="21"/>
  <c r="IP27" i="21"/>
  <c r="IO28" i="21"/>
  <c r="IP28" i="21"/>
  <c r="IO29" i="21"/>
  <c r="IP29" i="21"/>
  <c r="IP12" i="21"/>
  <c r="IO12" i="21"/>
  <c r="IS41" i="21"/>
  <c r="IR41" i="21"/>
  <c r="IS34" i="21"/>
  <c r="IS42" i="21" s="1"/>
  <c r="IR34" i="21"/>
  <c r="IR42" i="21" s="1"/>
  <c r="IQ33" i="21"/>
  <c r="IN33" i="21"/>
  <c r="IQ32" i="21"/>
  <c r="IP34" i="21"/>
  <c r="IP42" i="21" s="1"/>
  <c r="IO34" i="21"/>
  <c r="IO42" i="21" s="1"/>
  <c r="IS30" i="21"/>
  <c r="IR30" i="21"/>
  <c r="IR37" i="21" s="1"/>
  <c r="IQ29" i="21"/>
  <c r="IW29" i="21" s="1"/>
  <c r="IQ28" i="21"/>
  <c r="IW28" i="21" s="1"/>
  <c r="IQ27" i="21"/>
  <c r="IQ26" i="21"/>
  <c r="IQ15" i="21"/>
  <c r="IQ25" i="21"/>
  <c r="IW25" i="21" s="1"/>
  <c r="IQ24" i="21"/>
  <c r="IQ23" i="21"/>
  <c r="IW23" i="21" s="1"/>
  <c r="IQ22" i="21"/>
  <c r="IW22" i="21" s="1"/>
  <c r="IQ14" i="21"/>
  <c r="IW14" i="21" s="1"/>
  <c r="IQ21" i="21"/>
  <c r="IW21" i="21" s="1"/>
  <c r="IQ20" i="21"/>
  <c r="IW20" i="21" s="1"/>
  <c r="IQ19" i="21"/>
  <c r="IW19" i="21" s="1"/>
  <c r="IQ13" i="21"/>
  <c r="IW13" i="21" s="1"/>
  <c r="IQ18" i="21"/>
  <c r="IW18" i="21" s="1"/>
  <c r="IQ17" i="21"/>
  <c r="IW17" i="21" s="1"/>
  <c r="IQ16" i="21"/>
  <c r="IW16" i="21" s="1"/>
  <c r="IQ12" i="21"/>
  <c r="IW12" i="21" s="1"/>
  <c r="H149" i="11" l="1"/>
  <c r="IQ34" i="21"/>
  <c r="IQ42" i="21" s="1"/>
  <c r="AC36" i="5"/>
  <c r="IN27" i="21"/>
  <c r="IV27" i="21" s="1"/>
  <c r="EV25" i="5" s="1"/>
  <c r="IN24" i="21"/>
  <c r="IV24" i="21" s="1"/>
  <c r="EV21" i="5" s="1"/>
  <c r="IN18" i="21"/>
  <c r="IV18" i="21" s="1"/>
  <c r="EV13" i="5" s="1"/>
  <c r="IN29" i="21"/>
  <c r="IV29" i="21" s="1"/>
  <c r="IN19" i="21"/>
  <c r="IV19" i="21" s="1"/>
  <c r="EV15" i="5" s="1"/>
  <c r="H152" i="11"/>
  <c r="H14" i="6"/>
  <c r="IN21" i="21"/>
  <c r="IV21" i="21" s="1"/>
  <c r="EV17" i="5" s="1"/>
  <c r="IU14" i="21"/>
  <c r="EY18" i="5" s="1"/>
  <c r="IU16" i="21"/>
  <c r="EY11" i="5" s="1"/>
  <c r="IU29" i="21"/>
  <c r="EY27" i="5" s="1"/>
  <c r="IU22" i="21"/>
  <c r="EY19" i="5" s="1"/>
  <c r="IU25" i="21"/>
  <c r="EY22" i="5" s="1"/>
  <c r="IU28" i="21"/>
  <c r="EY26" i="5" s="1"/>
  <c r="IU19" i="21"/>
  <c r="EY15" i="5" s="1"/>
  <c r="IU23" i="21"/>
  <c r="EY20" i="5" s="1"/>
  <c r="IU21" i="21"/>
  <c r="EY17" i="5" s="1"/>
  <c r="IW27" i="21"/>
  <c r="IU20" i="21"/>
  <c r="EY16" i="5" s="1"/>
  <c r="IW26" i="21"/>
  <c r="IU12" i="21"/>
  <c r="IU13" i="21"/>
  <c r="EY14" i="5" s="1"/>
  <c r="IW15" i="21"/>
  <c r="IU18" i="21"/>
  <c r="EY13" i="5" s="1"/>
  <c r="IU17" i="21"/>
  <c r="EY12" i="5" s="1"/>
  <c r="IW24" i="21"/>
  <c r="IN20" i="21"/>
  <c r="IV20" i="21" s="1"/>
  <c r="EV16" i="5" s="1"/>
  <c r="IN23" i="21"/>
  <c r="IV23" i="21" s="1"/>
  <c r="EV20" i="5" s="1"/>
  <c r="G152" i="11"/>
  <c r="I152" i="11" s="1"/>
  <c r="I149" i="11"/>
  <c r="IN17" i="21"/>
  <c r="IV17" i="21" s="1"/>
  <c r="EV12" i="5" s="1"/>
  <c r="IN26" i="21"/>
  <c r="IV26" i="21" s="1"/>
  <c r="EV24" i="5" s="1"/>
  <c r="IN22" i="21"/>
  <c r="IV22" i="21" s="1"/>
  <c r="EV19" i="5" s="1"/>
  <c r="IN15" i="21"/>
  <c r="IO41" i="21"/>
  <c r="IN16" i="21"/>
  <c r="IT34" i="21"/>
  <c r="IT42" i="21" s="1"/>
  <c r="IN28" i="21"/>
  <c r="IN25" i="21"/>
  <c r="IN14" i="21"/>
  <c r="IN13" i="21"/>
  <c r="IS37" i="21"/>
  <c r="IQ41" i="21"/>
  <c r="IP41" i="21"/>
  <c r="IN12" i="21"/>
  <c r="IN32" i="21"/>
  <c r="IN34" i="21" s="1"/>
  <c r="IN42" i="21" s="1"/>
  <c r="IR40" i="21"/>
  <c r="IS40" i="21"/>
  <c r="IO30" i="21"/>
  <c r="IP30" i="21"/>
  <c r="IQ30" i="21"/>
  <c r="IT29" i="21" l="1"/>
  <c r="EU27" i="5" s="1"/>
  <c r="IT23" i="21"/>
  <c r="EU20" i="5" s="1"/>
  <c r="IT18" i="21"/>
  <c r="EU13" i="5" s="1"/>
  <c r="IT20" i="21"/>
  <c r="EU16" i="5" s="1"/>
  <c r="IT17" i="21"/>
  <c r="EU12" i="5" s="1"/>
  <c r="IU27" i="21"/>
  <c r="EY25" i="5" s="1"/>
  <c r="IU15" i="21"/>
  <c r="EY23" i="5" s="1"/>
  <c r="IW30" i="21"/>
  <c r="IW37" i="21" s="1"/>
  <c r="EY10" i="5"/>
  <c r="IW41" i="21"/>
  <c r="IU24" i="21"/>
  <c r="EY21" i="5" s="1"/>
  <c r="IU26" i="21"/>
  <c r="EY24" i="5" s="1"/>
  <c r="IT26" i="21"/>
  <c r="EU24" i="5" s="1"/>
  <c r="IT24" i="21"/>
  <c r="EU21" i="5" s="1"/>
  <c r="IV16" i="21"/>
  <c r="EV11" i="5" s="1"/>
  <c r="IV14" i="21"/>
  <c r="EV18" i="5" s="1"/>
  <c r="IT27" i="21"/>
  <c r="EU25" i="5" s="1"/>
  <c r="IN41" i="21"/>
  <c r="IV12" i="21"/>
  <c r="IT12" i="21" s="1"/>
  <c r="IV25" i="21"/>
  <c r="EV22" i="5" s="1"/>
  <c r="IT21" i="21"/>
  <c r="EU17" i="5" s="1"/>
  <c r="IV15" i="21"/>
  <c r="EV23" i="5" s="1"/>
  <c r="IV13" i="21"/>
  <c r="EV14" i="5" s="1"/>
  <c r="IV28" i="21"/>
  <c r="EV26" i="5" s="1"/>
  <c r="IT19" i="21"/>
  <c r="EU15" i="5" s="1"/>
  <c r="IT22" i="21"/>
  <c r="EU19" i="5" s="1"/>
  <c r="IN30" i="21"/>
  <c r="IQ37" i="21"/>
  <c r="AR62" i="17" s="1"/>
  <c r="IQ40" i="21"/>
  <c r="IP40" i="21"/>
  <c r="IP37" i="21"/>
  <c r="IO40" i="21"/>
  <c r="IO37" i="21"/>
  <c r="IU41" i="21" l="1"/>
  <c r="IW40" i="21"/>
  <c r="IT14" i="21"/>
  <c r="EU18" i="5" s="1"/>
  <c r="IU30" i="21"/>
  <c r="IU37" i="21" s="1"/>
  <c r="IT28" i="21"/>
  <c r="EU26" i="5" s="1"/>
  <c r="IN40" i="21"/>
  <c r="EU10" i="5"/>
  <c r="IN37" i="21"/>
  <c r="N62" i="17" s="1"/>
  <c r="IV41" i="21"/>
  <c r="EV10" i="5"/>
  <c r="IV30" i="21"/>
  <c r="IV37" i="21" s="1"/>
  <c r="IT15" i="21"/>
  <c r="EU23" i="5" s="1"/>
  <c r="IT13" i="21"/>
  <c r="EU14" i="5" s="1"/>
  <c r="IT25" i="21"/>
  <c r="EU22" i="5" s="1"/>
  <c r="IT16" i="21"/>
  <c r="EU11" i="5" s="1"/>
  <c r="K29" i="5"/>
  <c r="L29" i="5"/>
  <c r="K33" i="5"/>
  <c r="L33" i="5"/>
  <c r="K34" i="5"/>
  <c r="L34" i="5"/>
  <c r="IU40" i="21" l="1"/>
  <c r="IV40" i="21"/>
  <c r="IT41" i="21"/>
  <c r="IT30" i="21"/>
  <c r="IT37" i="21" s="1"/>
  <c r="D12" i="9"/>
  <c r="D22" i="9"/>
  <c r="IT40" i="21" l="1"/>
  <c r="KL11" i="5"/>
  <c r="KN11" i="5"/>
  <c r="KL12" i="5"/>
  <c r="KN12" i="5"/>
  <c r="KL13" i="5"/>
  <c r="KN13" i="5"/>
  <c r="KL14" i="5"/>
  <c r="KN14" i="5"/>
  <c r="KL15" i="5"/>
  <c r="KN15" i="5"/>
  <c r="KL16" i="5"/>
  <c r="KN16" i="5"/>
  <c r="KL17" i="5"/>
  <c r="KN17" i="5"/>
  <c r="KL18" i="5"/>
  <c r="KN18" i="5"/>
  <c r="KL19" i="5"/>
  <c r="KN19" i="5"/>
  <c r="KL20" i="5"/>
  <c r="KN20" i="5"/>
  <c r="KL21" i="5"/>
  <c r="KN21" i="5"/>
  <c r="KL22" i="5"/>
  <c r="KN22" i="5"/>
  <c r="KL23" i="5"/>
  <c r="KN23" i="5"/>
  <c r="KL24" i="5"/>
  <c r="KN24" i="5"/>
  <c r="KL25" i="5"/>
  <c r="KN25" i="5"/>
  <c r="KL26" i="5"/>
  <c r="KN26" i="5"/>
  <c r="KL27" i="5"/>
  <c r="KN27" i="5"/>
  <c r="KN10" i="5"/>
  <c r="BM31" i="17" l="1"/>
  <c r="BN31" i="17"/>
  <c r="BM32" i="17"/>
  <c r="BN32" i="17"/>
  <c r="D76" i="11" l="1"/>
  <c r="D73" i="11"/>
  <c r="ER45" i="21" l="1"/>
  <c r="ER41" i="21"/>
  <c r="ES41" i="21"/>
  <c r="ES34" i="21"/>
  <c r="ES42" i="21" s="1"/>
  <c r="ER34" i="21"/>
  <c r="ER42" i="21" s="1"/>
  <c r="ES30" i="21"/>
  <c r="ES40" i="21" s="1"/>
  <c r="ER30" i="21"/>
  <c r="ER40" i="21" s="1"/>
  <c r="ES37" i="21" l="1"/>
  <c r="ES47" i="21" s="1"/>
  <c r="ER37" i="21"/>
  <c r="ER47" i="21" s="1"/>
  <c r="U31" i="18" l="1"/>
  <c r="AI32" i="16" l="1"/>
  <c r="AI31" i="16"/>
  <c r="AI12" i="16"/>
  <c r="AI13" i="16"/>
  <c r="AI14" i="16"/>
  <c r="AI15" i="16"/>
  <c r="AI16" i="16"/>
  <c r="AI17" i="16"/>
  <c r="AI18" i="16"/>
  <c r="AI19" i="16"/>
  <c r="AI20" i="16"/>
  <c r="AI21" i="16"/>
  <c r="AI22" i="16"/>
  <c r="AI23" i="16"/>
  <c r="AI24" i="16"/>
  <c r="AI25" i="16"/>
  <c r="AI26" i="16"/>
  <c r="AI27" i="16"/>
  <c r="AI28" i="16"/>
  <c r="AI11" i="16"/>
  <c r="GF33" i="21"/>
  <c r="GE33" i="21"/>
  <c r="GF32" i="21"/>
  <c r="GE32" i="21"/>
  <c r="GE16" i="21"/>
  <c r="GF16" i="21"/>
  <c r="GE17" i="21"/>
  <c r="GF17" i="21"/>
  <c r="GE18" i="21"/>
  <c r="GF18" i="21"/>
  <c r="GE13" i="21"/>
  <c r="GF13" i="21"/>
  <c r="GE19" i="21"/>
  <c r="GF19" i="21"/>
  <c r="GE20" i="21"/>
  <c r="GF20" i="21"/>
  <c r="GE21" i="21"/>
  <c r="GF21" i="21"/>
  <c r="GE14" i="21"/>
  <c r="GF14" i="21"/>
  <c r="GE22" i="21"/>
  <c r="GF22" i="21"/>
  <c r="GE23" i="21"/>
  <c r="GF23" i="21"/>
  <c r="GE24" i="21"/>
  <c r="GF24" i="21"/>
  <c r="GE25" i="21"/>
  <c r="GF25" i="21"/>
  <c r="GE15" i="21"/>
  <c r="GF15" i="21"/>
  <c r="GE26" i="21"/>
  <c r="GF26" i="21"/>
  <c r="GE27" i="21"/>
  <c r="GF27" i="21"/>
  <c r="GE28" i="21"/>
  <c r="GF28" i="21"/>
  <c r="GE29" i="21"/>
  <c r="GF29" i="21"/>
  <c r="GF12" i="21"/>
  <c r="GE12" i="21"/>
  <c r="GH41" i="21"/>
  <c r="GI41" i="21"/>
  <c r="GI34" i="21"/>
  <c r="GI42" i="21" s="1"/>
  <c r="GH34" i="21"/>
  <c r="GH42" i="21" s="1"/>
  <c r="GG33" i="21"/>
  <c r="GM33" i="21" s="1"/>
  <c r="GK33" i="21" s="1"/>
  <c r="GG32" i="21"/>
  <c r="GG34" i="21" s="1"/>
  <c r="GG42" i="21" s="1"/>
  <c r="GI30" i="21"/>
  <c r="GI37" i="21" s="1"/>
  <c r="GH30" i="21"/>
  <c r="GG29" i="21"/>
  <c r="GM29" i="21" s="1"/>
  <c r="GK29" i="21" s="1"/>
  <c r="GG28" i="21"/>
  <c r="GM28" i="21" s="1"/>
  <c r="GK28" i="21" s="1"/>
  <c r="GG27" i="21"/>
  <c r="GG26" i="21"/>
  <c r="GM26" i="21" s="1"/>
  <c r="GK26" i="21" s="1"/>
  <c r="GG15" i="21"/>
  <c r="GG25" i="21"/>
  <c r="GM25" i="21" s="1"/>
  <c r="GK25" i="21" s="1"/>
  <c r="GG24" i="21"/>
  <c r="GM24" i="21" s="1"/>
  <c r="GG23" i="21"/>
  <c r="GM23" i="21" s="1"/>
  <c r="GK23" i="21" s="1"/>
  <c r="GG22" i="21"/>
  <c r="GG14" i="21"/>
  <c r="GM14" i="21" s="1"/>
  <c r="GK14" i="21" s="1"/>
  <c r="GG21" i="21"/>
  <c r="GG20" i="21"/>
  <c r="GM20" i="21" s="1"/>
  <c r="GK20" i="21" s="1"/>
  <c r="GG19" i="21"/>
  <c r="GG13" i="21"/>
  <c r="GM13" i="21" s="1"/>
  <c r="GK13" i="21" s="1"/>
  <c r="GG18" i="21"/>
  <c r="GG17" i="21"/>
  <c r="GM17" i="21" s="1"/>
  <c r="GG16" i="21"/>
  <c r="GM16" i="21" s="1"/>
  <c r="GK16" i="21" s="1"/>
  <c r="GG12" i="21"/>
  <c r="GH37" i="21" l="1"/>
  <c r="GG41" i="21"/>
  <c r="GK24" i="21"/>
  <c r="GM19" i="21"/>
  <c r="GK19" i="21" s="1"/>
  <c r="GI40" i="21"/>
  <c r="GM27" i="21"/>
  <c r="GK27" i="21" s="1"/>
  <c r="GM32" i="21"/>
  <c r="GK32" i="21" s="1"/>
  <c r="GK34" i="21" s="1"/>
  <c r="GK42" i="21" s="1"/>
  <c r="GH40" i="21"/>
  <c r="GM22" i="21"/>
  <c r="GK22" i="21" s="1"/>
  <c r="GM18" i="21"/>
  <c r="GK18" i="21" s="1"/>
  <c r="GM15" i="21"/>
  <c r="GK15" i="21" s="1"/>
  <c r="GD20" i="21"/>
  <c r="GL20" i="21" s="1"/>
  <c r="GJ20" i="21" s="1"/>
  <c r="GG30" i="21"/>
  <c r="GG37" i="21" s="1"/>
  <c r="AR61" i="17" s="1"/>
  <c r="GM12" i="21"/>
  <c r="GM21" i="21"/>
  <c r="GK21" i="21" s="1"/>
  <c r="GD22" i="21"/>
  <c r="GL22" i="21" s="1"/>
  <c r="GD29" i="21"/>
  <c r="GL29" i="21" s="1"/>
  <c r="GJ29" i="21" s="1"/>
  <c r="GD15" i="21"/>
  <c r="GL15" i="21" s="1"/>
  <c r="GJ15" i="21" s="1"/>
  <c r="GD19" i="21"/>
  <c r="GL19" i="21" s="1"/>
  <c r="GJ19" i="21" s="1"/>
  <c r="GD16" i="21"/>
  <c r="GL16" i="21" s="1"/>
  <c r="GJ16" i="21" s="1"/>
  <c r="GD24" i="21"/>
  <c r="GL24" i="21" s="1"/>
  <c r="GJ24" i="21" s="1"/>
  <c r="GD33" i="21"/>
  <c r="GL33" i="21" s="1"/>
  <c r="GJ33" i="21" s="1"/>
  <c r="GD18" i="21"/>
  <c r="GL18" i="21" s="1"/>
  <c r="GJ18" i="21" s="1"/>
  <c r="GD21" i="21"/>
  <c r="GL21" i="21" s="1"/>
  <c r="GJ21" i="21" s="1"/>
  <c r="GD27" i="21"/>
  <c r="GL27" i="21" s="1"/>
  <c r="GJ27" i="21" s="1"/>
  <c r="GE34" i="21"/>
  <c r="GE42" i="21" s="1"/>
  <c r="GD14" i="21"/>
  <c r="GL14" i="21" s="1"/>
  <c r="GJ14" i="21" s="1"/>
  <c r="GD13" i="21"/>
  <c r="GL13" i="21" s="1"/>
  <c r="GJ13" i="21" s="1"/>
  <c r="GD26" i="21"/>
  <c r="GL26" i="21" s="1"/>
  <c r="GJ26" i="21" s="1"/>
  <c r="GD23" i="21"/>
  <c r="GL23" i="21" s="1"/>
  <c r="GJ23" i="21" s="1"/>
  <c r="GD17" i="21"/>
  <c r="GL17" i="21" s="1"/>
  <c r="GD28" i="21"/>
  <c r="GL28" i="21" s="1"/>
  <c r="GJ28" i="21" s="1"/>
  <c r="GF34" i="21"/>
  <c r="GF42" i="21" s="1"/>
  <c r="GE41" i="21"/>
  <c r="GF41" i="21"/>
  <c r="GF30" i="21"/>
  <c r="GK17" i="21"/>
  <c r="GD25" i="21"/>
  <c r="GE30" i="21"/>
  <c r="GD32" i="21"/>
  <c r="GD12" i="21"/>
  <c r="GM34" i="21" l="1"/>
  <c r="GM42" i="21" s="1"/>
  <c r="GJ22" i="21"/>
  <c r="GG40" i="21"/>
  <c r="GK12" i="21"/>
  <c r="GM41" i="21"/>
  <c r="GM30" i="21"/>
  <c r="GJ17" i="21"/>
  <c r="GF37" i="21"/>
  <c r="GE37" i="21"/>
  <c r="GD34" i="21"/>
  <c r="GD42" i="21" s="1"/>
  <c r="GL32" i="21"/>
  <c r="GL34" i="21" s="1"/>
  <c r="GL42" i="21" s="1"/>
  <c r="GL25" i="21"/>
  <c r="GJ25" i="21" s="1"/>
  <c r="GF40" i="21"/>
  <c r="GD30" i="21"/>
  <c r="GL12" i="21"/>
  <c r="GD41" i="21"/>
  <c r="GE40" i="21"/>
  <c r="GM37" i="21" l="1"/>
  <c r="GM40" i="21"/>
  <c r="GK41" i="21"/>
  <c r="GK30" i="21"/>
  <c r="GD37" i="21"/>
  <c r="N61" i="17" s="1"/>
  <c r="GJ32" i="21"/>
  <c r="GJ34" i="21" s="1"/>
  <c r="GJ42" i="21" s="1"/>
  <c r="GD40" i="21"/>
  <c r="GJ12" i="21"/>
  <c r="GL41" i="21"/>
  <c r="GL30" i="21"/>
  <c r="GL37" i="21" s="1"/>
  <c r="GK37" i="21" l="1"/>
  <c r="GK40" i="21"/>
  <c r="GL40" i="21"/>
  <c r="GJ41" i="21"/>
  <c r="GJ30" i="21"/>
  <c r="GJ37" i="21" s="1"/>
  <c r="GJ40" i="21" l="1"/>
  <c r="X29" i="20" l="1"/>
  <c r="X28" i="20"/>
  <c r="X12" i="20"/>
  <c r="X13" i="20"/>
  <c r="X14" i="20"/>
  <c r="X9" i="20"/>
  <c r="X15" i="20"/>
  <c r="X16" i="20"/>
  <c r="X17" i="20"/>
  <c r="X10" i="20"/>
  <c r="X18" i="20"/>
  <c r="X19" i="20"/>
  <c r="X20" i="20"/>
  <c r="X21" i="20"/>
  <c r="X11" i="20"/>
  <c r="X22" i="20"/>
  <c r="X23" i="20"/>
  <c r="X24" i="20"/>
  <c r="X25" i="20"/>
  <c r="X8" i="20"/>
  <c r="Y37" i="20"/>
  <c r="Y30" i="20"/>
  <c r="Y38" i="20" s="1"/>
  <c r="Y26" i="20"/>
  <c r="D175" i="11"/>
  <c r="C19" i="6" s="1"/>
  <c r="F19" i="6" s="1"/>
  <c r="I174" i="11"/>
  <c r="H174" i="11"/>
  <c r="I173" i="11"/>
  <c r="H173" i="11"/>
  <c r="Y33" i="20" l="1"/>
  <c r="Y43" i="20" s="1"/>
  <c r="Y45" i="20" s="1"/>
  <c r="X30" i="20"/>
  <c r="X38" i="20" s="1"/>
  <c r="X26" i="20"/>
  <c r="X37" i="20"/>
  <c r="Y36" i="20"/>
  <c r="F172" i="11" l="1"/>
  <c r="F175" i="11" s="1"/>
  <c r="I19" i="6" s="1"/>
  <c r="G19" i="6" s="1"/>
  <c r="X33" i="20"/>
  <c r="X43" i="20" s="1"/>
  <c r="X36" i="20"/>
  <c r="E172" i="11" l="1"/>
  <c r="H172" i="11" s="1"/>
  <c r="G172" i="11" l="1"/>
  <c r="G175" i="11" s="1"/>
  <c r="E175" i="11"/>
  <c r="H19" i="6" s="1"/>
  <c r="D49" i="9"/>
  <c r="I172" i="11" l="1"/>
  <c r="CA47" i="21"/>
  <c r="TB45" i="21"/>
  <c r="SZ45" i="21"/>
  <c r="SX45" i="21"/>
  <c r="SH45" i="21"/>
  <c r="RB45" i="21"/>
  <c r="QV45" i="21"/>
  <c r="PV45" i="21"/>
  <c r="OO45" i="21"/>
  <c r="OG45" i="21"/>
  <c r="NH45" i="21"/>
  <c r="NE45" i="21"/>
  <c r="NC45" i="21"/>
  <c r="LT45" i="21"/>
  <c r="KP45" i="21"/>
  <c r="KN45" i="21"/>
  <c r="JH45" i="21"/>
  <c r="JB45" i="21"/>
  <c r="IL45" i="21"/>
  <c r="HN45" i="21"/>
  <c r="HH45" i="21"/>
  <c r="GS45" i="21"/>
  <c r="GB45" i="21"/>
  <c r="FV45" i="21"/>
  <c r="EX45" i="21"/>
  <c r="EL45" i="21"/>
  <c r="DX45" i="21"/>
  <c r="CZ45" i="21"/>
  <c r="CX45" i="21"/>
  <c r="ZY42" i="21"/>
  <c r="ZS42" i="21"/>
  <c r="AAS41" i="21"/>
  <c r="AAR41" i="21"/>
  <c r="AAO41" i="21"/>
  <c r="AAN41" i="21"/>
  <c r="AAM41" i="21"/>
  <c r="AAL41" i="21"/>
  <c r="AAK41" i="21"/>
  <c r="AAJ41" i="21"/>
  <c r="AAG41" i="21"/>
  <c r="AAF41" i="21"/>
  <c r="AAE41" i="21"/>
  <c r="AAD41" i="21"/>
  <c r="AAA41" i="21"/>
  <c r="ZZ41" i="21"/>
  <c r="ZY41" i="21"/>
  <c r="ZW41" i="21"/>
  <c r="ZS41" i="21"/>
  <c r="ZC41" i="21"/>
  <c r="ZB41" i="21"/>
  <c r="ZA41" i="21"/>
  <c r="YY41" i="21"/>
  <c r="YP41" i="21"/>
  <c r="YO41" i="21"/>
  <c r="YN41" i="21"/>
  <c r="YM41" i="21"/>
  <c r="YK41" i="21"/>
  <c r="YJ41" i="21"/>
  <c r="YI41" i="21"/>
  <c r="YH41" i="21"/>
  <c r="XQ41" i="21"/>
  <c r="XM41" i="21"/>
  <c r="XK41" i="21"/>
  <c r="XI41" i="21"/>
  <c r="XH41" i="21"/>
  <c r="XC41" i="21"/>
  <c r="XB41" i="21"/>
  <c r="WW41" i="21"/>
  <c r="WV41" i="21"/>
  <c r="WI41" i="21"/>
  <c r="WH41" i="21"/>
  <c r="WC41" i="21"/>
  <c r="WB41" i="21"/>
  <c r="VW41" i="21"/>
  <c r="VU41" i="21"/>
  <c r="VS41" i="21"/>
  <c r="VQ41" i="21"/>
  <c r="VO41" i="21"/>
  <c r="VK41" i="21"/>
  <c r="US41" i="21"/>
  <c r="UR41" i="21"/>
  <c r="UQ41" i="21"/>
  <c r="UP41" i="21"/>
  <c r="UO41" i="21"/>
  <c r="UN41" i="21"/>
  <c r="TQ41" i="21"/>
  <c r="TP41" i="21"/>
  <c r="TO41" i="21"/>
  <c r="TN41" i="21"/>
  <c r="TM41" i="21"/>
  <c r="TL41" i="21"/>
  <c r="TC41" i="21"/>
  <c r="TB41" i="21"/>
  <c r="TA41" i="21"/>
  <c r="SZ41" i="21"/>
  <c r="SY41" i="21"/>
  <c r="SX41" i="21"/>
  <c r="SO41" i="21"/>
  <c r="SN41" i="21"/>
  <c r="SI41" i="21"/>
  <c r="SH41" i="21"/>
  <c r="SG41" i="21"/>
  <c r="SA41" i="21"/>
  <c r="RZ41" i="21"/>
  <c r="RU41" i="21"/>
  <c r="RT41" i="21"/>
  <c r="RI41" i="21"/>
  <c r="RH41" i="21"/>
  <c r="RC41" i="21"/>
  <c r="RB41" i="21"/>
  <c r="QW41" i="21"/>
  <c r="QV41" i="21"/>
  <c r="QQ41" i="21"/>
  <c r="QP41" i="21"/>
  <c r="QE41" i="21"/>
  <c r="QD41" i="21"/>
  <c r="PO41" i="21"/>
  <c r="PN41" i="21"/>
  <c r="PM41" i="21"/>
  <c r="OY41" i="21"/>
  <c r="OX41" i="21"/>
  <c r="OW41" i="21"/>
  <c r="OQ41" i="21"/>
  <c r="OP41" i="21"/>
  <c r="OO41" i="21"/>
  <c r="OI41" i="21"/>
  <c r="OH41" i="21"/>
  <c r="OG41" i="21"/>
  <c r="OA41" i="21"/>
  <c r="NZ41" i="21"/>
  <c r="NO41" i="21"/>
  <c r="NN41" i="21"/>
  <c r="NG41" i="21"/>
  <c r="NF41" i="21"/>
  <c r="NE41" i="21"/>
  <c r="ND41" i="21"/>
  <c r="NC41" i="21"/>
  <c r="MS41" i="21"/>
  <c r="MR41" i="21"/>
  <c r="MQ41" i="21"/>
  <c r="MC41" i="21"/>
  <c r="MB41" i="21"/>
  <c r="MA41" i="21"/>
  <c r="LU41" i="21"/>
  <c r="LT41" i="21"/>
  <c r="LS41" i="21"/>
  <c r="LM41" i="21"/>
  <c r="LL41" i="21"/>
  <c r="LA41" i="21"/>
  <c r="KZ41" i="21"/>
  <c r="KY41" i="21"/>
  <c r="KX41" i="21"/>
  <c r="KV41" i="21"/>
  <c r="KU41" i="21"/>
  <c r="KQ41" i="21"/>
  <c r="KP41" i="21"/>
  <c r="KO41" i="21"/>
  <c r="KN41" i="21"/>
  <c r="KG41" i="21"/>
  <c r="KF41" i="21"/>
  <c r="JU41" i="21"/>
  <c r="JT41" i="21"/>
  <c r="JO41" i="21"/>
  <c r="JN41" i="21"/>
  <c r="JI41" i="21"/>
  <c r="JH41" i="21"/>
  <c r="JC41" i="21"/>
  <c r="JB41" i="21"/>
  <c r="IM41" i="21"/>
  <c r="IL41" i="21"/>
  <c r="IG41" i="21"/>
  <c r="IF41" i="21"/>
  <c r="HU41" i="21"/>
  <c r="HT41" i="21"/>
  <c r="HO41" i="21"/>
  <c r="HN41" i="21"/>
  <c r="HL41" i="21"/>
  <c r="HK41" i="21"/>
  <c r="HI41" i="21"/>
  <c r="HH41" i="21"/>
  <c r="GY41" i="21"/>
  <c r="GU41" i="21"/>
  <c r="GT41" i="21"/>
  <c r="GS41" i="21"/>
  <c r="GC41" i="21"/>
  <c r="GB41" i="21"/>
  <c r="FW41" i="21"/>
  <c r="FV41" i="21"/>
  <c r="FQ41" i="21"/>
  <c r="FP41" i="21"/>
  <c r="FE41" i="21"/>
  <c r="FD41" i="21"/>
  <c r="EY41" i="21"/>
  <c r="EX41" i="21"/>
  <c r="EM41" i="21"/>
  <c r="EL41" i="21"/>
  <c r="EK41" i="21"/>
  <c r="EE41" i="21"/>
  <c r="ED41" i="21"/>
  <c r="DY41" i="21"/>
  <c r="DX41" i="21"/>
  <c r="DS41" i="21"/>
  <c r="DR41" i="21"/>
  <c r="DQ41" i="21"/>
  <c r="DG41" i="21"/>
  <c r="DF41" i="21"/>
  <c r="DA41" i="21"/>
  <c r="CZ41" i="21"/>
  <c r="CY41" i="21"/>
  <c r="CX41" i="21"/>
  <c r="CW41" i="21"/>
  <c r="CV41" i="21"/>
  <c r="CM41" i="21"/>
  <c r="CL41" i="21"/>
  <c r="CG41" i="21"/>
  <c r="CC41" i="21"/>
  <c r="CA41" i="21"/>
  <c r="BS41" i="21"/>
  <c r="BO41" i="21"/>
  <c r="BM41" i="21"/>
  <c r="BG41" i="21"/>
  <c r="BC41" i="21"/>
  <c r="AY41" i="21"/>
  <c r="AU41" i="21"/>
  <c r="AT41" i="21"/>
  <c r="AM41" i="21"/>
  <c r="AI41" i="21"/>
  <c r="AH41" i="21"/>
  <c r="AC41" i="21"/>
  <c r="AB41" i="21"/>
  <c r="AA41" i="21"/>
  <c r="U41" i="21"/>
  <c r="Q41" i="21"/>
  <c r="O41" i="21"/>
  <c r="O78" i="17" s="1"/>
  <c r="M41" i="21"/>
  <c r="I41" i="21"/>
  <c r="G41" i="21"/>
  <c r="AAU36" i="21"/>
  <c r="AAT36" i="21"/>
  <c r="AAU35" i="21"/>
  <c r="AAT35" i="21"/>
  <c r="AAS34" i="21"/>
  <c r="AAS42" i="21" s="1"/>
  <c r="AAR34" i="21"/>
  <c r="AAR42" i="21" s="1"/>
  <c r="AAQ34" i="21"/>
  <c r="AAQ42" i="21" s="1"/>
  <c r="AAP34" i="21"/>
  <c r="AAP42" i="21" s="1"/>
  <c r="AAO34" i="21"/>
  <c r="AAO42" i="21" s="1"/>
  <c r="AAN34" i="21"/>
  <c r="AAN42" i="21" s="1"/>
  <c r="AAM34" i="21"/>
  <c r="AAM42" i="21" s="1"/>
  <c r="AAL34" i="21"/>
  <c r="AAL42" i="21" s="1"/>
  <c r="AAK34" i="21"/>
  <c r="AAK42" i="21" s="1"/>
  <c r="AAJ34" i="21"/>
  <c r="AAJ42" i="21" s="1"/>
  <c r="AAI34" i="21"/>
  <c r="AAI42" i="21" s="1"/>
  <c r="AAH34" i="21"/>
  <c r="AAH42" i="21" s="1"/>
  <c r="AAG34" i="21"/>
  <c r="AAG42" i="21" s="1"/>
  <c r="AAF34" i="21"/>
  <c r="AAF42" i="21" s="1"/>
  <c r="AAE34" i="21"/>
  <c r="AAE42" i="21" s="1"/>
  <c r="AAD34" i="21"/>
  <c r="AAD42" i="21" s="1"/>
  <c r="AAA34" i="21"/>
  <c r="AAA42" i="21" s="1"/>
  <c r="ZZ34" i="21"/>
  <c r="ZZ42" i="21" s="1"/>
  <c r="ZX34" i="21"/>
  <c r="ZX42" i="21" s="1"/>
  <c r="ZW34" i="21"/>
  <c r="ZW42" i="21" s="1"/>
  <c r="ZU34" i="21"/>
  <c r="ZU42" i="21" s="1"/>
  <c r="ZT34" i="21"/>
  <c r="ZT42" i="21" s="1"/>
  <c r="ZR34" i="21"/>
  <c r="ZR42" i="21" s="1"/>
  <c r="ZQ34" i="21"/>
  <c r="ZQ42" i="21" s="1"/>
  <c r="ZC34" i="21"/>
  <c r="ZC42" i="21" s="1"/>
  <c r="ZB34" i="21"/>
  <c r="ZB42" i="21" s="1"/>
  <c r="ZA34" i="21"/>
  <c r="ZA42" i="21" s="1"/>
  <c r="YZ34" i="21"/>
  <c r="YZ42" i="21" s="1"/>
  <c r="YY34" i="21"/>
  <c r="YY42" i="21" s="1"/>
  <c r="YW34" i="21"/>
  <c r="YW42" i="21" s="1"/>
  <c r="YV34" i="21"/>
  <c r="YV42" i="21" s="1"/>
  <c r="YU34" i="21"/>
  <c r="YU42" i="21" s="1"/>
  <c r="YT34" i="21"/>
  <c r="YT42" i="21" s="1"/>
  <c r="YS34" i="21"/>
  <c r="YS42" i="21" s="1"/>
  <c r="YP34" i="21"/>
  <c r="YP42" i="21" s="1"/>
  <c r="YO34" i="21"/>
  <c r="YO42" i="21" s="1"/>
  <c r="YN34" i="21"/>
  <c r="YN42" i="21" s="1"/>
  <c r="YM34" i="21"/>
  <c r="YM42" i="21" s="1"/>
  <c r="YL34" i="21"/>
  <c r="YL42" i="21" s="1"/>
  <c r="YK34" i="21"/>
  <c r="YK42" i="21" s="1"/>
  <c r="YJ34" i="21"/>
  <c r="YJ42" i="21" s="1"/>
  <c r="YI34" i="21"/>
  <c r="YI42" i="21" s="1"/>
  <c r="YH34" i="21"/>
  <c r="YH42" i="21" s="1"/>
  <c r="XU34" i="21"/>
  <c r="XU42" i="21" s="1"/>
  <c r="XT34" i="21"/>
  <c r="XT42" i="21" s="1"/>
  <c r="XS34" i="21"/>
  <c r="XS42" i="21" s="1"/>
  <c r="XR34" i="21"/>
  <c r="XR42" i="21" s="1"/>
  <c r="XQ34" i="21"/>
  <c r="XQ42" i="21" s="1"/>
  <c r="XO34" i="21"/>
  <c r="XO42" i="21" s="1"/>
  <c r="XM34" i="21"/>
  <c r="XM42" i="21" s="1"/>
  <c r="XI34" i="21"/>
  <c r="XI42" i="21" s="1"/>
  <c r="XH34" i="21"/>
  <c r="XH42" i="21" s="1"/>
  <c r="XC34" i="21"/>
  <c r="XC42" i="21" s="1"/>
  <c r="XB34" i="21"/>
  <c r="XB42" i="21" s="1"/>
  <c r="WW34" i="21"/>
  <c r="WW42" i="21" s="1"/>
  <c r="WV34" i="21"/>
  <c r="WV42" i="21" s="1"/>
  <c r="WI34" i="21"/>
  <c r="WI42" i="21" s="1"/>
  <c r="WH34" i="21"/>
  <c r="WH42" i="21" s="1"/>
  <c r="WC34" i="21"/>
  <c r="WC42" i="21" s="1"/>
  <c r="WB34" i="21"/>
  <c r="WB42" i="21" s="1"/>
  <c r="VW34" i="21"/>
  <c r="VW42" i="21" s="1"/>
  <c r="VU34" i="21"/>
  <c r="VU42" i="21" s="1"/>
  <c r="VS34" i="21"/>
  <c r="VS42" i="21" s="1"/>
  <c r="VQ34" i="21"/>
  <c r="VQ42" i="21" s="1"/>
  <c r="VO34" i="21"/>
  <c r="VO42" i="21" s="1"/>
  <c r="VN34" i="21"/>
  <c r="VN42" i="21" s="1"/>
  <c r="VM34" i="21"/>
  <c r="VM42" i="21" s="1"/>
  <c r="VL34" i="21"/>
  <c r="VL42" i="21" s="1"/>
  <c r="VK34" i="21"/>
  <c r="VK42" i="21" s="1"/>
  <c r="VA34" i="21"/>
  <c r="VA42" i="21" s="1"/>
  <c r="UZ34" i="21"/>
  <c r="UZ42" i="21" s="1"/>
  <c r="UY34" i="21"/>
  <c r="UY42" i="21" s="1"/>
  <c r="UX34" i="21"/>
  <c r="UX42" i="21" s="1"/>
  <c r="UW34" i="21"/>
  <c r="UW42" i="21" s="1"/>
  <c r="UV34" i="21"/>
  <c r="UV42" i="21" s="1"/>
  <c r="US34" i="21"/>
  <c r="US42" i="21" s="1"/>
  <c r="UR34" i="21"/>
  <c r="UR42" i="21" s="1"/>
  <c r="UQ34" i="21"/>
  <c r="UQ42" i="21" s="1"/>
  <c r="UP34" i="21"/>
  <c r="UP42" i="21" s="1"/>
  <c r="UO34" i="21"/>
  <c r="UO42" i="21" s="1"/>
  <c r="UN34" i="21"/>
  <c r="UN42" i="21" s="1"/>
  <c r="UM34" i="21"/>
  <c r="UM42" i="21" s="1"/>
  <c r="UL34" i="21"/>
  <c r="UL42" i="21" s="1"/>
  <c r="UK34" i="21"/>
  <c r="UK42" i="21" s="1"/>
  <c r="UJ34" i="21"/>
  <c r="UJ42" i="21" s="1"/>
  <c r="UI34" i="21"/>
  <c r="UI42" i="21" s="1"/>
  <c r="UH34" i="21"/>
  <c r="UH42" i="21" s="1"/>
  <c r="UG34" i="21"/>
  <c r="UG42" i="21" s="1"/>
  <c r="UF34" i="21"/>
  <c r="UF42" i="21" s="1"/>
  <c r="UE34" i="21"/>
  <c r="UE42" i="21" s="1"/>
  <c r="UD34" i="21"/>
  <c r="UD42" i="21" s="1"/>
  <c r="UC34" i="21"/>
  <c r="UC42" i="21" s="1"/>
  <c r="UB34" i="21"/>
  <c r="UB42" i="21" s="1"/>
  <c r="UA34" i="21"/>
  <c r="UA42" i="21" s="1"/>
  <c r="TZ34" i="21"/>
  <c r="TZ42" i="21" s="1"/>
  <c r="TY34" i="21"/>
  <c r="TY42" i="21" s="1"/>
  <c r="TX34" i="21"/>
  <c r="TX42" i="21" s="1"/>
  <c r="TW34" i="21"/>
  <c r="TW42" i="21" s="1"/>
  <c r="TV34" i="21"/>
  <c r="TV42" i="21" s="1"/>
  <c r="TU34" i="21"/>
  <c r="TU42" i="21" s="1"/>
  <c r="TT34" i="21"/>
  <c r="TT42" i="21" s="1"/>
  <c r="TS34" i="21"/>
  <c r="TS42" i="21" s="1"/>
  <c r="TR34" i="21"/>
  <c r="TR42" i="21" s="1"/>
  <c r="TQ34" i="21"/>
  <c r="TQ42" i="21" s="1"/>
  <c r="TP34" i="21"/>
  <c r="TP42" i="21" s="1"/>
  <c r="TO34" i="21"/>
  <c r="TO42" i="21" s="1"/>
  <c r="TN34" i="21"/>
  <c r="TN42" i="21" s="1"/>
  <c r="TM34" i="21"/>
  <c r="TM42" i="21" s="1"/>
  <c r="TL34" i="21"/>
  <c r="TL42" i="21" s="1"/>
  <c r="TK34" i="21"/>
  <c r="TK42" i="21" s="1"/>
  <c r="TJ34" i="21"/>
  <c r="TJ42" i="21" s="1"/>
  <c r="TI34" i="21"/>
  <c r="TI42" i="21" s="1"/>
  <c r="TH34" i="21"/>
  <c r="TH42" i="21" s="1"/>
  <c r="TG34" i="21"/>
  <c r="TG42" i="21" s="1"/>
  <c r="TF34" i="21"/>
  <c r="TF42" i="21" s="1"/>
  <c r="TE34" i="21"/>
  <c r="TE42" i="21" s="1"/>
  <c r="TD34" i="21"/>
  <c r="TD42" i="21" s="1"/>
  <c r="TC34" i="21"/>
  <c r="TC42" i="21" s="1"/>
  <c r="TB34" i="21"/>
  <c r="TB42" i="21" s="1"/>
  <c r="TA34" i="21"/>
  <c r="TA42" i="21" s="1"/>
  <c r="SZ34" i="21"/>
  <c r="SZ42" i="21" s="1"/>
  <c r="SY34" i="21"/>
  <c r="SY42" i="21" s="1"/>
  <c r="SX34" i="21"/>
  <c r="SX42" i="21" s="1"/>
  <c r="SR34" i="21"/>
  <c r="SR42" i="21" s="1"/>
  <c r="SQ34" i="21"/>
  <c r="SQ42" i="21" s="1"/>
  <c r="SO34" i="21"/>
  <c r="SO42" i="21" s="1"/>
  <c r="SN34" i="21"/>
  <c r="SN42" i="21" s="1"/>
  <c r="SI34" i="21"/>
  <c r="SI42" i="21" s="1"/>
  <c r="SH34" i="21"/>
  <c r="SH42" i="21" s="1"/>
  <c r="SG34" i="21"/>
  <c r="SG42" i="21" s="1"/>
  <c r="SA34" i="21"/>
  <c r="SA42" i="21" s="1"/>
  <c r="RZ34" i="21"/>
  <c r="RZ42" i="21" s="1"/>
  <c r="RU34" i="21"/>
  <c r="RU42" i="21" s="1"/>
  <c r="RT34" i="21"/>
  <c r="RT42" i="21" s="1"/>
  <c r="RR34" i="21"/>
  <c r="RR42" i="21" s="1"/>
  <c r="RQ34" i="21"/>
  <c r="RQ42" i="21" s="1"/>
  <c r="RO34" i="21"/>
  <c r="RO42" i="21" s="1"/>
  <c r="RN34" i="21"/>
  <c r="RN42" i="21" s="1"/>
  <c r="RL34" i="21"/>
  <c r="RL42" i="21" s="1"/>
  <c r="RK34" i="21"/>
  <c r="RK42" i="21" s="1"/>
  <c r="RI34" i="21"/>
  <c r="RI42" i="21" s="1"/>
  <c r="RH34" i="21"/>
  <c r="RH42" i="21" s="1"/>
  <c r="RF34" i="21"/>
  <c r="RF42" i="21" s="1"/>
  <c r="RE34" i="21"/>
  <c r="RE42" i="21" s="1"/>
  <c r="RC34" i="21"/>
  <c r="RC42" i="21" s="1"/>
  <c r="RB34" i="21"/>
  <c r="RB42" i="21" s="1"/>
  <c r="QW34" i="21"/>
  <c r="QW42" i="21" s="1"/>
  <c r="QV34" i="21"/>
  <c r="QV42" i="21" s="1"/>
  <c r="QQ34" i="21"/>
  <c r="QQ42" i="21" s="1"/>
  <c r="QP34" i="21"/>
  <c r="QP42" i="21" s="1"/>
  <c r="QO34" i="21"/>
  <c r="QO42" i="21" s="1"/>
  <c r="QN34" i="21"/>
  <c r="QN42" i="21" s="1"/>
  <c r="QM34" i="21"/>
  <c r="QM42" i="21" s="1"/>
  <c r="QL34" i="21"/>
  <c r="QL42" i="21" s="1"/>
  <c r="QK34" i="21"/>
  <c r="QK42" i="21" s="1"/>
  <c r="QJ34" i="21"/>
  <c r="QJ42" i="21" s="1"/>
  <c r="QI34" i="21"/>
  <c r="QI42" i="21" s="1"/>
  <c r="QH34" i="21"/>
  <c r="QH42" i="21" s="1"/>
  <c r="QG34" i="21"/>
  <c r="QG42" i="21" s="1"/>
  <c r="QF34" i="21"/>
  <c r="QF42" i="21" s="1"/>
  <c r="QE34" i="21"/>
  <c r="QE42" i="21" s="1"/>
  <c r="QD34" i="21"/>
  <c r="QD42" i="21" s="1"/>
  <c r="QC34" i="21"/>
  <c r="QC42" i="21" s="1"/>
  <c r="QB34" i="21"/>
  <c r="QB42" i="21" s="1"/>
  <c r="QA34" i="21"/>
  <c r="QA42" i="21" s="1"/>
  <c r="PZ34" i="21"/>
  <c r="PZ42" i="21" s="1"/>
  <c r="PW34" i="21"/>
  <c r="PW42" i="21" s="1"/>
  <c r="PV34" i="21"/>
  <c r="PV42" i="21" s="1"/>
  <c r="PU34" i="21"/>
  <c r="PU42" i="21" s="1"/>
  <c r="PR34" i="21"/>
  <c r="PR42" i="21" s="1"/>
  <c r="PQ34" i="21"/>
  <c r="PQ42" i="21" s="1"/>
  <c r="PP34" i="21"/>
  <c r="PP42" i="21" s="1"/>
  <c r="PO34" i="21"/>
  <c r="PO42" i="21" s="1"/>
  <c r="PN34" i="21"/>
  <c r="PN42" i="21" s="1"/>
  <c r="PM34" i="21"/>
  <c r="PM42" i="21" s="1"/>
  <c r="PL34" i="21"/>
  <c r="PL42" i="21" s="1"/>
  <c r="PK34" i="21"/>
  <c r="PK42" i="21" s="1"/>
  <c r="PJ34" i="21"/>
  <c r="PJ42" i="21" s="1"/>
  <c r="PI34" i="21"/>
  <c r="PI42" i="21" s="1"/>
  <c r="PH34" i="21"/>
  <c r="PH42" i="21" s="1"/>
  <c r="PG34" i="21"/>
  <c r="PG42" i="21" s="1"/>
  <c r="PF34" i="21"/>
  <c r="PF42" i="21" s="1"/>
  <c r="PE34" i="21"/>
  <c r="PE42" i="21" s="1"/>
  <c r="PD34" i="21"/>
  <c r="PD42" i="21" s="1"/>
  <c r="PC34" i="21"/>
  <c r="PC42" i="21" s="1"/>
  <c r="PB34" i="21"/>
  <c r="PB42" i="21" s="1"/>
  <c r="PA34" i="21"/>
  <c r="PA42" i="21" s="1"/>
  <c r="OZ34" i="21"/>
  <c r="OZ42" i="21" s="1"/>
  <c r="OY34" i="21"/>
  <c r="OY42" i="21" s="1"/>
  <c r="OX34" i="21"/>
  <c r="OX42" i="21" s="1"/>
  <c r="OW34" i="21"/>
  <c r="OW42" i="21" s="1"/>
  <c r="OV34" i="21"/>
  <c r="OV42" i="21" s="1"/>
  <c r="OU34" i="21"/>
  <c r="OU42" i="21" s="1"/>
  <c r="OT34" i="21"/>
  <c r="OT42" i="21" s="1"/>
  <c r="OS34" i="21"/>
  <c r="OS42" i="21" s="1"/>
  <c r="OR34" i="21"/>
  <c r="OR42" i="21" s="1"/>
  <c r="OQ34" i="21"/>
  <c r="OQ42" i="21" s="1"/>
  <c r="OP34" i="21"/>
  <c r="OP42" i="21" s="1"/>
  <c r="OO34" i="21"/>
  <c r="OO42" i="21" s="1"/>
  <c r="OI34" i="21"/>
  <c r="OI42" i="21" s="1"/>
  <c r="OH34" i="21"/>
  <c r="OH42" i="21" s="1"/>
  <c r="OG34" i="21"/>
  <c r="OG42" i="21" s="1"/>
  <c r="OA34" i="21"/>
  <c r="OA42" i="21" s="1"/>
  <c r="NZ34" i="21"/>
  <c r="NZ42" i="21" s="1"/>
  <c r="NX34" i="21"/>
  <c r="NX42" i="21" s="1"/>
  <c r="NW34" i="21"/>
  <c r="NW42" i="21" s="1"/>
  <c r="NU34" i="21"/>
  <c r="NU42" i="21" s="1"/>
  <c r="NT34" i="21"/>
  <c r="NT42" i="21" s="1"/>
  <c r="NR34" i="21"/>
  <c r="NR42" i="21" s="1"/>
  <c r="NQ34" i="21"/>
  <c r="NQ42" i="21" s="1"/>
  <c r="NO34" i="21"/>
  <c r="NO42" i="21" s="1"/>
  <c r="NN34" i="21"/>
  <c r="NN42" i="21" s="1"/>
  <c r="NL34" i="21"/>
  <c r="NL42" i="21" s="1"/>
  <c r="NK34" i="21"/>
  <c r="NK42" i="21" s="1"/>
  <c r="NG34" i="21"/>
  <c r="NG42" i="21" s="1"/>
  <c r="NF34" i="21"/>
  <c r="NF42" i="21" s="1"/>
  <c r="NE34" i="21"/>
  <c r="NE42" i="21" s="1"/>
  <c r="ND34" i="21"/>
  <c r="ND42" i="21" s="1"/>
  <c r="NC34" i="21"/>
  <c r="NC42" i="21" s="1"/>
  <c r="MS34" i="21"/>
  <c r="MS42" i="21" s="1"/>
  <c r="MR34" i="21"/>
  <c r="MR42" i="21" s="1"/>
  <c r="MQ34" i="21"/>
  <c r="MQ42" i="21" s="1"/>
  <c r="MO34" i="21"/>
  <c r="MO42" i="21" s="1"/>
  <c r="MN34" i="21"/>
  <c r="MN42" i="21" s="1"/>
  <c r="MM34" i="21"/>
  <c r="MM42" i="21" s="1"/>
  <c r="MK34" i="21"/>
  <c r="MK42" i="21" s="1"/>
  <c r="MJ34" i="21"/>
  <c r="MJ42" i="21" s="1"/>
  <c r="MI34" i="21"/>
  <c r="MI42" i="21" s="1"/>
  <c r="MG34" i="21"/>
  <c r="MG42" i="21" s="1"/>
  <c r="MF34" i="21"/>
  <c r="MF42" i="21" s="1"/>
  <c r="ME34" i="21"/>
  <c r="ME42" i="21" s="1"/>
  <c r="MC34" i="21"/>
  <c r="MC42" i="21" s="1"/>
  <c r="MB34" i="21"/>
  <c r="MB42" i="21" s="1"/>
  <c r="MA34" i="21"/>
  <c r="MA42" i="21" s="1"/>
  <c r="LZ34" i="21"/>
  <c r="LZ42" i="21" s="1"/>
  <c r="LY34" i="21"/>
  <c r="LY42" i="21" s="1"/>
  <c r="LX34" i="21"/>
  <c r="LX42" i="21" s="1"/>
  <c r="LW34" i="21"/>
  <c r="LW42" i="21" s="1"/>
  <c r="LV34" i="21"/>
  <c r="LV42" i="21" s="1"/>
  <c r="LU34" i="21"/>
  <c r="LU42" i="21" s="1"/>
  <c r="LT34" i="21"/>
  <c r="LT42" i="21" s="1"/>
  <c r="LS34" i="21"/>
  <c r="LS42" i="21" s="1"/>
  <c r="LM34" i="21"/>
  <c r="LM42" i="21" s="1"/>
  <c r="LL34" i="21"/>
  <c r="LL42" i="21" s="1"/>
  <c r="LK34" i="21"/>
  <c r="LK42" i="21" s="1"/>
  <c r="LJ34" i="21"/>
  <c r="LJ42" i="21" s="1"/>
  <c r="LI34" i="21"/>
  <c r="LI42" i="21" s="1"/>
  <c r="LH34" i="21"/>
  <c r="LH42" i="21" s="1"/>
  <c r="LG34" i="21"/>
  <c r="LG42" i="21" s="1"/>
  <c r="LF34" i="21"/>
  <c r="LF42" i="21" s="1"/>
  <c r="LE34" i="21"/>
  <c r="LE42" i="21" s="1"/>
  <c r="LD34" i="21"/>
  <c r="LD42" i="21" s="1"/>
  <c r="LC34" i="21"/>
  <c r="LC42" i="21" s="1"/>
  <c r="LB34" i="21"/>
  <c r="LB42" i="21" s="1"/>
  <c r="LA34" i="21"/>
  <c r="LA42" i="21" s="1"/>
  <c r="KZ34" i="21"/>
  <c r="KZ42" i="21" s="1"/>
  <c r="KY34" i="21"/>
  <c r="KY42" i="21" s="1"/>
  <c r="KX34" i="21"/>
  <c r="KX42" i="21" s="1"/>
  <c r="KW34" i="21"/>
  <c r="KW42" i="21" s="1"/>
  <c r="KV34" i="21"/>
  <c r="KV42" i="21" s="1"/>
  <c r="KU34" i="21"/>
  <c r="KU42" i="21" s="1"/>
  <c r="KT34" i="21"/>
  <c r="KT42" i="21" s="1"/>
  <c r="KS34" i="21"/>
  <c r="KS42" i="21" s="1"/>
  <c r="KR34" i="21"/>
  <c r="KR42" i="21" s="1"/>
  <c r="KQ34" i="21"/>
  <c r="KQ42" i="21" s="1"/>
  <c r="KP34" i="21"/>
  <c r="KP42" i="21" s="1"/>
  <c r="KO34" i="21"/>
  <c r="KO42" i="21" s="1"/>
  <c r="KN34" i="21"/>
  <c r="KN42" i="21" s="1"/>
  <c r="KG34" i="21"/>
  <c r="KG42" i="21" s="1"/>
  <c r="KF34" i="21"/>
  <c r="KF42" i="21" s="1"/>
  <c r="KE34" i="21"/>
  <c r="KE42" i="21" s="1"/>
  <c r="KD34" i="21"/>
  <c r="KD42" i="21" s="1"/>
  <c r="KC34" i="21"/>
  <c r="KC42" i="21" s="1"/>
  <c r="KB34" i="21"/>
  <c r="KB42" i="21" s="1"/>
  <c r="KA34" i="21"/>
  <c r="KA42" i="21" s="1"/>
  <c r="JZ34" i="21"/>
  <c r="JZ42" i="21" s="1"/>
  <c r="JY34" i="21"/>
  <c r="JY42" i="21" s="1"/>
  <c r="JX34" i="21"/>
  <c r="JX42" i="21" s="1"/>
  <c r="JW34" i="21"/>
  <c r="JW42" i="21" s="1"/>
  <c r="JV34" i="21"/>
  <c r="JV42" i="21" s="1"/>
  <c r="JU34" i="21"/>
  <c r="JU42" i="21" s="1"/>
  <c r="JT34" i="21"/>
  <c r="JT42" i="21" s="1"/>
  <c r="JS34" i="21"/>
  <c r="JS42" i="21" s="1"/>
  <c r="JR34" i="21"/>
  <c r="JR42" i="21" s="1"/>
  <c r="JQ34" i="21"/>
  <c r="JQ42" i="21" s="1"/>
  <c r="JP34" i="21"/>
  <c r="JP42" i="21" s="1"/>
  <c r="JO34" i="21"/>
  <c r="JO42" i="21" s="1"/>
  <c r="JN34" i="21"/>
  <c r="JN42" i="21" s="1"/>
  <c r="JI34" i="21"/>
  <c r="JI42" i="21" s="1"/>
  <c r="JH34" i="21"/>
  <c r="JH42" i="21" s="1"/>
  <c r="JC34" i="21"/>
  <c r="JC42" i="21" s="1"/>
  <c r="JB34" i="21"/>
  <c r="JB42" i="21" s="1"/>
  <c r="IM34" i="21"/>
  <c r="IM42" i="21" s="1"/>
  <c r="IL34" i="21"/>
  <c r="IL42" i="21" s="1"/>
  <c r="IG34" i="21"/>
  <c r="IG42" i="21" s="1"/>
  <c r="IF34" i="21"/>
  <c r="IF42" i="21" s="1"/>
  <c r="ID34" i="21"/>
  <c r="ID42" i="21" s="1"/>
  <c r="IC34" i="21"/>
  <c r="IC42" i="21" s="1"/>
  <c r="HU34" i="21"/>
  <c r="HU42" i="21" s="1"/>
  <c r="HT34" i="21"/>
  <c r="HT42" i="21" s="1"/>
  <c r="HR34" i="21"/>
  <c r="HR42" i="21" s="1"/>
  <c r="HQ34" i="21"/>
  <c r="HQ42" i="21" s="1"/>
  <c r="HO34" i="21"/>
  <c r="HO42" i="21" s="1"/>
  <c r="HN34" i="21"/>
  <c r="HN42" i="21" s="1"/>
  <c r="HI34" i="21"/>
  <c r="HI42" i="21" s="1"/>
  <c r="HH34" i="21"/>
  <c r="HH42" i="21" s="1"/>
  <c r="GY34" i="21"/>
  <c r="GY42" i="21" s="1"/>
  <c r="GX34" i="21"/>
  <c r="GX42" i="21" s="1"/>
  <c r="GW34" i="21"/>
  <c r="GW42" i="21" s="1"/>
  <c r="GV34" i="21"/>
  <c r="GV42" i="21" s="1"/>
  <c r="GU34" i="21"/>
  <c r="GU42" i="21" s="1"/>
  <c r="GT34" i="21"/>
  <c r="GT42" i="21" s="1"/>
  <c r="GS34" i="21"/>
  <c r="GS42" i="21" s="1"/>
  <c r="GC34" i="21"/>
  <c r="GC42" i="21" s="1"/>
  <c r="GB34" i="21"/>
  <c r="GB42" i="21" s="1"/>
  <c r="FW34" i="21"/>
  <c r="FW42" i="21" s="1"/>
  <c r="FV34" i="21"/>
  <c r="FV42" i="21" s="1"/>
  <c r="FQ34" i="21"/>
  <c r="FQ42" i="21" s="1"/>
  <c r="FP34" i="21"/>
  <c r="FP42" i="21" s="1"/>
  <c r="FE34" i="21"/>
  <c r="FE42" i="21" s="1"/>
  <c r="FD34" i="21"/>
  <c r="FD42" i="21" s="1"/>
  <c r="FC34" i="21"/>
  <c r="FC42" i="21" s="1"/>
  <c r="FB34" i="21"/>
  <c r="FB42" i="21" s="1"/>
  <c r="FA34" i="21"/>
  <c r="FA42" i="21" s="1"/>
  <c r="EZ34" i="21"/>
  <c r="EZ42" i="21" s="1"/>
  <c r="EY34" i="21"/>
  <c r="EY42" i="21" s="1"/>
  <c r="EX34" i="21"/>
  <c r="EX42" i="21" s="1"/>
  <c r="EM34" i="21"/>
  <c r="EM42" i="21" s="1"/>
  <c r="EL34" i="21"/>
  <c r="EL42" i="21" s="1"/>
  <c r="EK34" i="21"/>
  <c r="EK42" i="21" s="1"/>
  <c r="EE34" i="21"/>
  <c r="EE42" i="21" s="1"/>
  <c r="ED34" i="21"/>
  <c r="ED42" i="21" s="1"/>
  <c r="DY34" i="21"/>
  <c r="DY42" i="21" s="1"/>
  <c r="DX34" i="21"/>
  <c r="DX42" i="21" s="1"/>
  <c r="DS34" i="21"/>
  <c r="DS42" i="21" s="1"/>
  <c r="DQ34" i="21"/>
  <c r="DQ42" i="21" s="1"/>
  <c r="DK34" i="21"/>
  <c r="DK42" i="21" s="1"/>
  <c r="DJ34" i="21"/>
  <c r="DJ42" i="21" s="1"/>
  <c r="DI34" i="21"/>
  <c r="DI42" i="21" s="1"/>
  <c r="DH34" i="21"/>
  <c r="DH42" i="21" s="1"/>
  <c r="DG34" i="21"/>
  <c r="DG42" i="21" s="1"/>
  <c r="DF34" i="21"/>
  <c r="DF42" i="21" s="1"/>
  <c r="DE34" i="21"/>
  <c r="DE42" i="21" s="1"/>
  <c r="DD34" i="21"/>
  <c r="DD42" i="21" s="1"/>
  <c r="DC34" i="21"/>
  <c r="DC42" i="21" s="1"/>
  <c r="DB34" i="21"/>
  <c r="DB42" i="21" s="1"/>
  <c r="DA34" i="21"/>
  <c r="DA42" i="21" s="1"/>
  <c r="CZ34" i="21"/>
  <c r="CZ42" i="21" s="1"/>
  <c r="CY34" i="21"/>
  <c r="CY42" i="21" s="1"/>
  <c r="CX34" i="21"/>
  <c r="CX42" i="21" s="1"/>
  <c r="CW34" i="21"/>
  <c r="CW42" i="21" s="1"/>
  <c r="CV34" i="21"/>
  <c r="CV42" i="21" s="1"/>
  <c r="CM34" i="21"/>
  <c r="CM42" i="21" s="1"/>
  <c r="CL34" i="21"/>
  <c r="CL42" i="21" s="1"/>
  <c r="CG34" i="21"/>
  <c r="CG42" i="21" s="1"/>
  <c r="CF34" i="21"/>
  <c r="CF42" i="21" s="1"/>
  <c r="CE34" i="21"/>
  <c r="CE42" i="21" s="1"/>
  <c r="CD34" i="21"/>
  <c r="CD42" i="21" s="1"/>
  <c r="CC34" i="21"/>
  <c r="CC42" i="21" s="1"/>
  <c r="CB34" i="21"/>
  <c r="CB42" i="21" s="1"/>
  <c r="CA34" i="21"/>
  <c r="CA42" i="21" s="1"/>
  <c r="BS34" i="21"/>
  <c r="BS42" i="21" s="1"/>
  <c r="BR34" i="21"/>
  <c r="BR42" i="21" s="1"/>
  <c r="BQ34" i="21"/>
  <c r="BQ42" i="21" s="1"/>
  <c r="BP34" i="21"/>
  <c r="BP42" i="21" s="1"/>
  <c r="BO34" i="21"/>
  <c r="BO42" i="21" s="1"/>
  <c r="BN34" i="21"/>
  <c r="BN42" i="21" s="1"/>
  <c r="BM34" i="21"/>
  <c r="BM42" i="21" s="1"/>
  <c r="BK34" i="21"/>
  <c r="BK42" i="21" s="1"/>
  <c r="BJ34" i="21"/>
  <c r="BJ42" i="21" s="1"/>
  <c r="BI34" i="21"/>
  <c r="BI42" i="21" s="1"/>
  <c r="BH34" i="21"/>
  <c r="BH42" i="21" s="1"/>
  <c r="BG34" i="21"/>
  <c r="BG42" i="21" s="1"/>
  <c r="BF34" i="21"/>
  <c r="BF42" i="21" s="1"/>
  <c r="BE34" i="21"/>
  <c r="BE42" i="21" s="1"/>
  <c r="BD34" i="21"/>
  <c r="BD42" i="21" s="1"/>
  <c r="BC34" i="21"/>
  <c r="BC42" i="21" s="1"/>
  <c r="AY34" i="21"/>
  <c r="AY42" i="21" s="1"/>
  <c r="AX34" i="21"/>
  <c r="AX42" i="21" s="1"/>
  <c r="AW34" i="21"/>
  <c r="AW42" i="21" s="1"/>
  <c r="AV34" i="21"/>
  <c r="AV42" i="21" s="1"/>
  <c r="AU34" i="21"/>
  <c r="AU42" i="21" s="1"/>
  <c r="AT34" i="21"/>
  <c r="AT42" i="21" s="1"/>
  <c r="AM34" i="21"/>
  <c r="AM42" i="21" s="1"/>
  <c r="AI34" i="21"/>
  <c r="AI42" i="21" s="1"/>
  <c r="AH34" i="21"/>
  <c r="AH42" i="21" s="1"/>
  <c r="AC34" i="21"/>
  <c r="AC42" i="21" s="1"/>
  <c r="AB42" i="21"/>
  <c r="AA34" i="21"/>
  <c r="AA42" i="21" s="1"/>
  <c r="U34" i="21"/>
  <c r="U42" i="21" s="1"/>
  <c r="Q34" i="21"/>
  <c r="Q42" i="21" s="1"/>
  <c r="O34" i="21"/>
  <c r="O42" i="21" s="1"/>
  <c r="M34" i="21"/>
  <c r="M42" i="21" s="1"/>
  <c r="I34" i="21"/>
  <c r="I42" i="21" s="1"/>
  <c r="G34" i="21"/>
  <c r="G42" i="21" s="1"/>
  <c r="AAU33" i="21"/>
  <c r="AAT33" i="21"/>
  <c r="AAC33" i="21"/>
  <c r="AAB33" i="21"/>
  <c r="ZV33" i="21"/>
  <c r="ZP33" i="21"/>
  <c r="ZO33" i="21"/>
  <c r="ZN33" i="21"/>
  <c r="ZM33" i="21"/>
  <c r="ZL33" i="21"/>
  <c r="ZK33" i="21"/>
  <c r="ZI33" i="21"/>
  <c r="ZH33" i="21"/>
  <c r="ZG33" i="21"/>
  <c r="ZF33" i="21"/>
  <c r="ZE33" i="21"/>
  <c r="YX33" i="21"/>
  <c r="YR33" i="21"/>
  <c r="YE33" i="21"/>
  <c r="YD33" i="21"/>
  <c r="YC33" i="21"/>
  <c r="YB33" i="21"/>
  <c r="YA33" i="21"/>
  <c r="XZ33" i="21"/>
  <c r="XY33" i="21"/>
  <c r="XX33" i="21"/>
  <c r="XW33" i="21"/>
  <c r="XP33" i="21"/>
  <c r="XN33" i="21"/>
  <c r="XL33" i="21"/>
  <c r="XK33" i="21"/>
  <c r="XJ33" i="21" s="1"/>
  <c r="XG33" i="21"/>
  <c r="XF33" i="21"/>
  <c r="XE33" i="21"/>
  <c r="XA33" i="21"/>
  <c r="WZ33" i="21"/>
  <c r="WY33" i="21"/>
  <c r="WU33" i="21"/>
  <c r="WT33" i="21"/>
  <c r="WS33" i="21"/>
  <c r="WG33" i="21"/>
  <c r="WF33" i="21"/>
  <c r="WE33" i="21"/>
  <c r="WA33" i="21"/>
  <c r="VZ33" i="21"/>
  <c r="VY33" i="21"/>
  <c r="VV33" i="21"/>
  <c r="VT33" i="21"/>
  <c r="VR33" i="21"/>
  <c r="VP33" i="21"/>
  <c r="VJ33" i="21"/>
  <c r="SW33" i="21"/>
  <c r="SV33" i="21"/>
  <c r="SU33" i="21"/>
  <c r="ST33" i="21"/>
  <c r="SS33" i="21"/>
  <c r="SM33" i="21"/>
  <c r="SL33" i="21"/>
  <c r="SK33" i="21"/>
  <c r="SF33" i="21"/>
  <c r="SE33" i="21"/>
  <c r="SC33" i="21"/>
  <c r="RY33" i="21"/>
  <c r="RX33" i="21"/>
  <c r="RW33" i="21"/>
  <c r="RS33" i="21"/>
  <c r="RP33" i="21"/>
  <c r="RM33" i="21"/>
  <c r="RJ33" i="21"/>
  <c r="RG33" i="21"/>
  <c r="RD33" i="21"/>
  <c r="RA33" i="21"/>
  <c r="QZ33" i="21"/>
  <c r="QY33" i="21"/>
  <c r="QU33" i="21"/>
  <c r="QT33" i="21"/>
  <c r="ON33" i="21"/>
  <c r="OL33" i="21"/>
  <c r="OK33" i="21"/>
  <c r="OF33" i="21"/>
  <c r="OE33" i="21"/>
  <c r="OD33" i="21"/>
  <c r="OC33" i="21"/>
  <c r="NY33" i="21"/>
  <c r="NV33" i="21"/>
  <c r="NS33" i="21"/>
  <c r="NP33" i="21"/>
  <c r="NM33" i="21"/>
  <c r="NJ33" i="21"/>
  <c r="NB33" i="21"/>
  <c r="NA33" i="21"/>
  <c r="MZ33" i="21"/>
  <c r="MY33" i="21"/>
  <c r="MX33" i="21"/>
  <c r="MW33" i="21"/>
  <c r="MV33" i="21"/>
  <c r="MU33" i="21"/>
  <c r="MP33" i="21"/>
  <c r="ML33" i="21"/>
  <c r="MH33" i="21"/>
  <c r="MD33" i="21"/>
  <c r="LR33" i="21"/>
  <c r="LQ33" i="21"/>
  <c r="LP33" i="21"/>
  <c r="LO33" i="21"/>
  <c r="KM33" i="21"/>
  <c r="KJ33" i="21"/>
  <c r="KI33" i="21"/>
  <c r="JM33" i="21"/>
  <c r="JL33" i="21"/>
  <c r="JK33" i="21"/>
  <c r="JG33" i="21"/>
  <c r="JF33" i="21"/>
  <c r="JE33" i="21"/>
  <c r="JA33" i="21"/>
  <c r="IZ33" i="21"/>
  <c r="IY33" i="21"/>
  <c r="IK33" i="21"/>
  <c r="IJ33" i="21"/>
  <c r="AP32" i="16" s="1"/>
  <c r="II33" i="21"/>
  <c r="IE33" i="21"/>
  <c r="IB33" i="21"/>
  <c r="IA33" i="21"/>
  <c r="HZ33" i="21"/>
  <c r="HX33" i="21"/>
  <c r="HW33" i="21"/>
  <c r="HS33" i="21"/>
  <c r="HP33" i="21"/>
  <c r="HM33" i="21"/>
  <c r="HL33" i="21"/>
  <c r="HK33" i="21"/>
  <c r="HG33" i="21"/>
  <c r="HF33" i="21"/>
  <c r="HE33" i="21"/>
  <c r="HC33" i="21"/>
  <c r="HA33" i="21" s="1"/>
  <c r="HB33" i="21"/>
  <c r="GZ33" i="21" s="1"/>
  <c r="GR33" i="21"/>
  <c r="GA33" i="21"/>
  <c r="FZ33" i="21"/>
  <c r="AH32" i="16" s="1"/>
  <c r="FY33" i="21"/>
  <c r="FU33" i="21"/>
  <c r="FT33" i="21"/>
  <c r="FS33" i="21"/>
  <c r="FO33" i="21"/>
  <c r="FN33" i="21"/>
  <c r="FH33" i="21" s="1"/>
  <c r="FM33" i="21"/>
  <c r="FG33" i="21" s="1"/>
  <c r="FK33" i="21"/>
  <c r="FJ33" i="21"/>
  <c r="EW33" i="21"/>
  <c r="EV33" i="21"/>
  <c r="EU33" i="21"/>
  <c r="EQ33" i="21"/>
  <c r="EP33" i="21"/>
  <c r="EO33" i="21"/>
  <c r="EJ33" i="21"/>
  <c r="EI33" i="21"/>
  <c r="EH33" i="21"/>
  <c r="EG33" i="21"/>
  <c r="EC33" i="21"/>
  <c r="EB33" i="21"/>
  <c r="EA33" i="21"/>
  <c r="DW33" i="21"/>
  <c r="DV33" i="21"/>
  <c r="DU33" i="21"/>
  <c r="DO33" i="21"/>
  <c r="DN33" i="21"/>
  <c r="DR33" i="21" s="1"/>
  <c r="DR34" i="21" s="1"/>
  <c r="DR42" i="21" s="1"/>
  <c r="DM33" i="21"/>
  <c r="CU33" i="21"/>
  <c r="CP33" i="21"/>
  <c r="CO33" i="21"/>
  <c r="CK33" i="21"/>
  <c r="CJ33" i="21"/>
  <c r="CI33" i="21"/>
  <c r="BZ33" i="21"/>
  <c r="BL33" i="21"/>
  <c r="BB33" i="21"/>
  <c r="AS33" i="21"/>
  <c r="AR33" i="21"/>
  <c r="AQ33" i="21"/>
  <c r="AL33" i="21"/>
  <c r="AG33" i="21"/>
  <c r="AK33" i="21" s="1"/>
  <c r="Z33" i="21"/>
  <c r="T33" i="21"/>
  <c r="S33" i="21"/>
  <c r="P33" i="21"/>
  <c r="L33" i="21"/>
  <c r="K33" i="21"/>
  <c r="H33" i="21"/>
  <c r="F33" i="21"/>
  <c r="AAU32" i="21"/>
  <c r="AAT32" i="21"/>
  <c r="AAC32" i="21"/>
  <c r="AAC34" i="21" s="1"/>
  <c r="AAC42" i="21" s="1"/>
  <c r="AAB32" i="21"/>
  <c r="ZV32" i="21"/>
  <c r="ZV34" i="21" s="1"/>
  <c r="ZV42" i="21" s="1"/>
  <c r="ZP32" i="21"/>
  <c r="ZO32" i="21"/>
  <c r="ZN32" i="21"/>
  <c r="ZM32" i="21"/>
  <c r="ZL32" i="21"/>
  <c r="ZK32" i="21"/>
  <c r="ZI32" i="21"/>
  <c r="ZH32" i="21"/>
  <c r="ZG32" i="21"/>
  <c r="ZF32" i="21"/>
  <c r="ZE32" i="21"/>
  <c r="YX32" i="21"/>
  <c r="YR32" i="21"/>
  <c r="YE32" i="21"/>
  <c r="YD32" i="21"/>
  <c r="YC32" i="21"/>
  <c r="YB32" i="21"/>
  <c r="YA32" i="21"/>
  <c r="XZ32" i="21"/>
  <c r="XY32" i="21"/>
  <c r="XW32" i="21"/>
  <c r="XP32" i="21"/>
  <c r="XN32" i="21"/>
  <c r="XL32" i="21"/>
  <c r="XL34" i="21" s="1"/>
  <c r="XL42" i="21" s="1"/>
  <c r="XK32" i="21"/>
  <c r="XG32" i="21"/>
  <c r="XF32" i="21"/>
  <c r="XE32" i="21"/>
  <c r="XA32" i="21"/>
  <c r="WZ32" i="21"/>
  <c r="WY32" i="21"/>
  <c r="WU32" i="21"/>
  <c r="WT32" i="21"/>
  <c r="WS32" i="21"/>
  <c r="WG32" i="21"/>
  <c r="WF32" i="21"/>
  <c r="WA32" i="21"/>
  <c r="VZ32" i="21"/>
  <c r="VY32" i="21"/>
  <c r="VV32" i="21"/>
  <c r="VT32" i="21"/>
  <c r="VR32" i="21"/>
  <c r="VP32" i="21"/>
  <c r="VJ32" i="21"/>
  <c r="VG32" i="21"/>
  <c r="SW32" i="21"/>
  <c r="SV32" i="21"/>
  <c r="SU32" i="21"/>
  <c r="ST32" i="21"/>
  <c r="SS32" i="21"/>
  <c r="SM32" i="21"/>
  <c r="SM34" i="21" s="1"/>
  <c r="SM42" i="21" s="1"/>
  <c r="SL32" i="21"/>
  <c r="SK32" i="21"/>
  <c r="SF32" i="21"/>
  <c r="SE32" i="21"/>
  <c r="SC32" i="21"/>
  <c r="RY32" i="21"/>
  <c r="RY34" i="21" s="1"/>
  <c r="RY42" i="21" s="1"/>
  <c r="RX32" i="21"/>
  <c r="RW32" i="21"/>
  <c r="RS32" i="21"/>
  <c r="RP32" i="21"/>
  <c r="RM32" i="21"/>
  <c r="RJ32" i="21"/>
  <c r="RJ34" i="21" s="1"/>
  <c r="RJ42" i="21" s="1"/>
  <c r="RG32" i="21"/>
  <c r="RG34" i="21" s="1"/>
  <c r="RG42" i="21" s="1"/>
  <c r="RD32" i="21"/>
  <c r="RA32" i="21"/>
  <c r="QZ32" i="21"/>
  <c r="QY32" i="21"/>
  <c r="QU32" i="21"/>
  <c r="QT32" i="21"/>
  <c r="QS32" i="21"/>
  <c r="ON32" i="21"/>
  <c r="OM32" i="21"/>
  <c r="OL32" i="21"/>
  <c r="OK32" i="21"/>
  <c r="OF32" i="21"/>
  <c r="OE32" i="21"/>
  <c r="OD32" i="21"/>
  <c r="OC32" i="21"/>
  <c r="NY32" i="21"/>
  <c r="NV32" i="21"/>
  <c r="NV34" i="21" s="1"/>
  <c r="NV42" i="21" s="1"/>
  <c r="NS32" i="21"/>
  <c r="NS34" i="21" s="1"/>
  <c r="NS42" i="21" s="1"/>
  <c r="NP32" i="21"/>
  <c r="NP34" i="21" s="1"/>
  <c r="NP42" i="21" s="1"/>
  <c r="NM32" i="21"/>
  <c r="NJ32" i="21"/>
  <c r="NA32" i="21"/>
  <c r="NI32" i="21" s="1"/>
  <c r="NI34" i="21" s="1"/>
  <c r="NI42" i="21" s="1"/>
  <c r="MZ32" i="21"/>
  <c r="MY32" i="21"/>
  <c r="MX32" i="21"/>
  <c r="MW32" i="21"/>
  <c r="MV32" i="21"/>
  <c r="MU32" i="21"/>
  <c r="MP32" i="21"/>
  <c r="ML32" i="21"/>
  <c r="MH32" i="21"/>
  <c r="MD32" i="21"/>
  <c r="LR32" i="21"/>
  <c r="LR34" i="21" s="1"/>
  <c r="LR42" i="21" s="1"/>
  <c r="LQ32" i="21"/>
  <c r="LP32" i="21"/>
  <c r="LO32" i="21"/>
  <c r="KM32" i="21"/>
  <c r="KJ32" i="21"/>
  <c r="KI32" i="21"/>
  <c r="JM32" i="21"/>
  <c r="JM34" i="21" s="1"/>
  <c r="JM42" i="21" s="1"/>
  <c r="JL32" i="21"/>
  <c r="JK32" i="21"/>
  <c r="JG32" i="21"/>
  <c r="JF32" i="21"/>
  <c r="JA32" i="21"/>
  <c r="IZ32" i="21"/>
  <c r="IY32" i="21"/>
  <c r="IK32" i="21"/>
  <c r="IK34" i="21" s="1"/>
  <c r="IK42" i="21" s="1"/>
  <c r="IJ32" i="21"/>
  <c r="AP31" i="16" s="1"/>
  <c r="II32" i="21"/>
  <c r="IE32" i="21"/>
  <c r="IB32" i="21"/>
  <c r="IA32" i="21"/>
  <c r="HZ32" i="21"/>
  <c r="HX32" i="21"/>
  <c r="HX34" i="21" s="1"/>
  <c r="HX42" i="21" s="1"/>
  <c r="HW32" i="21"/>
  <c r="HS32" i="21"/>
  <c r="HS34" i="21" s="1"/>
  <c r="HS42" i="21" s="1"/>
  <c r="HP32" i="21"/>
  <c r="HM32" i="21"/>
  <c r="HL32" i="21"/>
  <c r="HK32" i="21"/>
  <c r="HG32" i="21"/>
  <c r="HF32" i="21"/>
  <c r="HE32" i="21"/>
  <c r="HC32" i="21"/>
  <c r="HB32" i="21"/>
  <c r="GZ32" i="21" s="1"/>
  <c r="GR32" i="21"/>
  <c r="GQ32" i="21"/>
  <c r="GP32" i="21"/>
  <c r="GO32" i="21"/>
  <c r="GA32" i="21"/>
  <c r="FZ32" i="21"/>
  <c r="AH31" i="16" s="1"/>
  <c r="FY32" i="21"/>
  <c r="FU32" i="21"/>
  <c r="FU34" i="21" s="1"/>
  <c r="FU42" i="21" s="1"/>
  <c r="FT32" i="21"/>
  <c r="FS32" i="21"/>
  <c r="FO32" i="21"/>
  <c r="FO34" i="21" s="1"/>
  <c r="FO42" i="21" s="1"/>
  <c r="FN32" i="21"/>
  <c r="FM32" i="21"/>
  <c r="FK32" i="21"/>
  <c r="FJ32" i="21"/>
  <c r="EW32" i="21"/>
  <c r="EV32" i="21"/>
  <c r="EU32" i="21"/>
  <c r="EQ32" i="21"/>
  <c r="EP32" i="21"/>
  <c r="EO32" i="21"/>
  <c r="EJ32" i="21"/>
  <c r="EI32" i="21"/>
  <c r="EH32" i="21"/>
  <c r="EG32" i="21"/>
  <c r="EC32" i="21"/>
  <c r="EB32" i="21"/>
  <c r="EA32" i="21"/>
  <c r="DW32" i="21"/>
  <c r="DV32" i="21"/>
  <c r="DU32" i="21"/>
  <c r="DP32" i="21"/>
  <c r="DO32" i="21"/>
  <c r="DN32" i="21"/>
  <c r="DM32" i="21"/>
  <c r="CU32" i="21"/>
  <c r="CT32" i="21"/>
  <c r="CS32" i="21"/>
  <c r="CP32" i="21"/>
  <c r="CO32" i="21"/>
  <c r="CK32" i="21"/>
  <c r="CJ32" i="21"/>
  <c r="CI32" i="21"/>
  <c r="BZ32" i="21"/>
  <c r="BL32" i="21"/>
  <c r="BB32" i="21"/>
  <c r="BB34" i="21" s="1"/>
  <c r="BB42" i="21" s="1"/>
  <c r="BA32" i="21"/>
  <c r="AS32" i="21"/>
  <c r="AR32" i="21"/>
  <c r="AQ32" i="21"/>
  <c r="AL32" i="21"/>
  <c r="AG32" i="21"/>
  <c r="AG34" i="21" s="1"/>
  <c r="AG42" i="21" s="1"/>
  <c r="Z32" i="21"/>
  <c r="T32" i="21"/>
  <c r="S32" i="21"/>
  <c r="S34" i="21" s="1"/>
  <c r="S42" i="21" s="1"/>
  <c r="P32" i="21"/>
  <c r="L32" i="21"/>
  <c r="K32" i="21"/>
  <c r="H32" i="21"/>
  <c r="F32" i="21"/>
  <c r="AAU31" i="21"/>
  <c r="AAT31" i="21"/>
  <c r="AAS30" i="21"/>
  <c r="AAR30" i="21"/>
  <c r="AAO30" i="21"/>
  <c r="AAN30" i="21"/>
  <c r="AAM30" i="21"/>
  <c r="AAL30" i="21"/>
  <c r="AAK30" i="21"/>
  <c r="AAJ30" i="21"/>
  <c r="AAG30" i="21"/>
  <c r="AAF30" i="21"/>
  <c r="AAE30" i="21"/>
  <c r="AAD30" i="21"/>
  <c r="AAA30" i="21"/>
  <c r="ZZ30" i="21"/>
  <c r="ZZ40" i="21" s="1"/>
  <c r="ZY30" i="21"/>
  <c r="ZY40" i="21" s="1"/>
  <c r="ZW30" i="21"/>
  <c r="ZW37" i="21" s="1"/>
  <c r="ZS30" i="21"/>
  <c r="ZC30" i="21"/>
  <c r="ZB30" i="21"/>
  <c r="ZA30" i="21"/>
  <c r="YY30" i="21"/>
  <c r="YP30" i="21"/>
  <c r="YO30" i="21"/>
  <c r="YN30" i="21"/>
  <c r="YM30" i="21"/>
  <c r="YK30" i="21"/>
  <c r="YJ30" i="21"/>
  <c r="YI30" i="21"/>
  <c r="YH30" i="21"/>
  <c r="YH40" i="21" s="1"/>
  <c r="XQ30" i="21"/>
  <c r="XM30" i="21"/>
  <c r="XK30" i="21"/>
  <c r="XI30" i="21"/>
  <c r="XH30" i="21"/>
  <c r="XC30" i="21"/>
  <c r="XB30" i="21"/>
  <c r="WW30" i="21"/>
  <c r="WV30" i="21"/>
  <c r="WI30" i="21"/>
  <c r="WC30" i="21"/>
  <c r="WB30" i="21"/>
  <c r="VW30" i="21"/>
  <c r="VU30" i="21"/>
  <c r="VS30" i="21"/>
  <c r="VQ30" i="21"/>
  <c r="VK30" i="21"/>
  <c r="US30" i="21"/>
  <c r="UR30" i="21"/>
  <c r="UQ30" i="21"/>
  <c r="UP30" i="21"/>
  <c r="UO30" i="21"/>
  <c r="UN30" i="21"/>
  <c r="TQ30" i="21"/>
  <c r="TP30" i="21"/>
  <c r="TO30" i="21"/>
  <c r="TN30" i="21"/>
  <c r="TM30" i="21"/>
  <c r="TM37" i="21" s="1"/>
  <c r="TL30" i="21"/>
  <c r="TC30" i="21"/>
  <c r="TB30" i="21"/>
  <c r="TA30" i="21"/>
  <c r="SZ30" i="21"/>
  <c r="SY30" i="21"/>
  <c r="SX30" i="21"/>
  <c r="SO30" i="21"/>
  <c r="SN30" i="21"/>
  <c r="SI30" i="21"/>
  <c r="SH30" i="21"/>
  <c r="SH40" i="21" s="1"/>
  <c r="SG30" i="21"/>
  <c r="SA30" i="21"/>
  <c r="RZ30" i="21"/>
  <c r="RU30" i="21"/>
  <c r="RT30" i="21"/>
  <c r="RI30" i="21"/>
  <c r="RH30" i="21"/>
  <c r="RC30" i="21"/>
  <c r="RB30" i="21"/>
  <c r="QW30" i="21"/>
  <c r="QV30" i="21"/>
  <c r="QQ30" i="21"/>
  <c r="QP30" i="21"/>
  <c r="QE30" i="21"/>
  <c r="QD30" i="21"/>
  <c r="PW30" i="21"/>
  <c r="PW40" i="21" s="1"/>
  <c r="PV30" i="21"/>
  <c r="PV40" i="21" s="1"/>
  <c r="PO30" i="21"/>
  <c r="PN30" i="21"/>
  <c r="PM30" i="21"/>
  <c r="OY30" i="21"/>
  <c r="OX30" i="21"/>
  <c r="OW30" i="21"/>
  <c r="OQ30" i="21"/>
  <c r="OP30" i="21"/>
  <c r="OO30" i="21"/>
  <c r="OI30" i="21"/>
  <c r="OH30" i="21"/>
  <c r="OG30" i="21"/>
  <c r="NG30" i="21"/>
  <c r="NF30" i="21"/>
  <c r="NE30" i="21"/>
  <c r="ND30" i="21"/>
  <c r="NC30" i="21"/>
  <c r="MS30" i="21"/>
  <c r="MR30" i="21"/>
  <c r="MR40" i="21" s="1"/>
  <c r="MQ30" i="21"/>
  <c r="MC30" i="21"/>
  <c r="MB30" i="21"/>
  <c r="MA30" i="21"/>
  <c r="LU30" i="21"/>
  <c r="LT30" i="21"/>
  <c r="LS30" i="21"/>
  <c r="LS37" i="21" s="1"/>
  <c r="LS47" i="21" s="1"/>
  <c r="LM30" i="21"/>
  <c r="LL30" i="21"/>
  <c r="LL40" i="21" s="1"/>
  <c r="LA30" i="21"/>
  <c r="KZ30" i="21"/>
  <c r="KY30" i="21"/>
  <c r="KX30" i="21"/>
  <c r="KV30" i="21"/>
  <c r="KV40" i="21" s="1"/>
  <c r="KU30" i="21"/>
  <c r="KQ30" i="21"/>
  <c r="KP30" i="21"/>
  <c r="KO30" i="21"/>
  <c r="KN30" i="21"/>
  <c r="KG30" i="21"/>
  <c r="KF30" i="21"/>
  <c r="JU30" i="21"/>
  <c r="JT30" i="21"/>
  <c r="JT40" i="21" s="1"/>
  <c r="JO30" i="21"/>
  <c r="JN30" i="21"/>
  <c r="JI30" i="21"/>
  <c r="JH30" i="21"/>
  <c r="JC30" i="21"/>
  <c r="JB30" i="21"/>
  <c r="IM30" i="21"/>
  <c r="IL30" i="21"/>
  <c r="HU30" i="21"/>
  <c r="HT30" i="21"/>
  <c r="HO30" i="21"/>
  <c r="HN30" i="21"/>
  <c r="HL30" i="21"/>
  <c r="HK30" i="21"/>
  <c r="HI30" i="21"/>
  <c r="HH30" i="21"/>
  <c r="GY30" i="21"/>
  <c r="GU30" i="21"/>
  <c r="GT30" i="21"/>
  <c r="GS30" i="21"/>
  <c r="GC30" i="21"/>
  <c r="GB30" i="21"/>
  <c r="FW30" i="21"/>
  <c r="FV30" i="21"/>
  <c r="FQ30" i="21"/>
  <c r="FP30" i="21"/>
  <c r="EY30" i="21"/>
  <c r="EX30" i="21"/>
  <c r="EM30" i="21"/>
  <c r="EL30" i="21"/>
  <c r="EK30" i="21"/>
  <c r="EE30" i="21"/>
  <c r="ED30" i="21"/>
  <c r="DY30" i="21"/>
  <c r="DX30" i="21"/>
  <c r="DS30" i="21"/>
  <c r="DQ30" i="21"/>
  <c r="DG30" i="21"/>
  <c r="DF30" i="21"/>
  <c r="DA30" i="21"/>
  <c r="CZ30" i="21"/>
  <c r="CZ37" i="21" s="1"/>
  <c r="CY30" i="21"/>
  <c r="CX30" i="21"/>
  <c r="CW30" i="21"/>
  <c r="CV30" i="21"/>
  <c r="CM30" i="21"/>
  <c r="CL30" i="21"/>
  <c r="CG30" i="21"/>
  <c r="CC30" i="21"/>
  <c r="CA30" i="21"/>
  <c r="BS30" i="21"/>
  <c r="BO30" i="21"/>
  <c r="BM30" i="21"/>
  <c r="BG30" i="21"/>
  <c r="BC30" i="21"/>
  <c r="AY30" i="21"/>
  <c r="AU30" i="21"/>
  <c r="AT30" i="21"/>
  <c r="AI30" i="21"/>
  <c r="AH30" i="21"/>
  <c r="AC30" i="21"/>
  <c r="AA30" i="21"/>
  <c r="U30" i="21"/>
  <c r="Q30" i="21"/>
  <c r="O30" i="21"/>
  <c r="O40" i="21" s="1"/>
  <c r="M30" i="21"/>
  <c r="I30" i="21"/>
  <c r="G30" i="21"/>
  <c r="AAU29" i="21"/>
  <c r="AAT29" i="21"/>
  <c r="AAQ29" i="21"/>
  <c r="AAP29" i="21"/>
  <c r="AAI29" i="21"/>
  <c r="AAH29" i="21"/>
  <c r="ZT29" i="21"/>
  <c r="ZR29" i="21"/>
  <c r="ZQ29" i="21"/>
  <c r="ZO29" i="21"/>
  <c r="ZN29" i="21"/>
  <c r="ZM29" i="21"/>
  <c r="ZK29" i="21"/>
  <c r="YW29" i="21"/>
  <c r="YU29" i="21"/>
  <c r="ZG29" i="21" s="1"/>
  <c r="YT29" i="21"/>
  <c r="YZ29" i="21" s="1"/>
  <c r="YS29" i="21"/>
  <c r="YE29" i="21"/>
  <c r="YD29" i="21"/>
  <c r="YC29" i="21"/>
  <c r="YB29" i="21"/>
  <c r="YA29" i="21"/>
  <c r="XZ29" i="21"/>
  <c r="XY29" i="21"/>
  <c r="XX29" i="21"/>
  <c r="XW29" i="21"/>
  <c r="XP29" i="21"/>
  <c r="XO29" i="21"/>
  <c r="XN29" i="21" s="1"/>
  <c r="XL29" i="21"/>
  <c r="XJ29" i="21"/>
  <c r="XG29" i="21"/>
  <c r="XF29" i="21"/>
  <c r="XE29" i="21"/>
  <c r="XA29" i="21"/>
  <c r="WZ29" i="21"/>
  <c r="WY29" i="21"/>
  <c r="WU29" i="21"/>
  <c r="WT29" i="21"/>
  <c r="WS29" i="21"/>
  <c r="WG29" i="21"/>
  <c r="WF29" i="21"/>
  <c r="WA29" i="21"/>
  <c r="VZ29" i="21"/>
  <c r="VY29" i="21"/>
  <c r="VV29" i="21"/>
  <c r="VT29" i="21"/>
  <c r="VR29" i="21"/>
  <c r="VP29" i="21"/>
  <c r="VN29" i="21"/>
  <c r="VL29" i="21"/>
  <c r="VJ29" i="21"/>
  <c r="UM29" i="21"/>
  <c r="UL29" i="21"/>
  <c r="UK29" i="21"/>
  <c r="UJ29" i="21"/>
  <c r="UI29" i="21"/>
  <c r="UH29" i="21"/>
  <c r="KJ27" i="5" s="1"/>
  <c r="UG29" i="21"/>
  <c r="UE29" i="21"/>
  <c r="UD29" i="21"/>
  <c r="UC29" i="21"/>
  <c r="UB29" i="21"/>
  <c r="UA29" i="21"/>
  <c r="KM27" i="5" s="1"/>
  <c r="TZ29" i="21"/>
  <c r="TK29" i="21"/>
  <c r="TJ29" i="21"/>
  <c r="TI29" i="21"/>
  <c r="TH29" i="21"/>
  <c r="TG29" i="21"/>
  <c r="TF29" i="21"/>
  <c r="TE29" i="21"/>
  <c r="SW29" i="21"/>
  <c r="SV29" i="21"/>
  <c r="SU29" i="21"/>
  <c r="ST29" i="21"/>
  <c r="SS29" i="21"/>
  <c r="SR29" i="21"/>
  <c r="KH27" i="5" s="1"/>
  <c r="SQ29" i="21"/>
  <c r="SM29" i="21"/>
  <c r="SL29" i="21"/>
  <c r="SK29" i="21"/>
  <c r="SF29" i="21"/>
  <c r="SE29" i="21"/>
  <c r="SD29" i="21"/>
  <c r="SC29" i="21"/>
  <c r="RY29" i="21"/>
  <c r="RX29" i="21"/>
  <c r="RW29" i="21"/>
  <c r="RS29" i="21"/>
  <c r="RR29" i="21"/>
  <c r="RQ29" i="21"/>
  <c r="RO29" i="21"/>
  <c r="RN29" i="21"/>
  <c r="RG29" i="21"/>
  <c r="RF29" i="21"/>
  <c r="RE29" i="21"/>
  <c r="RA29" i="21"/>
  <c r="QZ29" i="21"/>
  <c r="QY29" i="21"/>
  <c r="QU29" i="21"/>
  <c r="QT29" i="21"/>
  <c r="QS29" i="21"/>
  <c r="QO29" i="21"/>
  <c r="QN29" i="21"/>
  <c r="QM29" i="21"/>
  <c r="QK29" i="21"/>
  <c r="QJ29" i="21"/>
  <c r="QC29" i="21"/>
  <c r="QB29" i="21"/>
  <c r="QA29" i="21"/>
  <c r="PR29" i="21"/>
  <c r="PQ29" i="21"/>
  <c r="PL29" i="21"/>
  <c r="PK29" i="21"/>
  <c r="PJ29" i="21"/>
  <c r="PI29" i="21"/>
  <c r="PG29" i="21"/>
  <c r="PF29" i="21"/>
  <c r="PE29" i="21"/>
  <c r="OV29" i="21"/>
  <c r="OT29" i="21"/>
  <c r="OS29" i="21"/>
  <c r="ON29" i="21"/>
  <c r="OM29" i="21"/>
  <c r="OL29" i="21"/>
  <c r="OK29" i="21"/>
  <c r="OF29" i="21"/>
  <c r="OE29" i="21"/>
  <c r="OD29" i="21"/>
  <c r="OC29" i="21"/>
  <c r="NY29" i="21"/>
  <c r="NX29" i="21"/>
  <c r="NW29" i="21"/>
  <c r="NU29" i="21"/>
  <c r="NT29" i="21"/>
  <c r="NM29" i="21"/>
  <c r="NL29" i="21"/>
  <c r="NK29" i="21"/>
  <c r="NA29" i="21"/>
  <c r="NI29" i="21" s="1"/>
  <c r="MZ29" i="21"/>
  <c r="MY29" i="21"/>
  <c r="MX29" i="21"/>
  <c r="MW29" i="21"/>
  <c r="MV29" i="21"/>
  <c r="MU29" i="21"/>
  <c r="MP29" i="21"/>
  <c r="MO29" i="21"/>
  <c r="MN29" i="21"/>
  <c r="MM29" i="21"/>
  <c r="MK29" i="21"/>
  <c r="MJ29" i="21"/>
  <c r="MI29" i="21"/>
  <c r="LZ29" i="21"/>
  <c r="LY29" i="21"/>
  <c r="LX29" i="21"/>
  <c r="LW29" i="21"/>
  <c r="LR29" i="21"/>
  <c r="LQ29" i="21"/>
  <c r="LP29" i="21"/>
  <c r="LO29" i="21"/>
  <c r="LK29" i="21"/>
  <c r="LJ29" i="21"/>
  <c r="LI29" i="21"/>
  <c r="LG29" i="21"/>
  <c r="LF29" i="21"/>
  <c r="KW29" i="21"/>
  <c r="KT29" i="21"/>
  <c r="KS29" i="21"/>
  <c r="KM29" i="21"/>
  <c r="KJ29" i="21"/>
  <c r="KI29" i="21"/>
  <c r="KE29" i="21"/>
  <c r="KD29" i="21"/>
  <c r="KC29" i="21"/>
  <c r="KA29" i="21"/>
  <c r="JZ29" i="21"/>
  <c r="JS29" i="21"/>
  <c r="JR29" i="21"/>
  <c r="JQ29" i="21"/>
  <c r="JM29" i="21"/>
  <c r="JL29" i="21"/>
  <c r="JK29" i="21"/>
  <c r="JG29" i="21"/>
  <c r="JF29" i="21"/>
  <c r="JE29" i="21"/>
  <c r="JA29" i="21"/>
  <c r="IZ29" i="21"/>
  <c r="IY29" i="21"/>
  <c r="IK29" i="21"/>
  <c r="IJ29" i="21"/>
  <c r="II29" i="21"/>
  <c r="IE29" i="21"/>
  <c r="ID29" i="21"/>
  <c r="IC29" i="21"/>
  <c r="IA29" i="21"/>
  <c r="HZ29" i="21"/>
  <c r="HS29" i="21"/>
  <c r="HR29" i="21"/>
  <c r="HQ29" i="21"/>
  <c r="HM29" i="21"/>
  <c r="HJ29" i="21"/>
  <c r="HG29" i="21"/>
  <c r="HF29" i="21"/>
  <c r="HE29" i="21"/>
  <c r="GX29" i="21"/>
  <c r="GW29" i="21"/>
  <c r="GV29" i="21" s="1"/>
  <c r="GR29" i="21"/>
  <c r="GQ29" i="21"/>
  <c r="GP29" i="21"/>
  <c r="GO29" i="21"/>
  <c r="GA29" i="21"/>
  <c r="FZ29" i="21"/>
  <c r="AH28" i="16" s="1"/>
  <c r="FY29" i="21"/>
  <c r="FU29" i="21"/>
  <c r="FT29" i="21"/>
  <c r="FS29" i="21"/>
  <c r="FO29" i="21"/>
  <c r="FN29" i="21"/>
  <c r="FM29" i="21"/>
  <c r="FK29" i="21"/>
  <c r="FJ29" i="21"/>
  <c r="FC29" i="21"/>
  <c r="FB29" i="21"/>
  <c r="FA29" i="21"/>
  <c r="EW29" i="21"/>
  <c r="EV29" i="21"/>
  <c r="EU29" i="21"/>
  <c r="EQ29" i="21"/>
  <c r="EP29" i="21"/>
  <c r="EO29" i="21"/>
  <c r="EJ29" i="21"/>
  <c r="EI29" i="21"/>
  <c r="EH29" i="21"/>
  <c r="EG29" i="21"/>
  <c r="EC29" i="21"/>
  <c r="EB29" i="21"/>
  <c r="EA29" i="21"/>
  <c r="DW29" i="21"/>
  <c r="DV29" i="21"/>
  <c r="DU29" i="21"/>
  <c r="DO29" i="21"/>
  <c r="DN29" i="21"/>
  <c r="DR29" i="21" s="1"/>
  <c r="DR30" i="21" s="1"/>
  <c r="DM29" i="21"/>
  <c r="DE29" i="21"/>
  <c r="DK29" i="21" s="1"/>
  <c r="DD29" i="21"/>
  <c r="DC29" i="21"/>
  <c r="CU29" i="21"/>
  <c r="CT29" i="21"/>
  <c r="CS29" i="21"/>
  <c r="CR29" i="21"/>
  <c r="CQ29" i="21"/>
  <c r="CP29" i="21"/>
  <c r="CO29" i="21"/>
  <c r="CK29" i="21"/>
  <c r="CJ29" i="21"/>
  <c r="CI29" i="21"/>
  <c r="CF29" i="21"/>
  <c r="CE29" i="21"/>
  <c r="CB29" i="21"/>
  <c r="BZ29" i="21"/>
  <c r="BR29" i="21"/>
  <c r="BQ29" i="21"/>
  <c r="BN29" i="21"/>
  <c r="BL29" i="21"/>
  <c r="BF29" i="21"/>
  <c r="BE29" i="21"/>
  <c r="BD29" i="21" s="1"/>
  <c r="BB29" i="21"/>
  <c r="BA29" i="21"/>
  <c r="AX29" i="21"/>
  <c r="AW29" i="21"/>
  <c r="AS29" i="21"/>
  <c r="AR29" i="21"/>
  <c r="AL29" i="21"/>
  <c r="AM29" i="21" s="1"/>
  <c r="AG29" i="21"/>
  <c r="Z29" i="21"/>
  <c r="T29" i="21"/>
  <c r="S29" i="21"/>
  <c r="N29" i="21"/>
  <c r="L29" i="21"/>
  <c r="K29" i="21"/>
  <c r="H29" i="21"/>
  <c r="F29" i="21"/>
  <c r="AAU28" i="21"/>
  <c r="AAT28" i="21"/>
  <c r="AAQ28" i="21"/>
  <c r="AAP28" i="21"/>
  <c r="AAI28" i="21"/>
  <c r="AAH28" i="21"/>
  <c r="AAB28" i="21" s="1"/>
  <c r="ZT28" i="21"/>
  <c r="ZR28" i="21"/>
  <c r="ZQ28" i="21"/>
  <c r="ZO28" i="21"/>
  <c r="ZN28" i="21"/>
  <c r="ZM28" i="21"/>
  <c r="ZK28" i="21"/>
  <c r="YW28" i="21"/>
  <c r="ZI28" i="21" s="1"/>
  <c r="YV28" i="21"/>
  <c r="ZH28" i="21" s="1"/>
  <c r="YU28" i="21"/>
  <c r="ZG28" i="21" s="1"/>
  <c r="YT28" i="21"/>
  <c r="YZ28" i="21" s="1"/>
  <c r="YS28" i="21"/>
  <c r="YE28" i="21"/>
  <c r="YD28" i="21"/>
  <c r="YC28" i="21"/>
  <c r="YB28" i="21"/>
  <c r="YA28" i="21"/>
  <c r="XZ28" i="21"/>
  <c r="XY28" i="21"/>
  <c r="XW28" i="21"/>
  <c r="XP28" i="21"/>
  <c r="XU28" i="21" s="1"/>
  <c r="XO28" i="21"/>
  <c r="XN28" i="21" s="1"/>
  <c r="XL28" i="21"/>
  <c r="XJ28" i="21"/>
  <c r="XG28" i="21"/>
  <c r="XF28" i="21"/>
  <c r="XE28" i="21"/>
  <c r="XA28" i="21"/>
  <c r="WZ28" i="21"/>
  <c r="WY28" i="21"/>
  <c r="WU28" i="21"/>
  <c r="WT28" i="21"/>
  <c r="WS28" i="21"/>
  <c r="WG28" i="21"/>
  <c r="WF28" i="21"/>
  <c r="WA28" i="21"/>
  <c r="VZ28" i="21"/>
  <c r="VY28" i="21"/>
  <c r="VV28" i="21"/>
  <c r="VT28" i="21"/>
  <c r="VR28" i="21"/>
  <c r="VP28" i="21"/>
  <c r="VN28" i="21"/>
  <c r="VL28" i="21"/>
  <c r="VJ28" i="21"/>
  <c r="UM28" i="21"/>
  <c r="UL28" i="21"/>
  <c r="UK28" i="21"/>
  <c r="UJ28" i="21"/>
  <c r="UI28" i="21"/>
  <c r="UH28" i="21"/>
  <c r="KJ26" i="5" s="1"/>
  <c r="UG28" i="21"/>
  <c r="UE28" i="21"/>
  <c r="UD28" i="21"/>
  <c r="UC28" i="21"/>
  <c r="UB28" i="21"/>
  <c r="UA28" i="21"/>
  <c r="KM26" i="5" s="1"/>
  <c r="TZ28" i="21"/>
  <c r="TK28" i="21"/>
  <c r="TJ28" i="21"/>
  <c r="TI28" i="21"/>
  <c r="TH28" i="21"/>
  <c r="TG28" i="21"/>
  <c r="TF28" i="21"/>
  <c r="TE28" i="21"/>
  <c r="SW28" i="21"/>
  <c r="SV28" i="21"/>
  <c r="SU28" i="21"/>
  <c r="ST28" i="21"/>
  <c r="SS28" i="21"/>
  <c r="SR28" i="21"/>
  <c r="KH26" i="5" s="1"/>
  <c r="SQ28" i="21"/>
  <c r="SM28" i="21"/>
  <c r="SL28" i="21"/>
  <c r="SK28" i="21"/>
  <c r="SF28" i="21"/>
  <c r="SE28" i="21"/>
  <c r="SD28" i="21"/>
  <c r="SC28" i="21"/>
  <c r="RY28" i="21"/>
  <c r="RX28" i="21"/>
  <c r="RW28" i="21"/>
  <c r="RS28" i="21"/>
  <c r="RR28" i="21"/>
  <c r="RQ28" i="21"/>
  <c r="RO28" i="21"/>
  <c r="RN28" i="21"/>
  <c r="RG28" i="21"/>
  <c r="RF28" i="21"/>
  <c r="RE28" i="21"/>
  <c r="RA28" i="21"/>
  <c r="QZ28" i="21"/>
  <c r="QY28" i="21"/>
  <c r="QU28" i="21"/>
  <c r="QT28" i="21"/>
  <c r="QS28" i="21"/>
  <c r="QO28" i="21"/>
  <c r="QN28" i="21"/>
  <c r="QM28" i="21"/>
  <c r="QK28" i="21"/>
  <c r="QJ28" i="21"/>
  <c r="QC28" i="21"/>
  <c r="QB28" i="21"/>
  <c r="QA28" i="21"/>
  <c r="PR28" i="21"/>
  <c r="PQ28" i="21"/>
  <c r="PL28" i="21"/>
  <c r="PK28" i="21"/>
  <c r="PJ28" i="21"/>
  <c r="PI28" i="21"/>
  <c r="PG28" i="21"/>
  <c r="PF28" i="21"/>
  <c r="PE28" i="21"/>
  <c r="OV28" i="21"/>
  <c r="OU28" i="21"/>
  <c r="OT28" i="21"/>
  <c r="OS28" i="21"/>
  <c r="ON28" i="21"/>
  <c r="OM28" i="21"/>
  <c r="OL28" i="21"/>
  <c r="OK28" i="21"/>
  <c r="OF28" i="21"/>
  <c r="OE28" i="21"/>
  <c r="OD28" i="21"/>
  <c r="OC28" i="21"/>
  <c r="NY28" i="21"/>
  <c r="NX28" i="21"/>
  <c r="NW28" i="21"/>
  <c r="NU28" i="21"/>
  <c r="NT28" i="21"/>
  <c r="NM28" i="21"/>
  <c r="NL28" i="21"/>
  <c r="NK28" i="21"/>
  <c r="NA28" i="21"/>
  <c r="NI28" i="21" s="1"/>
  <c r="MZ28" i="21"/>
  <c r="MY28" i="21"/>
  <c r="MX28" i="21"/>
  <c r="MW28" i="21"/>
  <c r="MV28" i="21"/>
  <c r="MU28" i="21"/>
  <c r="MP28" i="21"/>
  <c r="MO28" i="21"/>
  <c r="MN28" i="21"/>
  <c r="MM28" i="21"/>
  <c r="MK28" i="21"/>
  <c r="MJ28" i="21"/>
  <c r="MI28" i="21"/>
  <c r="LZ28" i="21"/>
  <c r="LY28" i="21"/>
  <c r="LX28" i="21"/>
  <c r="LW28" i="21"/>
  <c r="LR28" i="21"/>
  <c r="LQ28" i="21"/>
  <c r="LP28" i="21"/>
  <c r="LO28" i="21"/>
  <c r="LK28" i="21"/>
  <c r="LJ28" i="21"/>
  <c r="LI28" i="21"/>
  <c r="LG28" i="21"/>
  <c r="LF28" i="21"/>
  <c r="KW28" i="21"/>
  <c r="KT28" i="21"/>
  <c r="KS28" i="21"/>
  <c r="KM28" i="21"/>
  <c r="KJ28" i="21"/>
  <c r="KI28" i="21"/>
  <c r="KE28" i="21"/>
  <c r="KD28" i="21"/>
  <c r="KC28" i="21"/>
  <c r="KA28" i="21"/>
  <c r="JZ28" i="21"/>
  <c r="JS28" i="21"/>
  <c r="JR28" i="21"/>
  <c r="JQ28" i="21"/>
  <c r="JM28" i="21"/>
  <c r="JL28" i="21"/>
  <c r="JK28" i="21"/>
  <c r="JG28" i="21"/>
  <c r="JF28" i="21"/>
  <c r="JE28" i="21"/>
  <c r="JA28" i="21"/>
  <c r="IZ28" i="21"/>
  <c r="IY28" i="21"/>
  <c r="IK28" i="21"/>
  <c r="IJ28" i="21"/>
  <c r="II28" i="21"/>
  <c r="IE28" i="21"/>
  <c r="ID28" i="21"/>
  <c r="IC28" i="21"/>
  <c r="IA28" i="21"/>
  <c r="HZ28" i="21"/>
  <c r="HS28" i="21"/>
  <c r="HR28" i="21"/>
  <c r="HQ28" i="21"/>
  <c r="HM28" i="21"/>
  <c r="HJ28" i="21"/>
  <c r="HG28" i="21"/>
  <c r="HF28" i="21"/>
  <c r="HE28" i="21"/>
  <c r="GX28" i="21"/>
  <c r="HC28" i="21" s="1"/>
  <c r="GW28" i="21"/>
  <c r="GV28" i="21" s="1"/>
  <c r="HB28" i="21" s="1"/>
  <c r="GZ28" i="21" s="1"/>
  <c r="GR28" i="21"/>
  <c r="GQ28" i="21"/>
  <c r="GP28" i="21"/>
  <c r="GO28" i="21"/>
  <c r="GA28" i="21"/>
  <c r="FZ28" i="21"/>
  <c r="AH27" i="16" s="1"/>
  <c r="FY28" i="21"/>
  <c r="FU28" i="21"/>
  <c r="FT28" i="21"/>
  <c r="FS28" i="21"/>
  <c r="FO28" i="21"/>
  <c r="FN28" i="21"/>
  <c r="FM28" i="21"/>
  <c r="FK28" i="21"/>
  <c r="FJ28" i="21"/>
  <c r="FC28" i="21"/>
  <c r="FB28" i="21"/>
  <c r="FA28" i="21"/>
  <c r="EW28" i="21"/>
  <c r="EV28" i="21"/>
  <c r="EU28" i="21"/>
  <c r="EQ28" i="21"/>
  <c r="EP28" i="21"/>
  <c r="EO28" i="21"/>
  <c r="EJ28" i="21"/>
  <c r="EI28" i="21"/>
  <c r="EH28" i="21"/>
  <c r="EG28" i="21"/>
  <c r="EC28" i="21"/>
  <c r="EB28" i="21"/>
  <c r="EA28" i="21"/>
  <c r="DW28" i="21"/>
  <c r="DV28" i="21"/>
  <c r="DP28" i="21"/>
  <c r="DO28" i="21"/>
  <c r="DN28" i="21"/>
  <c r="DM28" i="21"/>
  <c r="DE28" i="21"/>
  <c r="DK28" i="21" s="1"/>
  <c r="DD28" i="21"/>
  <c r="DC28" i="21"/>
  <c r="CU28" i="21"/>
  <c r="CT28" i="21"/>
  <c r="CS28" i="21"/>
  <c r="CR28" i="21"/>
  <c r="CQ28" i="21"/>
  <c r="CP28" i="21"/>
  <c r="CO28" i="21"/>
  <c r="CK28" i="21"/>
  <c r="CJ28" i="21"/>
  <c r="CI28" i="21"/>
  <c r="CF28" i="21"/>
  <c r="CE28" i="21"/>
  <c r="CB28" i="21"/>
  <c r="BZ28" i="21"/>
  <c r="BR28" i="21"/>
  <c r="BQ28" i="21"/>
  <c r="BN28" i="21"/>
  <c r="BL28" i="21"/>
  <c r="BF28" i="21"/>
  <c r="BE28" i="21"/>
  <c r="BD28" i="21" s="1"/>
  <c r="BB28" i="21"/>
  <c r="BA28" i="21"/>
  <c r="AX28" i="21"/>
  <c r="AW28" i="21"/>
  <c r="AV28" i="21" s="1"/>
  <c r="AS28" i="21"/>
  <c r="AR28" i="21"/>
  <c r="AQ28" i="21"/>
  <c r="AL28" i="21"/>
  <c r="AG28" i="21"/>
  <c r="AK28" i="21" s="1"/>
  <c r="Z28" i="21"/>
  <c r="T28" i="21"/>
  <c r="S28" i="21"/>
  <c r="P28" i="21"/>
  <c r="N28" i="21"/>
  <c r="L28" i="21"/>
  <c r="K28" i="21"/>
  <c r="H28" i="21"/>
  <c r="F28" i="21"/>
  <c r="AAU27" i="21"/>
  <c r="AAT27" i="21"/>
  <c r="AAQ27" i="21"/>
  <c r="AAP27" i="21"/>
  <c r="AAI27" i="21"/>
  <c r="AAH27" i="21"/>
  <c r="ZT27" i="21"/>
  <c r="ZR27" i="21"/>
  <c r="ZQ27" i="21"/>
  <c r="ZO27" i="21"/>
  <c r="ZN27" i="21"/>
  <c r="ZM27" i="21"/>
  <c r="ZK27" i="21"/>
  <c r="YW27" i="21"/>
  <c r="ZI27" i="21" s="1"/>
  <c r="YV27" i="21"/>
  <c r="YT27" i="21"/>
  <c r="YS27" i="21"/>
  <c r="YE27" i="21"/>
  <c r="YD27" i="21"/>
  <c r="YC27" i="21"/>
  <c r="YB27" i="21"/>
  <c r="YA27" i="21"/>
  <c r="XZ27" i="21"/>
  <c r="XY27" i="21"/>
  <c r="XX27" i="21"/>
  <c r="XW27" i="21"/>
  <c r="XP27" i="21"/>
  <c r="XO27" i="21"/>
  <c r="XN27" i="21" s="1"/>
  <c r="XL27" i="21"/>
  <c r="XJ27" i="21"/>
  <c r="XG27" i="21"/>
  <c r="XF27" i="21"/>
  <c r="XE27" i="21"/>
  <c r="XA27" i="21"/>
  <c r="WZ27" i="21"/>
  <c r="WY27" i="21"/>
  <c r="WU27" i="21"/>
  <c r="WT27" i="21"/>
  <c r="WS27" i="21"/>
  <c r="WG27" i="21"/>
  <c r="WF27" i="21"/>
  <c r="WA27" i="21"/>
  <c r="VZ27" i="21"/>
  <c r="VY27" i="21"/>
  <c r="VV27" i="21"/>
  <c r="VT27" i="21"/>
  <c r="VR27" i="21"/>
  <c r="VP27" i="21"/>
  <c r="VN27" i="21"/>
  <c r="VL27" i="21"/>
  <c r="VJ27" i="21"/>
  <c r="UM27" i="21"/>
  <c r="UL27" i="21"/>
  <c r="UK27" i="21"/>
  <c r="UJ27" i="21"/>
  <c r="UI27" i="21"/>
  <c r="UH27" i="21"/>
  <c r="KJ25" i="5" s="1"/>
  <c r="UG27" i="21"/>
  <c r="UE27" i="21"/>
  <c r="UD27" i="21"/>
  <c r="UC27" i="21"/>
  <c r="UB27" i="21"/>
  <c r="UA27" i="21"/>
  <c r="KM25" i="5" s="1"/>
  <c r="TZ27" i="21"/>
  <c r="TK27" i="21"/>
  <c r="TJ27" i="21"/>
  <c r="TI27" i="21"/>
  <c r="TH27" i="21"/>
  <c r="TG27" i="21"/>
  <c r="TF27" i="21"/>
  <c r="TE27" i="21"/>
  <c r="SW27" i="21"/>
  <c r="SV27" i="21"/>
  <c r="SU27" i="21"/>
  <c r="ST27" i="21"/>
  <c r="SS27" i="21"/>
  <c r="SR27" i="21"/>
  <c r="KH25" i="5" s="1"/>
  <c r="SQ27" i="21"/>
  <c r="SM27" i="21"/>
  <c r="SL27" i="21"/>
  <c r="SK27" i="21"/>
  <c r="SF27" i="21"/>
  <c r="SE27" i="21"/>
  <c r="SD27" i="21"/>
  <c r="SC27" i="21"/>
  <c r="RY27" i="21"/>
  <c r="RX27" i="21"/>
  <c r="RW27" i="21"/>
  <c r="RS27" i="21"/>
  <c r="RR27" i="21"/>
  <c r="RQ27" i="21"/>
  <c r="RO27" i="21"/>
  <c r="RN27" i="21"/>
  <c r="RM27" i="21" s="1"/>
  <c r="RG27" i="21"/>
  <c r="RF27" i="21"/>
  <c r="RE27" i="21"/>
  <c r="RA27" i="21"/>
  <c r="QZ27" i="21"/>
  <c r="QY27" i="21"/>
  <c r="QU27" i="21"/>
  <c r="QT27" i="21"/>
  <c r="QS27" i="21"/>
  <c r="QO27" i="21"/>
  <c r="QN27" i="21"/>
  <c r="QM27" i="21"/>
  <c r="QK27" i="21"/>
  <c r="QJ27" i="21"/>
  <c r="QC27" i="21"/>
  <c r="QB27" i="21"/>
  <c r="QA27" i="21"/>
  <c r="PR27" i="21"/>
  <c r="PQ27" i="21"/>
  <c r="PL27" i="21"/>
  <c r="PK27" i="21"/>
  <c r="PJ27" i="21"/>
  <c r="PI27" i="21"/>
  <c r="PG27" i="21"/>
  <c r="PF27" i="21"/>
  <c r="PE27" i="21"/>
  <c r="OV27" i="21"/>
  <c r="OT27" i="21"/>
  <c r="OS27" i="21"/>
  <c r="ON27" i="21"/>
  <c r="OM27" i="21"/>
  <c r="OL27" i="21"/>
  <c r="OK27" i="21"/>
  <c r="OF27" i="21"/>
  <c r="OE27" i="21"/>
  <c r="OD27" i="21"/>
  <c r="OC27" i="21"/>
  <c r="NX27" i="21"/>
  <c r="NW27" i="21"/>
  <c r="NL27" i="21"/>
  <c r="NO27" i="21" s="1"/>
  <c r="OA27" i="21" s="1"/>
  <c r="NK27" i="21"/>
  <c r="NN27" i="21" s="1"/>
  <c r="NA27" i="21"/>
  <c r="NI27" i="21" s="1"/>
  <c r="MZ27" i="21"/>
  <c r="MY27" i="21"/>
  <c r="MX27" i="21"/>
  <c r="MW27" i="21"/>
  <c r="MV27" i="21"/>
  <c r="MU27" i="21"/>
  <c r="MP27" i="21"/>
  <c r="MO27" i="21"/>
  <c r="MN27" i="21"/>
  <c r="MM27" i="21"/>
  <c r="MK27" i="21"/>
  <c r="MJ27" i="21"/>
  <c r="MI27" i="21"/>
  <c r="LZ27" i="21"/>
  <c r="LY27" i="21"/>
  <c r="LW27" i="21"/>
  <c r="LR27" i="21"/>
  <c r="LQ27" i="21"/>
  <c r="LP27" i="21"/>
  <c r="LO27" i="21"/>
  <c r="LK27" i="21"/>
  <c r="LJ27" i="21"/>
  <c r="LI27" i="21"/>
  <c r="LG27" i="21"/>
  <c r="LF27" i="21"/>
  <c r="KW27" i="21"/>
  <c r="KT27" i="21"/>
  <c r="KS27" i="21"/>
  <c r="KM27" i="21"/>
  <c r="KJ27" i="21"/>
  <c r="KI27" i="21"/>
  <c r="KE27" i="21"/>
  <c r="KD27" i="21"/>
  <c r="KC27" i="21"/>
  <c r="KA27" i="21"/>
  <c r="JZ27" i="21"/>
  <c r="JS27" i="21"/>
  <c r="JR27" i="21"/>
  <c r="JQ27" i="21"/>
  <c r="JM27" i="21"/>
  <c r="JL27" i="21"/>
  <c r="JK27" i="21"/>
  <c r="JG27" i="21"/>
  <c r="JF27" i="21"/>
  <c r="JE27" i="21"/>
  <c r="JA27" i="21"/>
  <c r="IZ27" i="21"/>
  <c r="IY27" i="21"/>
  <c r="IK27" i="21"/>
  <c r="IJ27" i="21"/>
  <c r="II27" i="21"/>
  <c r="IE27" i="21"/>
  <c r="ID27" i="21"/>
  <c r="IC27" i="21"/>
  <c r="IA27" i="21"/>
  <c r="HZ27" i="21"/>
  <c r="HS27" i="21"/>
  <c r="HR27" i="21"/>
  <c r="HQ27" i="21"/>
  <c r="HM27" i="21"/>
  <c r="HJ27" i="21"/>
  <c r="HG27" i="21"/>
  <c r="HF27" i="21"/>
  <c r="HE27" i="21"/>
  <c r="GX27" i="21"/>
  <c r="GW27" i="21"/>
  <c r="GV27" i="21" s="1"/>
  <c r="GR27" i="21"/>
  <c r="GQ27" i="21"/>
  <c r="GP27" i="21"/>
  <c r="GO27" i="21"/>
  <c r="GA27" i="21"/>
  <c r="FZ27" i="21"/>
  <c r="AH26" i="16" s="1"/>
  <c r="FY27" i="21"/>
  <c r="FU27" i="21"/>
  <c r="FT27" i="21"/>
  <c r="FS27" i="21"/>
  <c r="FO27" i="21"/>
  <c r="FN27" i="21"/>
  <c r="FM27" i="21"/>
  <c r="FK27" i="21"/>
  <c r="FJ27" i="21"/>
  <c r="FC27" i="21"/>
  <c r="FB27" i="21"/>
  <c r="FA27" i="21"/>
  <c r="EW27" i="21"/>
  <c r="EV27" i="21"/>
  <c r="EU27" i="21"/>
  <c r="EQ27" i="21"/>
  <c r="EP27" i="21"/>
  <c r="EO27" i="21"/>
  <c r="EJ27" i="21"/>
  <c r="EI27" i="21"/>
  <c r="EH27" i="21"/>
  <c r="EG27" i="21"/>
  <c r="EC27" i="21"/>
  <c r="EB27" i="21"/>
  <c r="EA27" i="21"/>
  <c r="DW27" i="21"/>
  <c r="DV27" i="21"/>
  <c r="DU27" i="21"/>
  <c r="DP27" i="21"/>
  <c r="DO27" i="21"/>
  <c r="DN27" i="21"/>
  <c r="DM27" i="21"/>
  <c r="DE27" i="21"/>
  <c r="DK27" i="21" s="1"/>
  <c r="DI27" i="21" s="1"/>
  <c r="DD27" i="21"/>
  <c r="DC27" i="21"/>
  <c r="CU27" i="21"/>
  <c r="CT27" i="21"/>
  <c r="CS27" i="21"/>
  <c r="CR27" i="21"/>
  <c r="CQ27" i="21"/>
  <c r="CP27" i="21"/>
  <c r="CO27" i="21"/>
  <c r="CK27" i="21"/>
  <c r="CJ27" i="21"/>
  <c r="CI27" i="21"/>
  <c r="CF27" i="21"/>
  <c r="CE27" i="21"/>
  <c r="CB27" i="21"/>
  <c r="BZ27" i="21"/>
  <c r="BR27" i="21"/>
  <c r="BQ27" i="21"/>
  <c r="BN27" i="21"/>
  <c r="BL27" i="21"/>
  <c r="BF27" i="21"/>
  <c r="BE27" i="21"/>
  <c r="BD27" i="21" s="1"/>
  <c r="BB27" i="21"/>
  <c r="BA27" i="21"/>
  <c r="AX27" i="21"/>
  <c r="AW27" i="21"/>
  <c r="AS27" i="21"/>
  <c r="AR27" i="21"/>
  <c r="AQ27" i="21"/>
  <c r="AL27" i="21"/>
  <c r="AG27" i="21"/>
  <c r="AK27" i="21" s="1"/>
  <c r="Z27" i="21"/>
  <c r="T27" i="21"/>
  <c r="S27" i="21"/>
  <c r="L27" i="21"/>
  <c r="K27" i="21"/>
  <c r="H27" i="21"/>
  <c r="F27" i="21"/>
  <c r="AAU26" i="21"/>
  <c r="AAT26" i="21"/>
  <c r="AAQ26" i="21"/>
  <c r="AAP26" i="21"/>
  <c r="AAI26" i="21"/>
  <c r="AAH26" i="21"/>
  <c r="AAB26" i="21" s="1"/>
  <c r="ZT26" i="21"/>
  <c r="ZR26" i="21"/>
  <c r="ZQ26" i="21"/>
  <c r="ZO26" i="21"/>
  <c r="ZN26" i="21"/>
  <c r="ZM26" i="21"/>
  <c r="ZK26" i="21"/>
  <c r="YW26" i="21"/>
  <c r="YU26" i="21"/>
  <c r="ZG26" i="21" s="1"/>
  <c r="YT26" i="21"/>
  <c r="YZ26" i="21" s="1"/>
  <c r="YS26" i="21"/>
  <c r="YE26" i="21"/>
  <c r="YD26" i="21"/>
  <c r="YC26" i="21"/>
  <c r="YB26" i="21"/>
  <c r="YA26" i="21"/>
  <c r="XZ26" i="21"/>
  <c r="XY26" i="21"/>
  <c r="XX26" i="21"/>
  <c r="XW26" i="21"/>
  <c r="XP26" i="21"/>
  <c r="XU26" i="21" s="1"/>
  <c r="XO26" i="21"/>
  <c r="XN26" i="21" s="1"/>
  <c r="XL26" i="21"/>
  <c r="XJ26" i="21"/>
  <c r="XG26" i="21"/>
  <c r="XF26" i="21"/>
  <c r="XE26" i="21"/>
  <c r="XA26" i="21"/>
  <c r="WZ26" i="21"/>
  <c r="WY26" i="21"/>
  <c r="WU26" i="21"/>
  <c r="WT26" i="21"/>
  <c r="WS26" i="21"/>
  <c r="WG26" i="21"/>
  <c r="WF26" i="21"/>
  <c r="WA26" i="21"/>
  <c r="VZ26" i="21"/>
  <c r="VY26" i="21"/>
  <c r="VV26" i="21"/>
  <c r="VT26" i="21"/>
  <c r="VR26" i="21"/>
  <c r="VP26" i="21"/>
  <c r="VN26" i="21"/>
  <c r="VL26" i="21"/>
  <c r="VJ26" i="21"/>
  <c r="UM26" i="21"/>
  <c r="UL26" i="21"/>
  <c r="UK26" i="21"/>
  <c r="UJ26" i="21"/>
  <c r="UI26" i="21"/>
  <c r="UH26" i="21"/>
  <c r="KJ24" i="5" s="1"/>
  <c r="UG26" i="21"/>
  <c r="UE26" i="21"/>
  <c r="UD26" i="21"/>
  <c r="UC26" i="21"/>
  <c r="UB26" i="21"/>
  <c r="UA26" i="21"/>
  <c r="KM24" i="5" s="1"/>
  <c r="TZ26" i="21"/>
  <c r="TK26" i="21"/>
  <c r="TJ26" i="21"/>
  <c r="TI26" i="21"/>
  <c r="TH26" i="21"/>
  <c r="TG26" i="21"/>
  <c r="TF26" i="21"/>
  <c r="TE26" i="21"/>
  <c r="SW26" i="21"/>
  <c r="SV26" i="21"/>
  <c r="SU26" i="21"/>
  <c r="ST26" i="21"/>
  <c r="SS26" i="21"/>
  <c r="SR26" i="21"/>
  <c r="KH24" i="5" s="1"/>
  <c r="SQ26" i="21"/>
  <c r="SM26" i="21"/>
  <c r="SL26" i="21"/>
  <c r="SK26" i="21"/>
  <c r="SF26" i="21"/>
  <c r="SE26" i="21"/>
  <c r="SD26" i="21"/>
  <c r="SC26" i="21"/>
  <c r="RY26" i="21"/>
  <c r="RX26" i="21"/>
  <c r="RW26" i="21"/>
  <c r="RS26" i="21"/>
  <c r="RR26" i="21"/>
  <c r="RQ26" i="21"/>
  <c r="RO26" i="21"/>
  <c r="RN26" i="21"/>
  <c r="RM26" i="21" s="1"/>
  <c r="RG26" i="21"/>
  <c r="RF26" i="21"/>
  <c r="RE26" i="21"/>
  <c r="RA26" i="21"/>
  <c r="QZ26" i="21"/>
  <c r="QY26" i="21"/>
  <c r="QU26" i="21"/>
  <c r="QT26" i="21"/>
  <c r="QS26" i="21"/>
  <c r="QO26" i="21"/>
  <c r="QN26" i="21"/>
  <c r="QM26" i="21"/>
  <c r="QK26" i="21"/>
  <c r="QJ26" i="21"/>
  <c r="QC26" i="21"/>
  <c r="QB26" i="21"/>
  <c r="QA26" i="21"/>
  <c r="PR26" i="21"/>
  <c r="PQ26" i="21"/>
  <c r="PL26" i="21"/>
  <c r="PK26" i="21"/>
  <c r="PJ26" i="21"/>
  <c r="PI26" i="21"/>
  <c r="PG26" i="21"/>
  <c r="PF26" i="21"/>
  <c r="PE26" i="21"/>
  <c r="OV26" i="21"/>
  <c r="OU26" i="21"/>
  <c r="OT26" i="21"/>
  <c r="OS26" i="21"/>
  <c r="ON26" i="21"/>
  <c r="OM26" i="21"/>
  <c r="OL26" i="21"/>
  <c r="OK26" i="21"/>
  <c r="OF26" i="21"/>
  <c r="OE26" i="21"/>
  <c r="OD26" i="21"/>
  <c r="OC26" i="21"/>
  <c r="NY26" i="21"/>
  <c r="NX26" i="21"/>
  <c r="NW26" i="21"/>
  <c r="NU26" i="21"/>
  <c r="NT26" i="21"/>
  <c r="NM26" i="21"/>
  <c r="NL26" i="21"/>
  <c r="NK26" i="21"/>
  <c r="NA26" i="21"/>
  <c r="NI26" i="21" s="1"/>
  <c r="MZ26" i="21"/>
  <c r="MY26" i="21"/>
  <c r="MX26" i="21"/>
  <c r="MW26" i="21"/>
  <c r="MV26" i="21"/>
  <c r="MU26" i="21"/>
  <c r="MP26" i="21"/>
  <c r="MO26" i="21"/>
  <c r="MN26" i="21"/>
  <c r="MM26" i="21"/>
  <c r="MK26" i="21"/>
  <c r="MJ26" i="21"/>
  <c r="MI26" i="21"/>
  <c r="LZ26" i="21"/>
  <c r="LY26" i="21"/>
  <c r="LX26" i="21"/>
  <c r="LW26" i="21"/>
  <c r="LR26" i="21"/>
  <c r="LQ26" i="21"/>
  <c r="LP26" i="21"/>
  <c r="LO26" i="21"/>
  <c r="LK26" i="21"/>
  <c r="LJ26" i="21"/>
  <c r="LI26" i="21"/>
  <c r="LG26" i="21"/>
  <c r="LF26" i="21"/>
  <c r="KW26" i="21"/>
  <c r="KT26" i="21"/>
  <c r="KS26" i="21"/>
  <c r="KM26" i="21"/>
  <c r="KJ26" i="21"/>
  <c r="KI26" i="21"/>
  <c r="KE26" i="21"/>
  <c r="KD26" i="21"/>
  <c r="KC26" i="21"/>
  <c r="KA26" i="21"/>
  <c r="JZ26" i="21"/>
  <c r="JS26" i="21"/>
  <c r="JR26" i="21"/>
  <c r="JQ26" i="21"/>
  <c r="JM26" i="21"/>
  <c r="JL26" i="21"/>
  <c r="JK26" i="21"/>
  <c r="JG26" i="21"/>
  <c r="JF26" i="21"/>
  <c r="JE26" i="21"/>
  <c r="JA26" i="21"/>
  <c r="IZ26" i="21"/>
  <c r="IY26" i="21"/>
  <c r="IK26" i="21"/>
  <c r="IJ26" i="21"/>
  <c r="II26" i="21"/>
  <c r="IE26" i="21"/>
  <c r="ID26" i="21"/>
  <c r="IC26" i="21"/>
  <c r="IA26" i="21"/>
  <c r="HZ26" i="21"/>
  <c r="HS26" i="21"/>
  <c r="HR26" i="21"/>
  <c r="HQ26" i="21"/>
  <c r="HM26" i="21"/>
  <c r="HJ26" i="21"/>
  <c r="HG26" i="21"/>
  <c r="HF26" i="21"/>
  <c r="HE26" i="21"/>
  <c r="GX26" i="21"/>
  <c r="HC26" i="21" s="1"/>
  <c r="HA26" i="21" s="1"/>
  <c r="GW26" i="21"/>
  <c r="GV26" i="21" s="1"/>
  <c r="GR26" i="21"/>
  <c r="GQ26" i="21"/>
  <c r="GP26" i="21"/>
  <c r="GO26" i="21"/>
  <c r="GA26" i="21"/>
  <c r="FZ26" i="21"/>
  <c r="AH25" i="16" s="1"/>
  <c r="FY26" i="21"/>
  <c r="FU26" i="21"/>
  <c r="FT26" i="21"/>
  <c r="FS26" i="21"/>
  <c r="FO26" i="21"/>
  <c r="FN26" i="21"/>
  <c r="FM26" i="21"/>
  <c r="FK26" i="21"/>
  <c r="FJ26" i="21"/>
  <c r="FC26" i="21"/>
  <c r="FB26" i="21"/>
  <c r="FA26" i="21"/>
  <c r="EW26" i="21"/>
  <c r="EV26" i="21"/>
  <c r="EU26" i="21"/>
  <c r="EQ26" i="21"/>
  <c r="EP26" i="21"/>
  <c r="EO26" i="21"/>
  <c r="EJ26" i="21"/>
  <c r="EI26" i="21"/>
  <c r="EH26" i="21"/>
  <c r="EG26" i="21"/>
  <c r="EC26" i="21"/>
  <c r="EB26" i="21"/>
  <c r="EA26" i="21"/>
  <c r="DW26" i="21"/>
  <c r="DV26" i="21"/>
  <c r="DU26" i="21"/>
  <c r="DP26" i="21"/>
  <c r="DO26" i="21"/>
  <c r="DN26" i="21"/>
  <c r="DM26" i="21"/>
  <c r="DE26" i="21"/>
  <c r="DD26" i="21"/>
  <c r="DC26" i="21"/>
  <c r="CU26" i="21"/>
  <c r="CT26" i="21"/>
  <c r="CS26" i="21"/>
  <c r="CR26" i="21"/>
  <c r="CQ26" i="21"/>
  <c r="CP26" i="21"/>
  <c r="CO26" i="21"/>
  <c r="CK26" i="21"/>
  <c r="CJ26" i="21"/>
  <c r="CI26" i="21"/>
  <c r="CF26" i="21"/>
  <c r="CE26" i="21"/>
  <c r="CB26" i="21"/>
  <c r="BZ26" i="21"/>
  <c r="BR26" i="21"/>
  <c r="BQ26" i="21"/>
  <c r="BN26" i="21"/>
  <c r="BL26" i="21"/>
  <c r="BF26" i="21"/>
  <c r="BK26" i="21" s="1"/>
  <c r="BE26" i="21"/>
  <c r="BD26" i="21" s="1"/>
  <c r="BB26" i="21"/>
  <c r="BA26" i="21"/>
  <c r="AX26" i="21"/>
  <c r="AW26" i="21"/>
  <c r="AV26" i="21" s="1"/>
  <c r="AS26" i="21"/>
  <c r="AR26" i="21"/>
  <c r="AL26" i="21"/>
  <c r="AG26" i="21"/>
  <c r="AK26" i="21" s="1"/>
  <c r="Z26" i="21"/>
  <c r="T26" i="21"/>
  <c r="S26" i="21"/>
  <c r="N26" i="21"/>
  <c r="L26" i="21"/>
  <c r="K26" i="21"/>
  <c r="H26" i="21"/>
  <c r="F26" i="21"/>
  <c r="AAU15" i="21"/>
  <c r="AAT15" i="21"/>
  <c r="AAQ15" i="21"/>
  <c r="AAP15" i="21"/>
  <c r="AAI15" i="21"/>
  <c r="AAH15" i="21"/>
  <c r="ZT15" i="21"/>
  <c r="ZR15" i="21"/>
  <c r="ZQ15" i="21"/>
  <c r="ZO15" i="21"/>
  <c r="ZN15" i="21"/>
  <c r="ZM15" i="21"/>
  <c r="ZK15" i="21"/>
  <c r="YW15" i="21"/>
  <c r="ZI15" i="21" s="1"/>
  <c r="YV15" i="21"/>
  <c r="ZH15" i="21" s="1"/>
  <c r="YU15" i="21"/>
  <c r="ZG15" i="21" s="1"/>
  <c r="YT15" i="21"/>
  <c r="YZ15" i="21" s="1"/>
  <c r="YS15" i="21"/>
  <c r="YE15" i="21"/>
  <c r="YD15" i="21"/>
  <c r="YC15" i="21"/>
  <c r="YA15" i="21"/>
  <c r="XZ15" i="21"/>
  <c r="XY15" i="21"/>
  <c r="XX15" i="21"/>
  <c r="XW15" i="21"/>
  <c r="XP15" i="21"/>
  <c r="XU15" i="21" s="1"/>
  <c r="XO15" i="21"/>
  <c r="XN15" i="21" s="1"/>
  <c r="XL15" i="21"/>
  <c r="XJ15" i="21"/>
  <c r="XG15" i="21"/>
  <c r="XF15" i="21"/>
  <c r="XE15" i="21"/>
  <c r="XA15" i="21"/>
  <c r="WZ15" i="21"/>
  <c r="WY15" i="21"/>
  <c r="WU15" i="21"/>
  <c r="WT15" i="21"/>
  <c r="WS15" i="21"/>
  <c r="WG15" i="21"/>
  <c r="WF15" i="21"/>
  <c r="WA15" i="21"/>
  <c r="VZ15" i="21"/>
  <c r="VY15" i="21"/>
  <c r="VV15" i="21"/>
  <c r="VT15" i="21"/>
  <c r="VR15" i="21"/>
  <c r="VP15" i="21"/>
  <c r="VN15" i="21"/>
  <c r="VL15" i="21"/>
  <c r="VJ15" i="21"/>
  <c r="UM15" i="21"/>
  <c r="UL15" i="21"/>
  <c r="UK15" i="21"/>
  <c r="UJ15" i="21"/>
  <c r="UI15" i="21"/>
  <c r="UH15" i="21"/>
  <c r="KJ23" i="5" s="1"/>
  <c r="UG15" i="21"/>
  <c r="UE15" i="21"/>
  <c r="UD15" i="21"/>
  <c r="UC15" i="21"/>
  <c r="UB15" i="21"/>
  <c r="UA15" i="21"/>
  <c r="KM23" i="5" s="1"/>
  <c r="TZ15" i="21"/>
  <c r="TK15" i="21"/>
  <c r="TJ15" i="21"/>
  <c r="TI15" i="21"/>
  <c r="TH15" i="21"/>
  <c r="TG15" i="21"/>
  <c r="TF15" i="21"/>
  <c r="TE15" i="21"/>
  <c r="SW15" i="21"/>
  <c r="SV15" i="21"/>
  <c r="SU15" i="21"/>
  <c r="ST15" i="21"/>
  <c r="SS15" i="21"/>
  <c r="SR15" i="21"/>
  <c r="KH23" i="5" s="1"/>
  <c r="SQ15" i="21"/>
  <c r="SM15" i="21"/>
  <c r="SL15" i="21"/>
  <c r="SK15" i="21"/>
  <c r="SF15" i="21"/>
  <c r="SE15" i="21"/>
  <c r="SD15" i="21"/>
  <c r="SC15" i="21"/>
  <c r="RY15" i="21"/>
  <c r="RX15" i="21"/>
  <c r="RW15" i="21"/>
  <c r="RS15" i="21"/>
  <c r="RR15" i="21"/>
  <c r="RQ15" i="21"/>
  <c r="RO15" i="21"/>
  <c r="RN15" i="21"/>
  <c r="RG15" i="21"/>
  <c r="RF15" i="21"/>
  <c r="RE15" i="21"/>
  <c r="RA15" i="21"/>
  <c r="QZ15" i="21"/>
  <c r="QY15" i="21"/>
  <c r="QU15" i="21"/>
  <c r="QT15" i="21"/>
  <c r="QS15" i="21"/>
  <c r="QO15" i="21"/>
  <c r="QN15" i="21"/>
  <c r="QM15" i="21"/>
  <c r="QK15" i="21"/>
  <c r="QJ15" i="21"/>
  <c r="QC15" i="21"/>
  <c r="QB15" i="21"/>
  <c r="QA15" i="21"/>
  <c r="PR15" i="21"/>
  <c r="PQ15" i="21"/>
  <c r="PL15" i="21"/>
  <c r="PK15" i="21"/>
  <c r="PJ15" i="21"/>
  <c r="PI15" i="21"/>
  <c r="PG15" i="21"/>
  <c r="PF15" i="21"/>
  <c r="PE15" i="21"/>
  <c r="OV15" i="21"/>
  <c r="OU15" i="21"/>
  <c r="OT15" i="21"/>
  <c r="OS15" i="21"/>
  <c r="ON15" i="21"/>
  <c r="OM15" i="21"/>
  <c r="OL15" i="21"/>
  <c r="OK15" i="21"/>
  <c r="OF15" i="21"/>
  <c r="OE15" i="21"/>
  <c r="OD15" i="21"/>
  <c r="OC15" i="21"/>
  <c r="NY15" i="21"/>
  <c r="NX15" i="21"/>
  <c r="NW15" i="21"/>
  <c r="NU15" i="21"/>
  <c r="NT15" i="21"/>
  <c r="NM15" i="21"/>
  <c r="NL15" i="21"/>
  <c r="NK15" i="21"/>
  <c r="NA15" i="21"/>
  <c r="NI15" i="21" s="1"/>
  <c r="MZ15" i="21"/>
  <c r="MY15" i="21"/>
  <c r="MX15" i="21"/>
  <c r="MW15" i="21"/>
  <c r="MV15" i="21"/>
  <c r="MU15" i="21"/>
  <c r="MP15" i="21"/>
  <c r="MO15" i="21"/>
  <c r="MN15" i="21"/>
  <c r="MM15" i="21"/>
  <c r="MK15" i="21"/>
  <c r="MJ15" i="21"/>
  <c r="MI15" i="21"/>
  <c r="LZ15" i="21"/>
  <c r="LY15" i="21"/>
  <c r="LX15" i="21"/>
  <c r="LW15" i="21"/>
  <c r="LR15" i="21"/>
  <c r="LQ15" i="21"/>
  <c r="LP15" i="21"/>
  <c r="LO15" i="21"/>
  <c r="LK15" i="21"/>
  <c r="LJ15" i="21"/>
  <c r="LI15" i="21"/>
  <c r="LG15" i="21"/>
  <c r="LF15" i="21"/>
  <c r="KW15" i="21"/>
  <c r="KT15" i="21"/>
  <c r="KS15" i="21"/>
  <c r="KM15" i="21"/>
  <c r="KJ15" i="21"/>
  <c r="KI15" i="21"/>
  <c r="KE15" i="21"/>
  <c r="KD15" i="21"/>
  <c r="KC15" i="21"/>
  <c r="KA15" i="21"/>
  <c r="JZ15" i="21"/>
  <c r="JS15" i="21"/>
  <c r="JR15" i="21"/>
  <c r="JQ15" i="21"/>
  <c r="JM15" i="21"/>
  <c r="JL15" i="21"/>
  <c r="JK15" i="21"/>
  <c r="JG15" i="21"/>
  <c r="JF15" i="21"/>
  <c r="JE15" i="21"/>
  <c r="JA15" i="21"/>
  <c r="IZ15" i="21"/>
  <c r="IY15" i="21"/>
  <c r="IK15" i="21"/>
  <c r="IJ15" i="21"/>
  <c r="II15" i="21"/>
  <c r="IE15" i="21"/>
  <c r="ID15" i="21"/>
  <c r="IC15" i="21"/>
  <c r="IA15" i="21"/>
  <c r="HZ15" i="21"/>
  <c r="HS15" i="21"/>
  <c r="HR15" i="21"/>
  <c r="HQ15" i="21"/>
  <c r="HM15" i="21"/>
  <c r="HJ15" i="21"/>
  <c r="HG15" i="21"/>
  <c r="HF15" i="21"/>
  <c r="HE15" i="21"/>
  <c r="GX15" i="21"/>
  <c r="GW15" i="21"/>
  <c r="GV15" i="21" s="1"/>
  <c r="HB15" i="21" s="1"/>
  <c r="GR15" i="21"/>
  <c r="GQ15" i="21"/>
  <c r="GP15" i="21"/>
  <c r="GO15" i="21"/>
  <c r="GA15" i="21"/>
  <c r="FZ15" i="21"/>
  <c r="AH24" i="16" s="1"/>
  <c r="FY15" i="21"/>
  <c r="FU15" i="21"/>
  <c r="FT15" i="21"/>
  <c r="FS15" i="21"/>
  <c r="FO15" i="21"/>
  <c r="FN15" i="21"/>
  <c r="FM15" i="21"/>
  <c r="FK15" i="21"/>
  <c r="FJ15" i="21"/>
  <c r="FC15" i="21"/>
  <c r="FB15" i="21"/>
  <c r="FA15" i="21"/>
  <c r="EW15" i="21"/>
  <c r="EV15" i="21"/>
  <c r="EU15" i="21"/>
  <c r="EQ15" i="21"/>
  <c r="EP15" i="21"/>
  <c r="EO15" i="21"/>
  <c r="EJ15" i="21"/>
  <c r="EI15" i="21"/>
  <c r="EH15" i="21"/>
  <c r="EG15" i="21"/>
  <c r="EC15" i="21"/>
  <c r="EB15" i="21"/>
  <c r="EA15" i="21"/>
  <c r="DW15" i="21"/>
  <c r="DV15" i="21"/>
  <c r="DU15" i="21"/>
  <c r="DP15" i="21"/>
  <c r="DO15" i="21"/>
  <c r="DN15" i="21"/>
  <c r="DM15" i="21"/>
  <c r="DE15" i="21"/>
  <c r="DD15" i="21"/>
  <c r="DC15" i="21"/>
  <c r="CU15" i="21"/>
  <c r="CT15" i="21"/>
  <c r="CS15" i="21"/>
  <c r="CR15" i="21"/>
  <c r="CQ15" i="21"/>
  <c r="CP15" i="21"/>
  <c r="CO15" i="21"/>
  <c r="CK15" i="21"/>
  <c r="CJ15" i="21"/>
  <c r="CI15" i="21"/>
  <c r="CF15" i="21"/>
  <c r="CE15" i="21"/>
  <c r="CB15" i="21"/>
  <c r="BZ15" i="21"/>
  <c r="BR15" i="21"/>
  <c r="BQ15" i="21"/>
  <c r="BN15" i="21"/>
  <c r="BL15" i="21"/>
  <c r="BF15" i="21"/>
  <c r="BK15" i="21" s="1"/>
  <c r="BI15" i="21" s="1"/>
  <c r="BE15" i="21"/>
  <c r="BD15" i="21" s="1"/>
  <c r="BB15" i="21"/>
  <c r="BA15" i="21"/>
  <c r="AX15" i="21"/>
  <c r="AW15" i="21"/>
  <c r="AS15" i="21"/>
  <c r="AR15" i="21"/>
  <c r="AL15" i="21"/>
  <c r="AG15" i="21"/>
  <c r="AK15" i="21" s="1"/>
  <c r="Z15" i="21"/>
  <c r="T15" i="21"/>
  <c r="S15" i="21"/>
  <c r="P15" i="21"/>
  <c r="L15" i="21"/>
  <c r="K15" i="21"/>
  <c r="H15" i="21"/>
  <c r="F15" i="21"/>
  <c r="AAU25" i="21"/>
  <c r="AAT25" i="21"/>
  <c r="AAQ25" i="21"/>
  <c r="AAP25" i="21"/>
  <c r="AAI25" i="21"/>
  <c r="AAH25" i="21"/>
  <c r="ZT25" i="21"/>
  <c r="ZR25" i="21"/>
  <c r="ZQ25" i="21"/>
  <c r="ZO25" i="21"/>
  <c r="ZN25" i="21"/>
  <c r="ZM25" i="21"/>
  <c r="ZK25" i="21"/>
  <c r="YW25" i="21"/>
  <c r="YV25" i="21"/>
  <c r="YT25" i="21"/>
  <c r="YZ25" i="21" s="1"/>
  <c r="YS25" i="21"/>
  <c r="YE25" i="21"/>
  <c r="YD25" i="21"/>
  <c r="YC25" i="21"/>
  <c r="YB25" i="21"/>
  <c r="YA25" i="21"/>
  <c r="XZ25" i="21"/>
  <c r="XY25" i="21"/>
  <c r="XX25" i="21"/>
  <c r="XW25" i="21"/>
  <c r="XP25" i="21"/>
  <c r="XU25" i="21" s="1"/>
  <c r="XS25" i="21" s="1"/>
  <c r="XO25" i="21"/>
  <c r="XN25" i="21" s="1"/>
  <c r="XL25" i="21"/>
  <c r="XJ25" i="21"/>
  <c r="XG25" i="21"/>
  <c r="XF25" i="21"/>
  <c r="XE25" i="21"/>
  <c r="XA25" i="21"/>
  <c r="WZ25" i="21"/>
  <c r="WY25" i="21"/>
  <c r="WU25" i="21"/>
  <c r="WT25" i="21"/>
  <c r="WS25" i="21"/>
  <c r="WG25" i="21"/>
  <c r="WF25" i="21"/>
  <c r="WA25" i="21"/>
  <c r="VZ25" i="21"/>
  <c r="VY25" i="21"/>
  <c r="VV25" i="21"/>
  <c r="VT25" i="21"/>
  <c r="VR25" i="21"/>
  <c r="VP25" i="21"/>
  <c r="VN25" i="21"/>
  <c r="VL25" i="21"/>
  <c r="VJ25" i="21"/>
  <c r="UM25" i="21"/>
  <c r="UL25" i="21"/>
  <c r="UK25" i="21"/>
  <c r="UJ25" i="21"/>
  <c r="UI25" i="21"/>
  <c r="UH25" i="21"/>
  <c r="KJ22" i="5" s="1"/>
  <c r="UG25" i="21"/>
  <c r="UE25" i="21"/>
  <c r="UD25" i="21"/>
  <c r="UC25" i="21"/>
  <c r="UB25" i="21"/>
  <c r="UA25" i="21"/>
  <c r="KM22" i="5" s="1"/>
  <c r="TZ25" i="21"/>
  <c r="TK25" i="21"/>
  <c r="TJ25" i="21"/>
  <c r="TI25" i="21"/>
  <c r="TH25" i="21"/>
  <c r="TG25" i="21"/>
  <c r="TF25" i="21"/>
  <c r="TE25" i="21"/>
  <c r="SW25" i="21"/>
  <c r="SV25" i="21"/>
  <c r="SU25" i="21"/>
  <c r="ST25" i="21"/>
  <c r="SS25" i="21"/>
  <c r="SR25" i="21"/>
  <c r="KH22" i="5" s="1"/>
  <c r="SQ25" i="21"/>
  <c r="SM25" i="21"/>
  <c r="SL25" i="21"/>
  <c r="SK25" i="21"/>
  <c r="SF25" i="21"/>
  <c r="SE25" i="21"/>
  <c r="SD25" i="21"/>
  <c r="SC25" i="21"/>
  <c r="RY25" i="21"/>
  <c r="RX25" i="21"/>
  <c r="RW25" i="21"/>
  <c r="RS25" i="21"/>
  <c r="RR25" i="21"/>
  <c r="RQ25" i="21"/>
  <c r="RO25" i="21"/>
  <c r="RN25" i="21"/>
  <c r="RG25" i="21"/>
  <c r="RF25" i="21"/>
  <c r="RE25" i="21"/>
  <c r="RA25" i="21"/>
  <c r="QZ25" i="21"/>
  <c r="QY25" i="21"/>
  <c r="QU25" i="21"/>
  <c r="QT25" i="21"/>
  <c r="QS25" i="21"/>
  <c r="QO25" i="21"/>
  <c r="QN25" i="21"/>
  <c r="QM25" i="21"/>
  <c r="QK25" i="21"/>
  <c r="QJ25" i="21"/>
  <c r="QC25" i="21"/>
  <c r="PR25" i="21"/>
  <c r="PQ25" i="21"/>
  <c r="PL25" i="21"/>
  <c r="PK25" i="21"/>
  <c r="PJ25" i="21"/>
  <c r="PI25" i="21"/>
  <c r="PG25" i="21"/>
  <c r="PF25" i="21"/>
  <c r="PE25" i="21"/>
  <c r="OV25" i="21"/>
  <c r="OU25" i="21"/>
  <c r="OT25" i="21"/>
  <c r="OS25" i="21"/>
  <c r="ON25" i="21"/>
  <c r="OM25" i="21"/>
  <c r="OL25" i="21"/>
  <c r="OK25" i="21"/>
  <c r="OF25" i="21"/>
  <c r="OE25" i="21"/>
  <c r="OD25" i="21"/>
  <c r="OC25" i="21"/>
  <c r="NY25" i="21"/>
  <c r="NX25" i="21"/>
  <c r="NW25" i="21"/>
  <c r="NU25" i="21"/>
  <c r="NT25" i="21"/>
  <c r="NM25" i="21"/>
  <c r="NL25" i="21"/>
  <c r="NK25" i="21"/>
  <c r="NA25" i="21"/>
  <c r="NI25" i="21" s="1"/>
  <c r="MZ25" i="21"/>
  <c r="MY25" i="21"/>
  <c r="MX25" i="21"/>
  <c r="MW25" i="21"/>
  <c r="MV25" i="21"/>
  <c r="MU25" i="21"/>
  <c r="MP25" i="21"/>
  <c r="MO25" i="21"/>
  <c r="MN25" i="21"/>
  <c r="MM25" i="21"/>
  <c r="MK25" i="21"/>
  <c r="MJ25" i="21"/>
  <c r="MI25" i="21"/>
  <c r="LZ25" i="21"/>
  <c r="LY25" i="21"/>
  <c r="LW25" i="21"/>
  <c r="LR25" i="21"/>
  <c r="LQ25" i="21"/>
  <c r="LP25" i="21"/>
  <c r="LO25" i="21"/>
  <c r="LK25" i="21"/>
  <c r="LJ25" i="21"/>
  <c r="LI25" i="21"/>
  <c r="LG25" i="21"/>
  <c r="LF25" i="21"/>
  <c r="KW25" i="21"/>
  <c r="KT25" i="21"/>
  <c r="KS25" i="21"/>
  <c r="KM25" i="21"/>
  <c r="KJ25" i="21"/>
  <c r="KI25" i="21"/>
  <c r="KE25" i="21"/>
  <c r="KD25" i="21"/>
  <c r="KC25" i="21"/>
  <c r="KA25" i="21"/>
  <c r="JZ25" i="21"/>
  <c r="JS25" i="21"/>
  <c r="JR25" i="21"/>
  <c r="JQ25" i="21"/>
  <c r="JM25" i="21"/>
  <c r="JL25" i="21"/>
  <c r="JK25" i="21"/>
  <c r="JG25" i="21"/>
  <c r="JF25" i="21"/>
  <c r="JE25" i="21"/>
  <c r="JA25" i="21"/>
  <c r="IZ25" i="21"/>
  <c r="IY25" i="21"/>
  <c r="IK25" i="21"/>
  <c r="IJ25" i="21"/>
  <c r="II25" i="21"/>
  <c r="IE25" i="21"/>
  <c r="ID25" i="21"/>
  <c r="IC25" i="21"/>
  <c r="IA25" i="21"/>
  <c r="HZ25" i="21"/>
  <c r="HS25" i="21"/>
  <c r="HR25" i="21"/>
  <c r="HQ25" i="21"/>
  <c r="HM25" i="21"/>
  <c r="HJ25" i="21"/>
  <c r="HG25" i="21"/>
  <c r="HF25" i="21"/>
  <c r="HE25" i="21"/>
  <c r="GX25" i="21"/>
  <c r="HC25" i="21" s="1"/>
  <c r="GW25" i="21"/>
  <c r="GV25" i="21" s="1"/>
  <c r="GR25" i="21"/>
  <c r="GQ25" i="21"/>
  <c r="GP25" i="21"/>
  <c r="GO25" i="21"/>
  <c r="GA25" i="21"/>
  <c r="FZ25" i="21"/>
  <c r="AH23" i="16" s="1"/>
  <c r="FY25" i="21"/>
  <c r="FU25" i="21"/>
  <c r="FT25" i="21"/>
  <c r="FS25" i="21"/>
  <c r="FO25" i="21"/>
  <c r="FN25" i="21"/>
  <c r="FM25" i="21"/>
  <c r="FK25" i="21"/>
  <c r="FJ25" i="21"/>
  <c r="FC25" i="21"/>
  <c r="FB25" i="21"/>
  <c r="FA25" i="21"/>
  <c r="EW25" i="21"/>
  <c r="EV25" i="21"/>
  <c r="EU25" i="21"/>
  <c r="EQ25" i="21"/>
  <c r="EP25" i="21"/>
  <c r="EO25" i="21"/>
  <c r="EJ25" i="21"/>
  <c r="EI25" i="21"/>
  <c r="EH25" i="21"/>
  <c r="EG25" i="21"/>
  <c r="EC25" i="21"/>
  <c r="EB25" i="21"/>
  <c r="EA25" i="21"/>
  <c r="DW25" i="21"/>
  <c r="DV25" i="21"/>
  <c r="DU25" i="21"/>
  <c r="DP25" i="21"/>
  <c r="DO25" i="21"/>
  <c r="DN25" i="21"/>
  <c r="DM25" i="21"/>
  <c r="DE25" i="21"/>
  <c r="DD25" i="21"/>
  <c r="DC25" i="21"/>
  <c r="CU25" i="21"/>
  <c r="CT25" i="21"/>
  <c r="CS25" i="21"/>
  <c r="CR25" i="21"/>
  <c r="CQ25" i="21"/>
  <c r="CP25" i="21"/>
  <c r="CO25" i="21"/>
  <c r="CK25" i="21"/>
  <c r="CJ25" i="21"/>
  <c r="CI25" i="21"/>
  <c r="CF25" i="21"/>
  <c r="CE25" i="21"/>
  <c r="CB25" i="21"/>
  <c r="BZ25" i="21"/>
  <c r="BR25" i="21"/>
  <c r="BQ25" i="21"/>
  <c r="BN25" i="21"/>
  <c r="BL25" i="21"/>
  <c r="BF25" i="21"/>
  <c r="BK25" i="21" s="1"/>
  <c r="BE25" i="21"/>
  <c r="BD25" i="21" s="1"/>
  <c r="BB25" i="21"/>
  <c r="BA25" i="21"/>
  <c r="AX25" i="21"/>
  <c r="AW25" i="21"/>
  <c r="AS25" i="21"/>
  <c r="AR25" i="21"/>
  <c r="AL25" i="21"/>
  <c r="AG25" i="21"/>
  <c r="AK25" i="21" s="1"/>
  <c r="Z25" i="21"/>
  <c r="T25" i="21"/>
  <c r="S25" i="21"/>
  <c r="L25" i="21"/>
  <c r="K25" i="21"/>
  <c r="H25" i="21"/>
  <c r="F25" i="21"/>
  <c r="AAU24" i="21"/>
  <c r="AAT24" i="21"/>
  <c r="AAQ24" i="21"/>
  <c r="AAP24" i="21"/>
  <c r="AAI24" i="21"/>
  <c r="AAH24" i="21"/>
  <c r="ZT24" i="21"/>
  <c r="ZR24" i="21"/>
  <c r="ZQ24" i="21"/>
  <c r="ZO24" i="21"/>
  <c r="ZN24" i="21"/>
  <c r="ZM24" i="21"/>
  <c r="ZK24" i="21"/>
  <c r="YW24" i="21"/>
  <c r="YV24" i="21"/>
  <c r="YU24" i="21"/>
  <c r="ZG24" i="21" s="1"/>
  <c r="YT24" i="21"/>
  <c r="YZ24" i="21" s="1"/>
  <c r="YS24" i="21"/>
  <c r="YE24" i="21"/>
  <c r="YD24" i="21"/>
  <c r="YC24" i="21"/>
  <c r="YB24" i="21"/>
  <c r="YA24" i="21"/>
  <c r="XZ24" i="21"/>
  <c r="XY24" i="21"/>
  <c r="XX24" i="21"/>
  <c r="XW24" i="21"/>
  <c r="XP24" i="21"/>
  <c r="XU24" i="21" s="1"/>
  <c r="XS24" i="21" s="1"/>
  <c r="XO24" i="21"/>
  <c r="XN24" i="21" s="1"/>
  <c r="XL24" i="21"/>
  <c r="XJ24" i="21"/>
  <c r="XG24" i="21"/>
  <c r="XF24" i="21"/>
  <c r="XE24" i="21"/>
  <c r="XA24" i="21"/>
  <c r="WZ24" i="21"/>
  <c r="WY24" i="21"/>
  <c r="WU24" i="21"/>
  <c r="WT24" i="21"/>
  <c r="WS24" i="21"/>
  <c r="WG24" i="21"/>
  <c r="WF24" i="21"/>
  <c r="WA24" i="21"/>
  <c r="VZ24" i="21"/>
  <c r="VY24" i="21"/>
  <c r="VV24" i="21"/>
  <c r="VT24" i="21"/>
  <c r="VR24" i="21"/>
  <c r="VP24" i="21"/>
  <c r="VN24" i="21"/>
  <c r="VL24" i="21"/>
  <c r="VJ24" i="21"/>
  <c r="UM24" i="21"/>
  <c r="UL24" i="21"/>
  <c r="UK24" i="21"/>
  <c r="UJ24" i="21"/>
  <c r="UI24" i="21"/>
  <c r="UH24" i="21"/>
  <c r="KJ21" i="5" s="1"/>
  <c r="UG24" i="21"/>
  <c r="UE24" i="21"/>
  <c r="UD24" i="21"/>
  <c r="UC24" i="21"/>
  <c r="UB24" i="21"/>
  <c r="UA24" i="21"/>
  <c r="KM21" i="5" s="1"/>
  <c r="TZ24" i="21"/>
  <c r="TK24" i="21"/>
  <c r="TJ24" i="21"/>
  <c r="TI24" i="21"/>
  <c r="TH24" i="21"/>
  <c r="TG24" i="21"/>
  <c r="TF24" i="21"/>
  <c r="TE24" i="21"/>
  <c r="SW24" i="21"/>
  <c r="SV24" i="21"/>
  <c r="SU24" i="21"/>
  <c r="ST24" i="21"/>
  <c r="SS24" i="21"/>
  <c r="SR24" i="21"/>
  <c r="KH21" i="5" s="1"/>
  <c r="SQ24" i="21"/>
  <c r="SM24" i="21"/>
  <c r="SL24" i="21"/>
  <c r="SK24" i="21"/>
  <c r="SF24" i="21"/>
  <c r="SE24" i="21"/>
  <c r="SD24" i="21"/>
  <c r="SC24" i="21"/>
  <c r="RY24" i="21"/>
  <c r="RX24" i="21"/>
  <c r="RW24" i="21"/>
  <c r="RS24" i="21"/>
  <c r="RR24" i="21"/>
  <c r="RQ24" i="21"/>
  <c r="RO24" i="21"/>
  <c r="RN24" i="21"/>
  <c r="RG24" i="21"/>
  <c r="RF24" i="21"/>
  <c r="RE24" i="21"/>
  <c r="RA24" i="21"/>
  <c r="QZ24" i="21"/>
  <c r="QY24" i="21"/>
  <c r="QU24" i="21"/>
  <c r="QT24" i="21"/>
  <c r="QS24" i="21"/>
  <c r="QO24" i="21"/>
  <c r="QN24" i="21"/>
  <c r="QM24" i="21"/>
  <c r="QK24" i="21"/>
  <c r="QJ24" i="21"/>
  <c r="QC24" i="21"/>
  <c r="QB24" i="21"/>
  <c r="QA24" i="21"/>
  <c r="PR24" i="21"/>
  <c r="PQ24" i="21"/>
  <c r="PL24" i="21"/>
  <c r="PK24" i="21"/>
  <c r="PJ24" i="21"/>
  <c r="PI24" i="21"/>
  <c r="PG24" i="21"/>
  <c r="PF24" i="21"/>
  <c r="PE24" i="21"/>
  <c r="OV24" i="21"/>
  <c r="OU24" i="21"/>
  <c r="OT24" i="21"/>
  <c r="OS24" i="21"/>
  <c r="ON24" i="21"/>
  <c r="OM24" i="21"/>
  <c r="OL24" i="21"/>
  <c r="OK24" i="21"/>
  <c r="OF24" i="21"/>
  <c r="OE24" i="21"/>
  <c r="OD24" i="21"/>
  <c r="OC24" i="21"/>
  <c r="NY24" i="21"/>
  <c r="NX24" i="21"/>
  <c r="NW24" i="21"/>
  <c r="NU24" i="21"/>
  <c r="NT24" i="21"/>
  <c r="NM24" i="21"/>
  <c r="NL24" i="21"/>
  <c r="NK24" i="21"/>
  <c r="NA24" i="21"/>
  <c r="NI24" i="21" s="1"/>
  <c r="MZ24" i="21"/>
  <c r="MY24" i="21"/>
  <c r="MX24" i="21"/>
  <c r="MW24" i="21"/>
  <c r="MV24" i="21"/>
  <c r="MU24" i="21"/>
  <c r="MP24" i="21"/>
  <c r="MO24" i="21"/>
  <c r="MN24" i="21"/>
  <c r="MM24" i="21"/>
  <c r="MK24" i="21"/>
  <c r="MJ24" i="21"/>
  <c r="MI24" i="21"/>
  <c r="LZ24" i="21"/>
  <c r="LY24" i="21"/>
  <c r="LX24" i="21"/>
  <c r="LW24" i="21"/>
  <c r="LR24" i="21"/>
  <c r="LQ24" i="21"/>
  <c r="LP24" i="21"/>
  <c r="LO24" i="21"/>
  <c r="LK24" i="21"/>
  <c r="LJ24" i="21"/>
  <c r="LI24" i="21"/>
  <c r="LG24" i="21"/>
  <c r="LF24" i="21"/>
  <c r="KW24" i="21"/>
  <c r="KT24" i="21"/>
  <c r="KS24" i="21"/>
  <c r="KM24" i="21"/>
  <c r="KJ24" i="21"/>
  <c r="KI24" i="21"/>
  <c r="KE24" i="21"/>
  <c r="KD24" i="21"/>
  <c r="KC24" i="21"/>
  <c r="KA24" i="21"/>
  <c r="JZ24" i="21"/>
  <c r="JS24" i="21"/>
  <c r="JR24" i="21"/>
  <c r="JQ24" i="21"/>
  <c r="JM24" i="21"/>
  <c r="JL24" i="21"/>
  <c r="JK24" i="21"/>
  <c r="JG24" i="21"/>
  <c r="JF24" i="21"/>
  <c r="JE24" i="21"/>
  <c r="JA24" i="21"/>
  <c r="IZ24" i="21"/>
  <c r="IY24" i="21"/>
  <c r="IK24" i="21"/>
  <c r="IJ24" i="21"/>
  <c r="II24" i="21"/>
  <c r="IE24" i="21"/>
  <c r="ID24" i="21"/>
  <c r="IC24" i="21"/>
  <c r="IA24" i="21"/>
  <c r="HZ24" i="21"/>
  <c r="HS24" i="21"/>
  <c r="HR24" i="21"/>
  <c r="HQ24" i="21"/>
  <c r="HM24" i="21"/>
  <c r="HJ24" i="21"/>
  <c r="HG24" i="21"/>
  <c r="HF24" i="21"/>
  <c r="HE24" i="21"/>
  <c r="GX24" i="21"/>
  <c r="HC24" i="21" s="1"/>
  <c r="HA24" i="21" s="1"/>
  <c r="GW24" i="21"/>
  <c r="GV24" i="21" s="1"/>
  <c r="GR24" i="21"/>
  <c r="GQ24" i="21"/>
  <c r="GP24" i="21"/>
  <c r="GO24" i="21"/>
  <c r="GA24" i="21"/>
  <c r="FZ24" i="21"/>
  <c r="AH22" i="16" s="1"/>
  <c r="FY24" i="21"/>
  <c r="FU24" i="21"/>
  <c r="FT24" i="21"/>
  <c r="FS24" i="21"/>
  <c r="FO24" i="21"/>
  <c r="FN24" i="21"/>
  <c r="FM24" i="21"/>
  <c r="FK24" i="21"/>
  <c r="FJ24" i="21"/>
  <c r="FC24" i="21"/>
  <c r="FB24" i="21"/>
  <c r="FA24" i="21"/>
  <c r="EW24" i="21"/>
  <c r="EV24" i="21"/>
  <c r="EU24" i="21"/>
  <c r="EQ24" i="21"/>
  <c r="EP24" i="21"/>
  <c r="EO24" i="21"/>
  <c r="EJ24" i="21"/>
  <c r="EI24" i="21"/>
  <c r="EH24" i="21"/>
  <c r="EG24" i="21"/>
  <c r="EC24" i="21"/>
  <c r="EB24" i="21"/>
  <c r="EA24" i="21"/>
  <c r="DW24" i="21"/>
  <c r="DV24" i="21"/>
  <c r="DU24" i="21"/>
  <c r="DP24" i="21"/>
  <c r="DO24" i="21"/>
  <c r="DN24" i="21"/>
  <c r="DM24" i="21"/>
  <c r="DE24" i="21"/>
  <c r="DD24" i="21"/>
  <c r="DC24" i="21"/>
  <c r="CU24" i="21"/>
  <c r="CT24" i="21"/>
  <c r="CS24" i="21"/>
  <c r="CR24" i="21"/>
  <c r="CQ24" i="21"/>
  <c r="CP24" i="21"/>
  <c r="CO24" i="21"/>
  <c r="CK24" i="21"/>
  <c r="CJ24" i="21"/>
  <c r="CI24" i="21"/>
  <c r="CF24" i="21"/>
  <c r="CE24" i="21"/>
  <c r="CB24" i="21"/>
  <c r="BZ24" i="21"/>
  <c r="BR24" i="21"/>
  <c r="BQ24" i="21"/>
  <c r="BN24" i="21"/>
  <c r="BL24" i="21"/>
  <c r="BF24" i="21"/>
  <c r="BE24" i="21"/>
  <c r="BD24" i="21" s="1"/>
  <c r="BB24" i="21"/>
  <c r="BA24" i="21"/>
  <c r="AX24" i="21"/>
  <c r="AW24" i="21"/>
  <c r="AV24" i="21" s="1"/>
  <c r="AS24" i="21"/>
  <c r="AR24" i="21"/>
  <c r="AL24" i="21"/>
  <c r="AG24" i="21"/>
  <c r="AK24" i="21" s="1"/>
  <c r="Z24" i="21"/>
  <c r="T24" i="21"/>
  <c r="S24" i="21"/>
  <c r="P24" i="21"/>
  <c r="N24" i="21"/>
  <c r="L24" i="21"/>
  <c r="K24" i="21"/>
  <c r="H24" i="21"/>
  <c r="F24" i="21"/>
  <c r="AAU23" i="21"/>
  <c r="AAT23" i="21"/>
  <c r="AAQ23" i="21"/>
  <c r="AAP23" i="21"/>
  <c r="AAI23" i="21"/>
  <c r="AAH23" i="21"/>
  <c r="ZT23" i="21"/>
  <c r="ZR23" i="21"/>
  <c r="ZQ23" i="21"/>
  <c r="ZO23" i="21"/>
  <c r="ZN23" i="21"/>
  <c r="ZM23" i="21"/>
  <c r="ZK23" i="21"/>
  <c r="YW23" i="21"/>
  <c r="YV23" i="21"/>
  <c r="YT23" i="21"/>
  <c r="YZ23" i="21" s="1"/>
  <c r="YS23" i="21"/>
  <c r="YE23" i="21"/>
  <c r="YD23" i="21"/>
  <c r="YC23" i="21"/>
  <c r="YA23" i="21"/>
  <c r="XZ23" i="21"/>
  <c r="XY23" i="21"/>
  <c r="XX23" i="21"/>
  <c r="XW23" i="21"/>
  <c r="XP23" i="21"/>
  <c r="XO23" i="21"/>
  <c r="XN23" i="21" s="1"/>
  <c r="XL23" i="21"/>
  <c r="XJ23" i="21"/>
  <c r="XG23" i="21"/>
  <c r="XF23" i="21"/>
  <c r="XE23" i="21"/>
  <c r="XA23" i="21"/>
  <c r="WZ23" i="21"/>
  <c r="WY23" i="21"/>
  <c r="WU23" i="21"/>
  <c r="WT23" i="21"/>
  <c r="WS23" i="21"/>
  <c r="WG23" i="21"/>
  <c r="WF23" i="21"/>
  <c r="WA23" i="21"/>
  <c r="VZ23" i="21"/>
  <c r="VY23" i="21"/>
  <c r="VV23" i="21"/>
  <c r="VT23" i="21"/>
  <c r="VR23" i="21"/>
  <c r="VP23" i="21"/>
  <c r="VN23" i="21"/>
  <c r="VL23" i="21"/>
  <c r="VJ23" i="21"/>
  <c r="UM23" i="21"/>
  <c r="UL23" i="21"/>
  <c r="UK23" i="21"/>
  <c r="UJ23" i="21"/>
  <c r="UI23" i="21"/>
  <c r="UH23" i="21"/>
  <c r="KJ20" i="5" s="1"/>
  <c r="UG23" i="21"/>
  <c r="UE23" i="21"/>
  <c r="UD23" i="21"/>
  <c r="UC23" i="21"/>
  <c r="UB23" i="21"/>
  <c r="UA23" i="21"/>
  <c r="KM20" i="5" s="1"/>
  <c r="TZ23" i="21"/>
  <c r="TK23" i="21"/>
  <c r="TJ23" i="21"/>
  <c r="TI23" i="21"/>
  <c r="TH23" i="21"/>
  <c r="TG23" i="21"/>
  <c r="TF23" i="21"/>
  <c r="TE23" i="21"/>
  <c r="SW23" i="21"/>
  <c r="SV23" i="21"/>
  <c r="SU23" i="21"/>
  <c r="ST23" i="21"/>
  <c r="SS23" i="21"/>
  <c r="SR23" i="21"/>
  <c r="KH20" i="5" s="1"/>
  <c r="SQ23" i="21"/>
  <c r="SM23" i="21"/>
  <c r="SL23" i="21"/>
  <c r="SK23" i="21"/>
  <c r="SF23" i="21"/>
  <c r="SE23" i="21"/>
  <c r="SD23" i="21"/>
  <c r="SC23" i="21"/>
  <c r="RY23" i="21"/>
  <c r="RX23" i="21"/>
  <c r="RW23" i="21"/>
  <c r="RS23" i="21"/>
  <c r="RR23" i="21"/>
  <c r="RQ23" i="21"/>
  <c r="RO23" i="21"/>
  <c r="RN23" i="21"/>
  <c r="RG23" i="21"/>
  <c r="RF23" i="21"/>
  <c r="RE23" i="21"/>
  <c r="RA23" i="21"/>
  <c r="QZ23" i="21"/>
  <c r="QY23" i="21"/>
  <c r="QU23" i="21"/>
  <c r="QT23" i="21"/>
  <c r="QS23" i="21"/>
  <c r="QO23" i="21"/>
  <c r="QN23" i="21"/>
  <c r="QM23" i="21"/>
  <c r="QK23" i="21"/>
  <c r="QJ23" i="21"/>
  <c r="QC23" i="21"/>
  <c r="QB23" i="21"/>
  <c r="QA23" i="21"/>
  <c r="PR23" i="21"/>
  <c r="PQ23" i="21"/>
  <c r="PL23" i="21"/>
  <c r="PK23" i="21"/>
  <c r="PJ23" i="21"/>
  <c r="PI23" i="21"/>
  <c r="PG23" i="21"/>
  <c r="PF23" i="21"/>
  <c r="PE23" i="21"/>
  <c r="OV23" i="21"/>
  <c r="OT23" i="21"/>
  <c r="OS23" i="21"/>
  <c r="ON23" i="21"/>
  <c r="OM23" i="21"/>
  <c r="OL23" i="21"/>
  <c r="OK23" i="21"/>
  <c r="OF23" i="21"/>
  <c r="OE23" i="21"/>
  <c r="OD23" i="21"/>
  <c r="OC23" i="21"/>
  <c r="NY23" i="21"/>
  <c r="NX23" i="21"/>
  <c r="NW23" i="21"/>
  <c r="NU23" i="21"/>
  <c r="NT23" i="21"/>
  <c r="NM23" i="21"/>
  <c r="NL23" i="21"/>
  <c r="NK23" i="21"/>
  <c r="NA23" i="21"/>
  <c r="NI23" i="21" s="1"/>
  <c r="MZ23" i="21"/>
  <c r="MY23" i="21"/>
  <c r="MX23" i="21"/>
  <c r="MW23" i="21"/>
  <c r="MV23" i="21"/>
  <c r="MU23" i="21"/>
  <c r="MP23" i="21"/>
  <c r="MO23" i="21"/>
  <c r="MN23" i="21"/>
  <c r="MM23" i="21"/>
  <c r="MK23" i="21"/>
  <c r="MJ23" i="21"/>
  <c r="MI23" i="21"/>
  <c r="LZ23" i="21"/>
  <c r="LY23" i="21"/>
  <c r="LX23" i="21"/>
  <c r="LW23" i="21"/>
  <c r="LR23" i="21"/>
  <c r="LQ23" i="21"/>
  <c r="LP23" i="21"/>
  <c r="LO23" i="21"/>
  <c r="LK23" i="21"/>
  <c r="LJ23" i="21"/>
  <c r="LI23" i="21"/>
  <c r="LG23" i="21"/>
  <c r="LF23" i="21"/>
  <c r="KW23" i="21"/>
  <c r="KT23" i="21"/>
  <c r="KS23" i="21"/>
  <c r="KM23" i="21"/>
  <c r="KJ23" i="21"/>
  <c r="KI23" i="21"/>
  <c r="KE23" i="21"/>
  <c r="KD23" i="21"/>
  <c r="KC23" i="21"/>
  <c r="KA23" i="21"/>
  <c r="JZ23" i="21"/>
  <c r="JS23" i="21"/>
  <c r="JR23" i="21"/>
  <c r="JQ23" i="21"/>
  <c r="JM23" i="21"/>
  <c r="JL23" i="21"/>
  <c r="JK23" i="21"/>
  <c r="JG23" i="21"/>
  <c r="JF23" i="21"/>
  <c r="JE23" i="21"/>
  <c r="JA23" i="21"/>
  <c r="IZ23" i="21"/>
  <c r="IY23" i="21"/>
  <c r="IK23" i="21"/>
  <c r="IJ23" i="21"/>
  <c r="II23" i="21"/>
  <c r="IE23" i="21"/>
  <c r="ID23" i="21"/>
  <c r="IC23" i="21"/>
  <c r="IA23" i="21"/>
  <c r="HZ23" i="21"/>
  <c r="HS23" i="21"/>
  <c r="HR23" i="21"/>
  <c r="HQ23" i="21"/>
  <c r="HM23" i="21"/>
  <c r="HJ23" i="21"/>
  <c r="HG23" i="21"/>
  <c r="HF23" i="21"/>
  <c r="HE23" i="21"/>
  <c r="GX23" i="21"/>
  <c r="HC23" i="21" s="1"/>
  <c r="GW23" i="21"/>
  <c r="GV23" i="21" s="1"/>
  <c r="HB23" i="21" s="1"/>
  <c r="GZ23" i="21" s="1"/>
  <c r="GR23" i="21"/>
  <c r="GQ23" i="21"/>
  <c r="GP23" i="21"/>
  <c r="GO23" i="21"/>
  <c r="GA23" i="21"/>
  <c r="FZ23" i="21"/>
  <c r="AH21" i="16" s="1"/>
  <c r="FY23" i="21"/>
  <c r="FU23" i="21"/>
  <c r="FT23" i="21"/>
  <c r="FS23" i="21"/>
  <c r="FO23" i="21"/>
  <c r="FN23" i="21"/>
  <c r="FM23" i="21"/>
  <c r="FK23" i="21"/>
  <c r="FJ23" i="21"/>
  <c r="FC23" i="21"/>
  <c r="FB23" i="21"/>
  <c r="FA23" i="21"/>
  <c r="EW23" i="21"/>
  <c r="EV23" i="21"/>
  <c r="EU23" i="21"/>
  <c r="EQ23" i="21"/>
  <c r="EP23" i="21"/>
  <c r="EO23" i="21"/>
  <c r="EJ23" i="21"/>
  <c r="EI23" i="21"/>
  <c r="EH23" i="21"/>
  <c r="EG23" i="21"/>
  <c r="EC23" i="21"/>
  <c r="EB23" i="21"/>
  <c r="EA23" i="21"/>
  <c r="DW23" i="21"/>
  <c r="DV23" i="21"/>
  <c r="DU23" i="21"/>
  <c r="DP23" i="21"/>
  <c r="DO23" i="21"/>
  <c r="DN23" i="21"/>
  <c r="DM23" i="21"/>
  <c r="DE23" i="21"/>
  <c r="DK23" i="21" s="1"/>
  <c r="DI23" i="21" s="1"/>
  <c r="DD23" i="21"/>
  <c r="DC23" i="21"/>
  <c r="CU23" i="21"/>
  <c r="CT23" i="21"/>
  <c r="CS23" i="21"/>
  <c r="CR23" i="21"/>
  <c r="CQ23" i="21"/>
  <c r="CP23" i="21"/>
  <c r="CO23" i="21"/>
  <c r="CK23" i="21"/>
  <c r="CJ23" i="21"/>
  <c r="CI23" i="21"/>
  <c r="CF23" i="21"/>
  <c r="CE23" i="21"/>
  <c r="CB23" i="21"/>
  <c r="BZ23" i="21"/>
  <c r="BR23" i="21"/>
  <c r="BQ23" i="21"/>
  <c r="BN23" i="21"/>
  <c r="BL23" i="21"/>
  <c r="BF23" i="21"/>
  <c r="BK23" i="21" s="1"/>
  <c r="BE23" i="21"/>
  <c r="BD23" i="21" s="1"/>
  <c r="BB23" i="21"/>
  <c r="BA23" i="21"/>
  <c r="AX23" i="21"/>
  <c r="AW23" i="21"/>
  <c r="AV23" i="21" s="1"/>
  <c r="AS23" i="21"/>
  <c r="AR23" i="21"/>
  <c r="AL23" i="21"/>
  <c r="AG23" i="21"/>
  <c r="AK23" i="21" s="1"/>
  <c r="Z23" i="21"/>
  <c r="T23" i="21"/>
  <c r="S23" i="21"/>
  <c r="L23" i="21"/>
  <c r="K23" i="21"/>
  <c r="H23" i="21"/>
  <c r="F23" i="21"/>
  <c r="AAU22" i="21"/>
  <c r="AAT22" i="21"/>
  <c r="AAQ22" i="21"/>
  <c r="AAP22" i="21"/>
  <c r="AAI22" i="21"/>
  <c r="AAH22" i="21"/>
  <c r="ZT22" i="21"/>
  <c r="ZR22" i="21"/>
  <c r="ZQ22" i="21"/>
  <c r="ZO22" i="21"/>
  <c r="ZN22" i="21"/>
  <c r="ZM22" i="21"/>
  <c r="ZK22" i="21"/>
  <c r="YW22" i="21"/>
  <c r="YT22" i="21"/>
  <c r="YZ22" i="21" s="1"/>
  <c r="YS22" i="21"/>
  <c r="YE22" i="21"/>
  <c r="YD22" i="21"/>
  <c r="YC22" i="21"/>
  <c r="YB22" i="21"/>
  <c r="YA22" i="21"/>
  <c r="XZ22" i="21"/>
  <c r="XY22" i="21"/>
  <c r="XX22" i="21"/>
  <c r="XW22" i="21"/>
  <c r="XP22" i="21"/>
  <c r="XU22" i="21" s="1"/>
  <c r="XO22" i="21"/>
  <c r="XN22" i="21" s="1"/>
  <c r="XL22" i="21"/>
  <c r="XJ22" i="21"/>
  <c r="XG22" i="21"/>
  <c r="XF22" i="21"/>
  <c r="XE22" i="21"/>
  <c r="XA22" i="21"/>
  <c r="WZ22" i="21"/>
  <c r="WY22" i="21"/>
  <c r="WU22" i="21"/>
  <c r="WT22" i="21"/>
  <c r="WS22" i="21"/>
  <c r="WG22" i="21"/>
  <c r="WF22" i="21"/>
  <c r="WA22" i="21"/>
  <c r="VZ22" i="21"/>
  <c r="VY22" i="21"/>
  <c r="VV22" i="21"/>
  <c r="VT22" i="21"/>
  <c r="VR22" i="21"/>
  <c r="VP22" i="21"/>
  <c r="VN22" i="21"/>
  <c r="VL22" i="21"/>
  <c r="VJ22" i="21"/>
  <c r="UM22" i="21"/>
  <c r="UL22" i="21"/>
  <c r="UK22" i="21"/>
  <c r="UJ22" i="21"/>
  <c r="UI22" i="21"/>
  <c r="UH22" i="21"/>
  <c r="KJ19" i="5" s="1"/>
  <c r="UG22" i="21"/>
  <c r="UE22" i="21"/>
  <c r="UD22" i="21"/>
  <c r="UC22" i="21"/>
  <c r="UB22" i="21"/>
  <c r="UA22" i="21"/>
  <c r="KM19" i="5" s="1"/>
  <c r="TZ22" i="21"/>
  <c r="TK22" i="21"/>
  <c r="TJ22" i="21"/>
  <c r="TI22" i="21"/>
  <c r="TH22" i="21"/>
  <c r="TG22" i="21"/>
  <c r="TF22" i="21"/>
  <c r="TE22" i="21"/>
  <c r="SW22" i="21"/>
  <c r="SV22" i="21"/>
  <c r="SU22" i="21"/>
  <c r="ST22" i="21"/>
  <c r="SS22" i="21"/>
  <c r="SR22" i="21"/>
  <c r="KH19" i="5" s="1"/>
  <c r="SQ22" i="21"/>
  <c r="SM22" i="21"/>
  <c r="SL22" i="21"/>
  <c r="SK22" i="21"/>
  <c r="SF22" i="21"/>
  <c r="SE22" i="21"/>
  <c r="SD22" i="21"/>
  <c r="SC22" i="21"/>
  <c r="RY22" i="21"/>
  <c r="RX22" i="21"/>
  <c r="RW22" i="21"/>
  <c r="RS22" i="21"/>
  <c r="RR22" i="21"/>
  <c r="RQ22" i="21"/>
  <c r="RO22" i="21"/>
  <c r="RN22" i="21"/>
  <c r="RG22" i="21"/>
  <c r="RF22" i="21"/>
  <c r="RE22" i="21"/>
  <c r="RA22" i="21"/>
  <c r="QZ22" i="21"/>
  <c r="QY22" i="21"/>
  <c r="QU22" i="21"/>
  <c r="QT22" i="21"/>
  <c r="QS22" i="21"/>
  <c r="QO22" i="21"/>
  <c r="QN22" i="21"/>
  <c r="QM22" i="21"/>
  <c r="QK22" i="21"/>
  <c r="QJ22" i="21"/>
  <c r="QC22" i="21"/>
  <c r="QB22" i="21"/>
  <c r="QA22" i="21"/>
  <c r="PR22" i="21"/>
  <c r="PQ22" i="21"/>
  <c r="PL22" i="21"/>
  <c r="PK22" i="21"/>
  <c r="PJ22" i="21"/>
  <c r="PI22" i="21"/>
  <c r="PG22" i="21"/>
  <c r="PF22" i="21"/>
  <c r="PE22" i="21"/>
  <c r="OV22" i="21"/>
  <c r="OU22" i="21"/>
  <c r="OT22" i="21"/>
  <c r="OS22" i="21"/>
  <c r="ON22" i="21"/>
  <c r="OM22" i="21"/>
  <c r="OL22" i="21"/>
  <c r="OK22" i="21"/>
  <c r="OF22" i="21"/>
  <c r="OE22" i="21"/>
  <c r="OD22" i="21"/>
  <c r="OC22" i="21"/>
  <c r="NY22" i="21"/>
  <c r="NX22" i="21"/>
  <c r="NW22" i="21"/>
  <c r="NU22" i="21"/>
  <c r="NT22" i="21"/>
  <c r="NM22" i="21"/>
  <c r="NL22" i="21"/>
  <c r="NK22" i="21"/>
  <c r="NA22" i="21"/>
  <c r="NI22" i="21" s="1"/>
  <c r="MZ22" i="21"/>
  <c r="MY22" i="21"/>
  <c r="MX22" i="21"/>
  <c r="MW22" i="21"/>
  <c r="MV22" i="21"/>
  <c r="MU22" i="21"/>
  <c r="MP22" i="21"/>
  <c r="MO22" i="21"/>
  <c r="MN22" i="21"/>
  <c r="MM22" i="21"/>
  <c r="MK22" i="21"/>
  <c r="MJ22" i="21"/>
  <c r="MI22" i="21"/>
  <c r="LZ22" i="21"/>
  <c r="LY22" i="21"/>
  <c r="LX22" i="21"/>
  <c r="LW22" i="21"/>
  <c r="LR22" i="21"/>
  <c r="LQ22" i="21"/>
  <c r="LP22" i="21"/>
  <c r="LO22" i="21"/>
  <c r="LK22" i="21"/>
  <c r="LJ22" i="21"/>
  <c r="LI22" i="21"/>
  <c r="LG22" i="21"/>
  <c r="LF22" i="21"/>
  <c r="KW22" i="21"/>
  <c r="KT22" i="21"/>
  <c r="KS22" i="21"/>
  <c r="KM22" i="21"/>
  <c r="KJ22" i="21"/>
  <c r="KI22" i="21"/>
  <c r="KE22" i="21"/>
  <c r="KD22" i="21"/>
  <c r="KC22" i="21"/>
  <c r="KA22" i="21"/>
  <c r="JZ22" i="21"/>
  <c r="JS22" i="21"/>
  <c r="JR22" i="21"/>
  <c r="JQ22" i="21"/>
  <c r="JM22" i="21"/>
  <c r="JL22" i="21"/>
  <c r="JK22" i="21"/>
  <c r="JG22" i="21"/>
  <c r="JF22" i="21"/>
  <c r="JE22" i="21"/>
  <c r="JA22" i="21"/>
  <c r="IZ22" i="21"/>
  <c r="IY22" i="21"/>
  <c r="IK22" i="21"/>
  <c r="IJ22" i="21"/>
  <c r="II22" i="21"/>
  <c r="IE22" i="21"/>
  <c r="ID22" i="21"/>
  <c r="IC22" i="21"/>
  <c r="IA22" i="21"/>
  <c r="HZ22" i="21"/>
  <c r="HS22" i="21"/>
  <c r="HR22" i="21"/>
  <c r="HQ22" i="21"/>
  <c r="HM22" i="21"/>
  <c r="HJ22" i="21"/>
  <c r="HG22" i="21"/>
  <c r="HF22" i="21"/>
  <c r="HE22" i="21"/>
  <c r="GX22" i="21"/>
  <c r="HC22" i="21" s="1"/>
  <c r="HA22" i="21" s="1"/>
  <c r="GW22" i="21"/>
  <c r="GV22" i="21" s="1"/>
  <c r="GR22" i="21"/>
  <c r="GQ22" i="21"/>
  <c r="GP22" i="21"/>
  <c r="GO22" i="21"/>
  <c r="GA22" i="21"/>
  <c r="FZ22" i="21"/>
  <c r="AH20" i="16" s="1"/>
  <c r="FY22" i="21"/>
  <c r="FU22" i="21"/>
  <c r="FT22" i="21"/>
  <c r="FS22" i="21"/>
  <c r="FO22" i="21"/>
  <c r="FN22" i="21"/>
  <c r="FM22" i="21"/>
  <c r="FK22" i="21"/>
  <c r="FJ22" i="21"/>
  <c r="FC22" i="21"/>
  <c r="FB22" i="21"/>
  <c r="FA22" i="21"/>
  <c r="EW22" i="21"/>
  <c r="EV22" i="21"/>
  <c r="EU22" i="21"/>
  <c r="EQ22" i="21"/>
  <c r="EP22" i="21"/>
  <c r="EO22" i="21"/>
  <c r="EJ22" i="21"/>
  <c r="EI22" i="21"/>
  <c r="EH22" i="21"/>
  <c r="EG22" i="21"/>
  <c r="EC22" i="21"/>
  <c r="EB22" i="21"/>
  <c r="EA22" i="21"/>
  <c r="DW22" i="21"/>
  <c r="DV22" i="21"/>
  <c r="DU22" i="21"/>
  <c r="DP22" i="21"/>
  <c r="DO22" i="21"/>
  <c r="DN22" i="21"/>
  <c r="DM22" i="21"/>
  <c r="DE22" i="21"/>
  <c r="DK22" i="21" s="1"/>
  <c r="DI22" i="21" s="1"/>
  <c r="DD22" i="21"/>
  <c r="DC22" i="21"/>
  <c r="CU22" i="21"/>
  <c r="CT22" i="21"/>
  <c r="CS22" i="21"/>
  <c r="CR22" i="21"/>
  <c r="CQ22" i="21"/>
  <c r="CP22" i="21"/>
  <c r="CO22" i="21"/>
  <c r="CK22" i="21"/>
  <c r="CJ22" i="21"/>
  <c r="CI22" i="21"/>
  <c r="CF22" i="21"/>
  <c r="CE22" i="21"/>
  <c r="CB22" i="21"/>
  <c r="BZ22" i="21"/>
  <c r="BR22" i="21"/>
  <c r="BQ22" i="21"/>
  <c r="BN22" i="21"/>
  <c r="BL22" i="21"/>
  <c r="BF22" i="21"/>
  <c r="BK22" i="21" s="1"/>
  <c r="BE22" i="21"/>
  <c r="BD22" i="21" s="1"/>
  <c r="BB22" i="21"/>
  <c r="BA22" i="21"/>
  <c r="AX22" i="21"/>
  <c r="AW22" i="21"/>
  <c r="AS22" i="21"/>
  <c r="AR22" i="21"/>
  <c r="AQ22" i="21"/>
  <c r="AL22" i="21"/>
  <c r="AG22" i="21"/>
  <c r="AK22" i="21" s="1"/>
  <c r="Z22" i="21"/>
  <c r="T22" i="21"/>
  <c r="S22" i="21"/>
  <c r="P22" i="21"/>
  <c r="N22" i="21"/>
  <c r="L22" i="21"/>
  <c r="K22" i="21"/>
  <c r="H22" i="21"/>
  <c r="F22" i="21"/>
  <c r="AAU14" i="21"/>
  <c r="AAT14" i="21"/>
  <c r="AAQ14" i="21"/>
  <c r="AAP14" i="21"/>
  <c r="AAI14" i="21"/>
  <c r="AAH14" i="21"/>
  <c r="ZT14" i="21"/>
  <c r="ZR14" i="21"/>
  <c r="ZQ14" i="21"/>
  <c r="ZO14" i="21"/>
  <c r="ZN14" i="21"/>
  <c r="ZM14" i="21"/>
  <c r="ZK14" i="21"/>
  <c r="YW14" i="21"/>
  <c r="ZI14" i="21" s="1"/>
  <c r="YV14" i="21"/>
  <c r="YU14" i="21"/>
  <c r="ZG14" i="21" s="1"/>
  <c r="YT14" i="21"/>
  <c r="YZ14" i="21" s="1"/>
  <c r="YS14" i="21"/>
  <c r="YE14" i="21"/>
  <c r="YD14" i="21"/>
  <c r="YC14" i="21"/>
  <c r="YB14" i="21"/>
  <c r="YA14" i="21"/>
  <c r="XZ14" i="21"/>
  <c r="XY14" i="21"/>
  <c r="XX14" i="21"/>
  <c r="XW14" i="21"/>
  <c r="XP14" i="21"/>
  <c r="XO14" i="21"/>
  <c r="XN14" i="21" s="1"/>
  <c r="XL14" i="21"/>
  <c r="XJ14" i="21"/>
  <c r="XG14" i="21"/>
  <c r="XF14" i="21"/>
  <c r="XE14" i="21"/>
  <c r="XA14" i="21"/>
  <c r="WZ14" i="21"/>
  <c r="WY14" i="21"/>
  <c r="WU14" i="21"/>
  <c r="WT14" i="21"/>
  <c r="WS14" i="21"/>
  <c r="WG14" i="21"/>
  <c r="WF14" i="21"/>
  <c r="WA14" i="21"/>
  <c r="VZ14" i="21"/>
  <c r="VY14" i="21"/>
  <c r="VV14" i="21"/>
  <c r="VT14" i="21"/>
  <c r="VR14" i="21"/>
  <c r="VP14" i="21"/>
  <c r="VN14" i="21"/>
  <c r="VL14" i="21"/>
  <c r="VJ14" i="21"/>
  <c r="UM14" i="21"/>
  <c r="UL14" i="21"/>
  <c r="UK14" i="21"/>
  <c r="UJ14" i="21"/>
  <c r="UI14" i="21"/>
  <c r="UH14" i="21"/>
  <c r="KJ18" i="5" s="1"/>
  <c r="UG14" i="21"/>
  <c r="UE14" i="21"/>
  <c r="UD14" i="21"/>
  <c r="UC14" i="21"/>
  <c r="UB14" i="21"/>
  <c r="UA14" i="21"/>
  <c r="KM18" i="5" s="1"/>
  <c r="TZ14" i="21"/>
  <c r="TK14" i="21"/>
  <c r="TJ14" i="21"/>
  <c r="TI14" i="21"/>
  <c r="TH14" i="21"/>
  <c r="TG14" i="21"/>
  <c r="TF14" i="21"/>
  <c r="TE14" i="21"/>
  <c r="SW14" i="21"/>
  <c r="SV14" i="21"/>
  <c r="SU14" i="21"/>
  <c r="ST14" i="21"/>
  <c r="SS14" i="21"/>
  <c r="SR14" i="21"/>
  <c r="KH18" i="5" s="1"/>
  <c r="SQ14" i="21"/>
  <c r="SM14" i="21"/>
  <c r="SL14" i="21"/>
  <c r="SK14" i="21"/>
  <c r="SF14" i="21"/>
  <c r="SE14" i="21"/>
  <c r="SD14" i="21"/>
  <c r="SC14" i="21"/>
  <c r="RY14" i="21"/>
  <c r="RX14" i="21"/>
  <c r="RW14" i="21"/>
  <c r="RS14" i="21"/>
  <c r="RR14" i="21"/>
  <c r="RQ14" i="21"/>
  <c r="RO14" i="21"/>
  <c r="RN14" i="21"/>
  <c r="RG14" i="21"/>
  <c r="RF14" i="21"/>
  <c r="RE14" i="21"/>
  <c r="RA14" i="21"/>
  <c r="QZ14" i="21"/>
  <c r="QY14" i="21"/>
  <c r="QU14" i="21"/>
  <c r="QT14" i="21"/>
  <c r="QS14" i="21"/>
  <c r="QO14" i="21"/>
  <c r="QN14" i="21"/>
  <c r="QM14" i="21"/>
  <c r="QK14" i="21"/>
  <c r="QJ14" i="21"/>
  <c r="QC14" i="21"/>
  <c r="QB14" i="21"/>
  <c r="QA14" i="21"/>
  <c r="PR14" i="21"/>
  <c r="PQ14" i="21"/>
  <c r="PL14" i="21"/>
  <c r="PK14" i="21"/>
  <c r="PJ14" i="21"/>
  <c r="PI14" i="21"/>
  <c r="PG14" i="21"/>
  <c r="PF14" i="21"/>
  <c r="PE14" i="21"/>
  <c r="OV14" i="21"/>
  <c r="OU14" i="21"/>
  <c r="OT14" i="21"/>
  <c r="OS14" i="21"/>
  <c r="ON14" i="21"/>
  <c r="OM14" i="21"/>
  <c r="OL14" i="21"/>
  <c r="OK14" i="21"/>
  <c r="OF14" i="21"/>
  <c r="OE14" i="21"/>
  <c r="OD14" i="21"/>
  <c r="OC14" i="21"/>
  <c r="NY14" i="21"/>
  <c r="NX14" i="21"/>
  <c r="NW14" i="21"/>
  <c r="NU14" i="21"/>
  <c r="NT14" i="21"/>
  <c r="NM14" i="21"/>
  <c r="NL14" i="21"/>
  <c r="NK14" i="21"/>
  <c r="NA14" i="21"/>
  <c r="NI14" i="21" s="1"/>
  <c r="MZ14" i="21"/>
  <c r="MY14" i="21"/>
  <c r="MX14" i="21"/>
  <c r="MW14" i="21"/>
  <c r="MV14" i="21"/>
  <c r="MU14" i="21"/>
  <c r="MP14" i="21"/>
  <c r="MO14" i="21"/>
  <c r="MN14" i="21"/>
  <c r="MM14" i="21"/>
  <c r="MK14" i="21"/>
  <c r="MJ14" i="21"/>
  <c r="MI14" i="21"/>
  <c r="LZ14" i="21"/>
  <c r="LY14" i="21"/>
  <c r="LX14" i="21"/>
  <c r="LW14" i="21"/>
  <c r="LR14" i="21"/>
  <c r="LQ14" i="21"/>
  <c r="LP14" i="21"/>
  <c r="LO14" i="21"/>
  <c r="LK14" i="21"/>
  <c r="LJ14" i="21"/>
  <c r="LI14" i="21"/>
  <c r="LG14" i="21"/>
  <c r="LF14" i="21"/>
  <c r="KW14" i="21"/>
  <c r="KT14" i="21"/>
  <c r="KS14" i="21"/>
  <c r="KM14" i="21"/>
  <c r="KJ14" i="21"/>
  <c r="KI14" i="21"/>
  <c r="KE14" i="21"/>
  <c r="KD14" i="21"/>
  <c r="KC14" i="21"/>
  <c r="KA14" i="21"/>
  <c r="JZ14" i="21"/>
  <c r="JS14" i="21"/>
  <c r="JR14" i="21"/>
  <c r="JQ14" i="21"/>
  <c r="JM14" i="21"/>
  <c r="JL14" i="21"/>
  <c r="JK14" i="21"/>
  <c r="JG14" i="21"/>
  <c r="JF14" i="21"/>
  <c r="JE14" i="21"/>
  <c r="JA14" i="21"/>
  <c r="IZ14" i="21"/>
  <c r="IY14" i="21"/>
  <c r="IK14" i="21"/>
  <c r="IJ14" i="21"/>
  <c r="II14" i="21"/>
  <c r="IE14" i="21"/>
  <c r="ID14" i="21"/>
  <c r="IC14" i="21"/>
  <c r="IA14" i="21"/>
  <c r="HZ14" i="21"/>
  <c r="HS14" i="21"/>
  <c r="HR14" i="21"/>
  <c r="HQ14" i="21"/>
  <c r="HM14" i="21"/>
  <c r="HJ14" i="21"/>
  <c r="HG14" i="21"/>
  <c r="HF14" i="21"/>
  <c r="HE14" i="21"/>
  <c r="GX14" i="21"/>
  <c r="HC14" i="21" s="1"/>
  <c r="HA14" i="21" s="1"/>
  <c r="GW14" i="21"/>
  <c r="GV14" i="21" s="1"/>
  <c r="GR14" i="21"/>
  <c r="GQ14" i="21"/>
  <c r="GP14" i="21"/>
  <c r="GO14" i="21"/>
  <c r="GA14" i="21"/>
  <c r="FZ14" i="21"/>
  <c r="AH19" i="16" s="1"/>
  <c r="FY14" i="21"/>
  <c r="FU14" i="21"/>
  <c r="FT14" i="21"/>
  <c r="FS14" i="21"/>
  <c r="FO14" i="21"/>
  <c r="FN14" i="21"/>
  <c r="FM14" i="21"/>
  <c r="FK14" i="21"/>
  <c r="FJ14" i="21"/>
  <c r="FC14" i="21"/>
  <c r="FB14" i="21"/>
  <c r="FA14" i="21"/>
  <c r="EW14" i="21"/>
  <c r="EV14" i="21"/>
  <c r="EU14" i="21"/>
  <c r="EQ14" i="21"/>
  <c r="EP14" i="21"/>
  <c r="EO14" i="21"/>
  <c r="EJ14" i="21"/>
  <c r="EI14" i="21"/>
  <c r="EH14" i="21"/>
  <c r="EG14" i="21"/>
  <c r="EC14" i="21"/>
  <c r="EB14" i="21"/>
  <c r="EA14" i="21"/>
  <c r="DW14" i="21"/>
  <c r="DV14" i="21"/>
  <c r="DU14" i="21"/>
  <c r="DP14" i="21"/>
  <c r="DO14" i="21"/>
  <c r="DN14" i="21"/>
  <c r="DM14" i="21"/>
  <c r="DE14" i="21"/>
  <c r="DD14" i="21"/>
  <c r="DC14" i="21"/>
  <c r="CU14" i="21"/>
  <c r="CT14" i="21"/>
  <c r="CS14" i="21"/>
  <c r="CR14" i="21"/>
  <c r="CQ14" i="21"/>
  <c r="CP14" i="21"/>
  <c r="CO14" i="21"/>
  <c r="CK14" i="21"/>
  <c r="CJ14" i="21"/>
  <c r="CI14" i="21"/>
  <c r="CF14" i="21"/>
  <c r="CE14" i="21"/>
  <c r="CB14" i="21"/>
  <c r="BZ14" i="21"/>
  <c r="BR14" i="21"/>
  <c r="BQ14" i="21"/>
  <c r="BN14" i="21"/>
  <c r="BL14" i="21"/>
  <c r="BF14" i="21"/>
  <c r="BK14" i="21" s="1"/>
  <c r="BI14" i="21" s="1"/>
  <c r="BE14" i="21"/>
  <c r="BD14" i="21" s="1"/>
  <c r="BB14" i="21"/>
  <c r="BA14" i="21"/>
  <c r="AX14" i="21"/>
  <c r="AW14" i="21"/>
  <c r="AV14" i="21" s="1"/>
  <c r="AS14" i="21"/>
  <c r="AR14" i="21"/>
  <c r="AQ14" i="21"/>
  <c r="AL14" i="21"/>
  <c r="AG14" i="21"/>
  <c r="AK14" i="21" s="1"/>
  <c r="Z14" i="21"/>
  <c r="T14" i="21"/>
  <c r="S14" i="21"/>
  <c r="P14" i="21"/>
  <c r="N14" i="21"/>
  <c r="L14" i="21"/>
  <c r="K14" i="21"/>
  <c r="H14" i="21"/>
  <c r="F14" i="21"/>
  <c r="AAU21" i="21"/>
  <c r="AAT21" i="21"/>
  <c r="AAQ21" i="21"/>
  <c r="AAP21" i="21"/>
  <c r="AAI21" i="21"/>
  <c r="AAC21" i="21" s="1"/>
  <c r="AAH21" i="21"/>
  <c r="ZT21" i="21"/>
  <c r="ZR21" i="21"/>
  <c r="ZQ21" i="21"/>
  <c r="ZO21" i="21"/>
  <c r="ZN21" i="21"/>
  <c r="ZM21" i="21"/>
  <c r="ZK21" i="21"/>
  <c r="YW21" i="21"/>
  <c r="YV21" i="21"/>
  <c r="YU21" i="21"/>
  <c r="ZG21" i="21" s="1"/>
  <c r="YT21" i="21"/>
  <c r="YZ21" i="21" s="1"/>
  <c r="YS21" i="21"/>
  <c r="YE21" i="21"/>
  <c r="YD21" i="21"/>
  <c r="YC21" i="21"/>
  <c r="YB21" i="21"/>
  <c r="YA21" i="21"/>
  <c r="XZ21" i="21"/>
  <c r="XY21" i="21"/>
  <c r="XX21" i="21"/>
  <c r="XW21" i="21"/>
  <c r="XP21" i="21"/>
  <c r="XU21" i="21" s="1"/>
  <c r="XS21" i="21" s="1"/>
  <c r="XO21" i="21"/>
  <c r="XN21" i="21" s="1"/>
  <c r="XL21" i="21"/>
  <c r="XJ21" i="21"/>
  <c r="XG21" i="21"/>
  <c r="XF21" i="21"/>
  <c r="XE21" i="21"/>
  <c r="XA21" i="21"/>
  <c r="WZ21" i="21"/>
  <c r="WY21" i="21"/>
  <c r="WU21" i="21"/>
  <c r="WT21" i="21"/>
  <c r="WS21" i="21"/>
  <c r="WG21" i="21"/>
  <c r="WF21" i="21"/>
  <c r="WA21" i="21"/>
  <c r="VZ21" i="21"/>
  <c r="VY21" i="21"/>
  <c r="VV21" i="21"/>
  <c r="VT21" i="21"/>
  <c r="VR21" i="21"/>
  <c r="VP21" i="21"/>
  <c r="VN21" i="21"/>
  <c r="VL21" i="21"/>
  <c r="VJ21" i="21"/>
  <c r="UM21" i="21"/>
  <c r="UL21" i="21"/>
  <c r="UK21" i="21"/>
  <c r="UJ21" i="21"/>
  <c r="UI21" i="21"/>
  <c r="UH21" i="21"/>
  <c r="KJ17" i="5" s="1"/>
  <c r="UG21" i="21"/>
  <c r="UE21" i="21"/>
  <c r="UD21" i="21"/>
  <c r="UC21" i="21"/>
  <c r="UB21" i="21"/>
  <c r="UA21" i="21"/>
  <c r="KM17" i="5" s="1"/>
  <c r="TZ21" i="21"/>
  <c r="TK21" i="21"/>
  <c r="TJ21" i="21"/>
  <c r="TI21" i="21"/>
  <c r="TH21" i="21"/>
  <c r="TG21" i="21"/>
  <c r="TF21" i="21"/>
  <c r="TE21" i="21"/>
  <c r="SW21" i="21"/>
  <c r="SV21" i="21"/>
  <c r="SU21" i="21"/>
  <c r="ST21" i="21"/>
  <c r="SS21" i="21"/>
  <c r="SR21" i="21"/>
  <c r="KH17" i="5" s="1"/>
  <c r="SQ21" i="21"/>
  <c r="SM21" i="21"/>
  <c r="SL21" i="21"/>
  <c r="SK21" i="21"/>
  <c r="SF21" i="21"/>
  <c r="SE21" i="21"/>
  <c r="SC21" i="21"/>
  <c r="RY21" i="21"/>
  <c r="RX21" i="21"/>
  <c r="RW21" i="21"/>
  <c r="RS21" i="21"/>
  <c r="RR21" i="21"/>
  <c r="RQ21" i="21"/>
  <c r="RO21" i="21"/>
  <c r="RN21" i="21"/>
  <c r="RG21" i="21"/>
  <c r="RF21" i="21"/>
  <c r="RE21" i="21"/>
  <c r="RA21" i="21"/>
  <c r="QZ21" i="21"/>
  <c r="QY21" i="21"/>
  <c r="QU21" i="21"/>
  <c r="QT21" i="21"/>
  <c r="QS21" i="21"/>
  <c r="QO21" i="21"/>
  <c r="QN21" i="21"/>
  <c r="QM21" i="21"/>
  <c r="QK21" i="21"/>
  <c r="QJ21" i="21"/>
  <c r="QC21" i="21"/>
  <c r="QB21" i="21"/>
  <c r="QA21" i="21"/>
  <c r="PR21" i="21"/>
  <c r="PQ21" i="21"/>
  <c r="PL21" i="21"/>
  <c r="PK21" i="21"/>
  <c r="PJ21" i="21"/>
  <c r="PI21" i="21"/>
  <c r="PG21" i="21"/>
  <c r="PF21" i="21"/>
  <c r="PE21" i="21"/>
  <c r="OV21" i="21"/>
  <c r="OU21" i="21"/>
  <c r="OT21" i="21"/>
  <c r="OS21" i="21"/>
  <c r="ON21" i="21"/>
  <c r="OM21" i="21"/>
  <c r="OL21" i="21"/>
  <c r="OK21" i="21"/>
  <c r="OF21" i="21"/>
  <c r="OE21" i="21"/>
  <c r="OD21" i="21"/>
  <c r="OC21" i="21"/>
  <c r="NX21" i="21"/>
  <c r="NW21" i="21"/>
  <c r="NL21" i="21"/>
  <c r="NO21" i="21" s="1"/>
  <c r="OA21" i="21" s="1"/>
  <c r="NK21" i="21"/>
  <c r="NN21" i="21" s="1"/>
  <c r="NA21" i="21"/>
  <c r="NI21" i="21" s="1"/>
  <c r="MZ21" i="21"/>
  <c r="MY21" i="21"/>
  <c r="MX21" i="21"/>
  <c r="MW21" i="21"/>
  <c r="MV21" i="21"/>
  <c r="MU21" i="21"/>
  <c r="MP21" i="21"/>
  <c r="MO21" i="21"/>
  <c r="MN21" i="21"/>
  <c r="MM21" i="21"/>
  <c r="MK21" i="21"/>
  <c r="MJ21" i="21"/>
  <c r="MI21" i="21"/>
  <c r="LZ21" i="21"/>
  <c r="LY21" i="21"/>
  <c r="LX21" i="21"/>
  <c r="LW21" i="21"/>
  <c r="LR21" i="21"/>
  <c r="LQ21" i="21"/>
  <c r="LP21" i="21"/>
  <c r="LO21" i="21"/>
  <c r="LK21" i="21"/>
  <c r="LJ21" i="21"/>
  <c r="LI21" i="21"/>
  <c r="LG21" i="21"/>
  <c r="LF21" i="21"/>
  <c r="KW21" i="21"/>
  <c r="KT21" i="21"/>
  <c r="KS21" i="21"/>
  <c r="KM21" i="21"/>
  <c r="KJ21" i="21"/>
  <c r="KI21" i="21"/>
  <c r="KE21" i="21"/>
  <c r="KD21" i="21"/>
  <c r="KC21" i="21"/>
  <c r="KA21" i="21"/>
  <c r="JZ21" i="21"/>
  <c r="JS21" i="21"/>
  <c r="JR21" i="21"/>
  <c r="JQ21" i="21"/>
  <c r="JM21" i="21"/>
  <c r="JL21" i="21"/>
  <c r="JK21" i="21"/>
  <c r="JG21" i="21"/>
  <c r="JF21" i="21"/>
  <c r="JE21" i="21"/>
  <c r="JA21" i="21"/>
  <c r="IZ21" i="21"/>
  <c r="IY21" i="21"/>
  <c r="IK21" i="21"/>
  <c r="IJ21" i="21"/>
  <c r="II21" i="21"/>
  <c r="IE21" i="21"/>
  <c r="ID21" i="21"/>
  <c r="IC21" i="21"/>
  <c r="IA21" i="21"/>
  <c r="HZ21" i="21"/>
  <c r="HS21" i="21"/>
  <c r="HR21" i="21"/>
  <c r="HQ21" i="21"/>
  <c r="HM21" i="21"/>
  <c r="HJ21" i="21"/>
  <c r="HG21" i="21"/>
  <c r="HF21" i="21"/>
  <c r="HE21" i="21"/>
  <c r="GX21" i="21"/>
  <c r="GW21" i="21"/>
  <c r="GV21" i="21" s="1"/>
  <c r="GR21" i="21"/>
  <c r="GQ21" i="21"/>
  <c r="GP21" i="21"/>
  <c r="GO21" i="21"/>
  <c r="GA21" i="21"/>
  <c r="FZ21" i="21"/>
  <c r="AH18" i="16" s="1"/>
  <c r="FY21" i="21"/>
  <c r="FU21" i="21"/>
  <c r="FT21" i="21"/>
  <c r="FS21" i="21"/>
  <c r="FO21" i="21"/>
  <c r="FN21" i="21"/>
  <c r="FM21" i="21"/>
  <c r="FK21" i="21"/>
  <c r="FJ21" i="21"/>
  <c r="FC21" i="21"/>
  <c r="FB21" i="21"/>
  <c r="FA21" i="21"/>
  <c r="EW21" i="21"/>
  <c r="EV21" i="21"/>
  <c r="EU21" i="21"/>
  <c r="EQ21" i="21"/>
  <c r="EP21" i="21"/>
  <c r="EO21" i="21"/>
  <c r="EJ21" i="21"/>
  <c r="EI21" i="21"/>
  <c r="EH21" i="21"/>
  <c r="EG21" i="21"/>
  <c r="EC21" i="21"/>
  <c r="EB21" i="21"/>
  <c r="EA21" i="21"/>
  <c r="DW21" i="21"/>
  <c r="DV21" i="21"/>
  <c r="DU21" i="21"/>
  <c r="DP21" i="21"/>
  <c r="DO21" i="21"/>
  <c r="DN21" i="21"/>
  <c r="DM21" i="21"/>
  <c r="DE21" i="21"/>
  <c r="DK21" i="21" s="1"/>
  <c r="DI21" i="21" s="1"/>
  <c r="DD21" i="21"/>
  <c r="DC21" i="21"/>
  <c r="CU21" i="21"/>
  <c r="CT21" i="21"/>
  <c r="CS21" i="21"/>
  <c r="CR21" i="21"/>
  <c r="CQ21" i="21"/>
  <c r="CP21" i="21"/>
  <c r="CO21" i="21"/>
  <c r="CK21" i="21"/>
  <c r="CJ21" i="21"/>
  <c r="CI21" i="21"/>
  <c r="CF21" i="21"/>
  <c r="CE21" i="21"/>
  <c r="CB21" i="21"/>
  <c r="BZ21" i="21"/>
  <c r="BR21" i="21"/>
  <c r="BQ21" i="21"/>
  <c r="BN21" i="21"/>
  <c r="BL21" i="21"/>
  <c r="BF21" i="21"/>
  <c r="BK21" i="21" s="1"/>
  <c r="BI21" i="21" s="1"/>
  <c r="BE21" i="21"/>
  <c r="BD21" i="21" s="1"/>
  <c r="BB21" i="21"/>
  <c r="BA21" i="21"/>
  <c r="AX21" i="21"/>
  <c r="AW21" i="21"/>
  <c r="AV21" i="21" s="1"/>
  <c r="AS21" i="21"/>
  <c r="AR21" i="21"/>
  <c r="AL21" i="21"/>
  <c r="AM21" i="21" s="1"/>
  <c r="AG21" i="21"/>
  <c r="Z21" i="21"/>
  <c r="T21" i="21"/>
  <c r="S21" i="21"/>
  <c r="P21" i="21"/>
  <c r="L21" i="21"/>
  <c r="K21" i="21"/>
  <c r="H21" i="21"/>
  <c r="F21" i="21"/>
  <c r="AAU20" i="21"/>
  <c r="AAT20" i="21"/>
  <c r="AAQ20" i="21"/>
  <c r="AAP20" i="21"/>
  <c r="AAI20" i="21"/>
  <c r="AAH20" i="21"/>
  <c r="ZT20" i="21"/>
  <c r="ZR20" i="21"/>
  <c r="ZQ20" i="21"/>
  <c r="ZO20" i="21"/>
  <c r="ZN20" i="21"/>
  <c r="ZM20" i="21"/>
  <c r="ZK20" i="21"/>
  <c r="YW20" i="21"/>
  <c r="F70" i="9" s="1"/>
  <c r="YU20" i="21"/>
  <c r="YT20" i="21"/>
  <c r="YS20" i="21"/>
  <c r="YE20" i="21"/>
  <c r="YD20" i="21"/>
  <c r="YC20" i="21"/>
  <c r="YB20" i="21"/>
  <c r="YA20" i="21"/>
  <c r="XZ20" i="21"/>
  <c r="XY20" i="21"/>
  <c r="XX20" i="21"/>
  <c r="XW20" i="21"/>
  <c r="XP20" i="21"/>
  <c r="XU20" i="21" s="1"/>
  <c r="XO20" i="21"/>
  <c r="XN20" i="21" s="1"/>
  <c r="XL20" i="21"/>
  <c r="XJ20" i="21"/>
  <c r="XG20" i="21"/>
  <c r="XF20" i="21"/>
  <c r="XE20" i="21"/>
  <c r="XA20" i="21"/>
  <c r="WZ20" i="21"/>
  <c r="WY20" i="21"/>
  <c r="WU20" i="21"/>
  <c r="WT20" i="21"/>
  <c r="WS20" i="21"/>
  <c r="WG20" i="21"/>
  <c r="WF20" i="21"/>
  <c r="WA20" i="21"/>
  <c r="VZ20" i="21"/>
  <c r="VY20" i="21"/>
  <c r="VV20" i="21"/>
  <c r="VT20" i="21"/>
  <c r="VR20" i="21"/>
  <c r="VP20" i="21"/>
  <c r="VN20" i="21"/>
  <c r="VL20" i="21"/>
  <c r="VJ20" i="21"/>
  <c r="UM20" i="21"/>
  <c r="UL20" i="21"/>
  <c r="UK20" i="21"/>
  <c r="UJ20" i="21"/>
  <c r="UI20" i="21"/>
  <c r="UH20" i="21"/>
  <c r="KJ16" i="5" s="1"/>
  <c r="UG20" i="21"/>
  <c r="UE20" i="21"/>
  <c r="UD20" i="21"/>
  <c r="UC20" i="21"/>
  <c r="UB20" i="21"/>
  <c r="UA20" i="21"/>
  <c r="KM16" i="5" s="1"/>
  <c r="TZ20" i="21"/>
  <c r="TK20" i="21"/>
  <c r="TJ20" i="21"/>
  <c r="TI20" i="21"/>
  <c r="TH20" i="21"/>
  <c r="TG20" i="21"/>
  <c r="TF20" i="21"/>
  <c r="TE20" i="21"/>
  <c r="SW20" i="21"/>
  <c r="SV20" i="21"/>
  <c r="SU20" i="21"/>
  <c r="ST20" i="21"/>
  <c r="SS20" i="21"/>
  <c r="SR20" i="21"/>
  <c r="KH16" i="5" s="1"/>
  <c r="SQ20" i="21"/>
  <c r="SM20" i="21"/>
  <c r="SL20" i="21"/>
  <c r="SK20" i="21"/>
  <c r="SF20" i="21"/>
  <c r="SE20" i="21"/>
  <c r="SD20" i="21"/>
  <c r="SC20" i="21"/>
  <c r="RY20" i="21"/>
  <c r="RX20" i="21"/>
  <c r="RW20" i="21"/>
  <c r="RS20" i="21"/>
  <c r="RR20" i="21"/>
  <c r="RQ20" i="21"/>
  <c r="RO20" i="21"/>
  <c r="RN20" i="21"/>
  <c r="RG20" i="21"/>
  <c r="RF20" i="21"/>
  <c r="RE20" i="21"/>
  <c r="RA20" i="21"/>
  <c r="QZ20" i="21"/>
  <c r="QY20" i="21"/>
  <c r="QU20" i="21"/>
  <c r="QT20" i="21"/>
  <c r="QS20" i="21"/>
  <c r="QO20" i="21"/>
  <c r="QN20" i="21"/>
  <c r="QM20" i="21"/>
  <c r="QK20" i="21"/>
  <c r="QJ20" i="21"/>
  <c r="QC20" i="21"/>
  <c r="QB20" i="21"/>
  <c r="QA20" i="21"/>
  <c r="PR20" i="21"/>
  <c r="PQ20" i="21"/>
  <c r="PL20" i="21"/>
  <c r="PK20" i="21"/>
  <c r="PJ20" i="21"/>
  <c r="PI20" i="21"/>
  <c r="PG20" i="21"/>
  <c r="PF20" i="21"/>
  <c r="PE20" i="21"/>
  <c r="OV20" i="21"/>
  <c r="OU20" i="21"/>
  <c r="OT20" i="21"/>
  <c r="OS20" i="21"/>
  <c r="ON20" i="21"/>
  <c r="OM20" i="21"/>
  <c r="OL20" i="21"/>
  <c r="OK20" i="21"/>
  <c r="OF20" i="21"/>
  <c r="OE20" i="21"/>
  <c r="OD20" i="21"/>
  <c r="OC20" i="21"/>
  <c r="NY20" i="21"/>
  <c r="NX20" i="21"/>
  <c r="NW20" i="21"/>
  <c r="NU20" i="21"/>
  <c r="NT20" i="21"/>
  <c r="NM20" i="21"/>
  <c r="NL20" i="21"/>
  <c r="NK20" i="21"/>
  <c r="NA20" i="21"/>
  <c r="NI20" i="21" s="1"/>
  <c r="MZ20" i="21"/>
  <c r="MY20" i="21"/>
  <c r="MX20" i="21"/>
  <c r="MW20" i="21"/>
  <c r="MV20" i="21"/>
  <c r="MU20" i="21"/>
  <c r="MP20" i="21"/>
  <c r="MO20" i="21"/>
  <c r="MN20" i="21"/>
  <c r="MM20" i="21"/>
  <c r="MK20" i="21"/>
  <c r="MJ20" i="21"/>
  <c r="MI20" i="21"/>
  <c r="LZ20" i="21"/>
  <c r="LY20" i="21"/>
  <c r="LX20" i="21"/>
  <c r="LW20" i="21"/>
  <c r="LR20" i="21"/>
  <c r="LQ20" i="21"/>
  <c r="LP20" i="21"/>
  <c r="LO20" i="21"/>
  <c r="LK20" i="21"/>
  <c r="LJ20" i="21"/>
  <c r="LI20" i="21"/>
  <c r="LG20" i="21"/>
  <c r="LF20" i="21"/>
  <c r="KW20" i="21"/>
  <c r="KT20" i="21"/>
  <c r="KS20" i="21"/>
  <c r="KM20" i="21"/>
  <c r="KJ20" i="21"/>
  <c r="KI20" i="21"/>
  <c r="KE20" i="21"/>
  <c r="KD20" i="21"/>
  <c r="KC20" i="21"/>
  <c r="KA20" i="21"/>
  <c r="JZ20" i="21"/>
  <c r="JS20" i="21"/>
  <c r="JR20" i="21"/>
  <c r="JQ20" i="21"/>
  <c r="JM20" i="21"/>
  <c r="JL20" i="21"/>
  <c r="JK20" i="21"/>
  <c r="JG20" i="21"/>
  <c r="JF20" i="21"/>
  <c r="JE20" i="21"/>
  <c r="JA20" i="21"/>
  <c r="IZ20" i="21"/>
  <c r="IY20" i="21"/>
  <c r="IK20" i="21"/>
  <c r="IJ20" i="21"/>
  <c r="II20" i="21"/>
  <c r="IE20" i="21"/>
  <c r="ID20" i="21"/>
  <c r="IC20" i="21"/>
  <c r="IA20" i="21"/>
  <c r="HZ20" i="21"/>
  <c r="HS20" i="21"/>
  <c r="HR20" i="21"/>
  <c r="HQ20" i="21"/>
  <c r="HM20" i="21"/>
  <c r="HJ20" i="21"/>
  <c r="HG20" i="21"/>
  <c r="HF20" i="21"/>
  <c r="HE20" i="21"/>
  <c r="GX20" i="21"/>
  <c r="HC20" i="21" s="1"/>
  <c r="GW20" i="21"/>
  <c r="GV20" i="21" s="1"/>
  <c r="HB20" i="21" s="1"/>
  <c r="GZ20" i="21" s="1"/>
  <c r="GR20" i="21"/>
  <c r="GQ20" i="21"/>
  <c r="GP20" i="21"/>
  <c r="GO20" i="21"/>
  <c r="GA20" i="21"/>
  <c r="FZ20" i="21"/>
  <c r="AH17" i="16" s="1"/>
  <c r="FY20" i="21"/>
  <c r="FU20" i="21"/>
  <c r="FT20" i="21"/>
  <c r="FS20" i="21"/>
  <c r="FO20" i="21"/>
  <c r="FN20" i="21"/>
  <c r="FM20" i="21"/>
  <c r="FK20" i="21"/>
  <c r="FB20" i="21"/>
  <c r="FA20" i="21"/>
  <c r="FD20" i="21" s="1"/>
  <c r="FC20" i="21" s="1"/>
  <c r="EW20" i="21"/>
  <c r="EV20" i="21"/>
  <c r="EU20" i="21"/>
  <c r="EQ20" i="21"/>
  <c r="EP20" i="21"/>
  <c r="EO20" i="21"/>
  <c r="EJ20" i="21"/>
  <c r="EI20" i="21"/>
  <c r="EH20" i="21"/>
  <c r="EG20" i="21"/>
  <c r="EC20" i="21"/>
  <c r="EB20" i="21"/>
  <c r="EA20" i="21"/>
  <c r="DW20" i="21"/>
  <c r="DV20" i="21"/>
  <c r="DU20" i="21"/>
  <c r="DP20" i="21"/>
  <c r="DO20" i="21"/>
  <c r="DN20" i="21"/>
  <c r="DM20" i="21"/>
  <c r="DE20" i="21"/>
  <c r="DD20" i="21"/>
  <c r="DC20" i="21"/>
  <c r="CU20" i="21"/>
  <c r="CT20" i="21"/>
  <c r="CS20" i="21"/>
  <c r="CR20" i="21"/>
  <c r="CQ20" i="21"/>
  <c r="CP20" i="21"/>
  <c r="CO20" i="21"/>
  <c r="CK20" i="21"/>
  <c r="CJ20" i="21"/>
  <c r="CI20" i="21"/>
  <c r="CF20" i="21"/>
  <c r="CE20" i="21"/>
  <c r="CB20" i="21"/>
  <c r="BZ20" i="21"/>
  <c r="BR20" i="21"/>
  <c r="BQ20" i="21"/>
  <c r="BN20" i="21"/>
  <c r="BL20" i="21"/>
  <c r="BF20" i="21"/>
  <c r="BK20" i="21" s="1"/>
  <c r="BI20" i="21" s="1"/>
  <c r="BE20" i="21"/>
  <c r="BD20" i="21" s="1"/>
  <c r="BB20" i="21"/>
  <c r="BA20" i="21"/>
  <c r="AX20" i="21"/>
  <c r="AW20" i="21"/>
  <c r="AS20" i="21"/>
  <c r="AR20" i="21"/>
  <c r="AQ20" i="21"/>
  <c r="AL20" i="21"/>
  <c r="AG20" i="21"/>
  <c r="AK20" i="21" s="1"/>
  <c r="Z20" i="21"/>
  <c r="T20" i="21"/>
  <c r="S20" i="21"/>
  <c r="N20" i="21"/>
  <c r="L20" i="21"/>
  <c r="K20" i="21"/>
  <c r="H20" i="21"/>
  <c r="F20" i="21"/>
  <c r="AAU19" i="21"/>
  <c r="AAT19" i="21"/>
  <c r="AAQ19" i="21"/>
  <c r="AAP19" i="21"/>
  <c r="AAI19" i="21"/>
  <c r="AAH19" i="21"/>
  <c r="AAB19" i="21" s="1"/>
  <c r="ZT19" i="21"/>
  <c r="ZR19" i="21"/>
  <c r="ZQ19" i="21"/>
  <c r="ZO19" i="21"/>
  <c r="ZN19" i="21"/>
  <c r="ZM19" i="21"/>
  <c r="ZK19" i="21"/>
  <c r="YW19" i="21"/>
  <c r="YV19" i="21"/>
  <c r="YU19" i="21"/>
  <c r="ZG19" i="21" s="1"/>
  <c r="YT19" i="21"/>
  <c r="YZ19" i="21" s="1"/>
  <c r="YS19" i="21"/>
  <c r="YE19" i="21"/>
  <c r="YD19" i="21"/>
  <c r="YC19" i="21"/>
  <c r="YB19" i="21"/>
  <c r="YA19" i="21"/>
  <c r="XZ19" i="21"/>
  <c r="XY19" i="21"/>
  <c r="XX19" i="21"/>
  <c r="XW19" i="21"/>
  <c r="XP19" i="21"/>
  <c r="XU19" i="21" s="1"/>
  <c r="XS19" i="21" s="1"/>
  <c r="XO19" i="21"/>
  <c r="XN19" i="21" s="1"/>
  <c r="XL19" i="21"/>
  <c r="XJ19" i="21"/>
  <c r="XG19" i="21"/>
  <c r="XF19" i="21"/>
  <c r="XE19" i="21"/>
  <c r="XA19" i="21"/>
  <c r="WZ19" i="21"/>
  <c r="WY19" i="21"/>
  <c r="WU19" i="21"/>
  <c r="WT19" i="21"/>
  <c r="WS19" i="21"/>
  <c r="WG19" i="21"/>
  <c r="WF19" i="21"/>
  <c r="WA19" i="21"/>
  <c r="VZ19" i="21"/>
  <c r="VY19" i="21"/>
  <c r="VV19" i="21"/>
  <c r="VT19" i="21"/>
  <c r="VR19" i="21"/>
  <c r="VP19" i="21"/>
  <c r="VN19" i="21"/>
  <c r="VL19" i="21"/>
  <c r="VJ19" i="21"/>
  <c r="UM19" i="21"/>
  <c r="UL19" i="21"/>
  <c r="UK19" i="21"/>
  <c r="UJ19" i="21"/>
  <c r="UI19" i="21"/>
  <c r="UH19" i="21"/>
  <c r="KJ15" i="5" s="1"/>
  <c r="UG19" i="21"/>
  <c r="UE19" i="21"/>
  <c r="UD19" i="21"/>
  <c r="UC19" i="21"/>
  <c r="UB19" i="21"/>
  <c r="UA19" i="21"/>
  <c r="KM15" i="5" s="1"/>
  <c r="TZ19" i="21"/>
  <c r="TK19" i="21"/>
  <c r="TJ19" i="21"/>
  <c r="TI19" i="21"/>
  <c r="TH19" i="21"/>
  <c r="TG19" i="21"/>
  <c r="TF19" i="21"/>
  <c r="TE19" i="21"/>
  <c r="SW19" i="21"/>
  <c r="SV19" i="21"/>
  <c r="SU19" i="21"/>
  <c r="ST19" i="21"/>
  <c r="SS19" i="21"/>
  <c r="SR19" i="21"/>
  <c r="KH15" i="5" s="1"/>
  <c r="SQ19" i="21"/>
  <c r="SM19" i="21"/>
  <c r="SL19" i="21"/>
  <c r="SK19" i="21"/>
  <c r="SF19" i="21"/>
  <c r="SE19" i="21"/>
  <c r="SD19" i="21"/>
  <c r="SC19" i="21"/>
  <c r="RY19" i="21"/>
  <c r="RX19" i="21"/>
  <c r="RW19" i="21"/>
  <c r="RS19" i="21"/>
  <c r="RR19" i="21"/>
  <c r="RQ19" i="21"/>
  <c r="RO19" i="21"/>
  <c r="RN19" i="21"/>
  <c r="RG19" i="21"/>
  <c r="RF19" i="21"/>
  <c r="RE19" i="21"/>
  <c r="RA19" i="21"/>
  <c r="QZ19" i="21"/>
  <c r="QY19" i="21"/>
  <c r="QU19" i="21"/>
  <c r="QT19" i="21"/>
  <c r="QS19" i="21"/>
  <c r="QO19" i="21"/>
  <c r="QN19" i="21"/>
  <c r="QM19" i="21"/>
  <c r="QK19" i="21"/>
  <c r="QJ19" i="21"/>
  <c r="QC19" i="21"/>
  <c r="PR19" i="21"/>
  <c r="PQ19" i="21"/>
  <c r="PL19" i="21"/>
  <c r="PK19" i="21"/>
  <c r="PJ19" i="21"/>
  <c r="PI19" i="21"/>
  <c r="PG19" i="21"/>
  <c r="PF19" i="21"/>
  <c r="PE19" i="21"/>
  <c r="OV19" i="21"/>
  <c r="OU19" i="21"/>
  <c r="OT19" i="21"/>
  <c r="OS19" i="21"/>
  <c r="ON19" i="21"/>
  <c r="OM19" i="21"/>
  <c r="OL19" i="21"/>
  <c r="OK19" i="21"/>
  <c r="OF19" i="21"/>
  <c r="OE19" i="21"/>
  <c r="OD19" i="21"/>
  <c r="OC19" i="21"/>
  <c r="NY19" i="21"/>
  <c r="NX19" i="21"/>
  <c r="NW19" i="21"/>
  <c r="NU19" i="21"/>
  <c r="NT19" i="21"/>
  <c r="NM19" i="21"/>
  <c r="NL19" i="21"/>
  <c r="NK19" i="21"/>
  <c r="NA19" i="21"/>
  <c r="NI19" i="21" s="1"/>
  <c r="MZ19" i="21"/>
  <c r="MY19" i="21"/>
  <c r="MX19" i="21"/>
  <c r="MW19" i="21"/>
  <c r="MV19" i="21"/>
  <c r="MU19" i="21"/>
  <c r="MP19" i="21"/>
  <c r="MO19" i="21"/>
  <c r="MN19" i="21"/>
  <c r="MM19" i="21"/>
  <c r="MK19" i="21"/>
  <c r="MJ19" i="21"/>
  <c r="MI19" i="21"/>
  <c r="LZ19" i="21"/>
  <c r="LY19" i="21"/>
  <c r="LX19" i="21"/>
  <c r="LW19" i="21"/>
  <c r="LR19" i="21"/>
  <c r="LQ19" i="21"/>
  <c r="LP19" i="21"/>
  <c r="LO19" i="21"/>
  <c r="LK19" i="21"/>
  <c r="LJ19" i="21"/>
  <c r="LI19" i="21"/>
  <c r="LG19" i="21"/>
  <c r="LF19" i="21"/>
  <c r="KW19" i="21"/>
  <c r="KT19" i="21"/>
  <c r="KS19" i="21"/>
  <c r="KM19" i="21"/>
  <c r="KJ19" i="21"/>
  <c r="KI19" i="21"/>
  <c r="KE19" i="21"/>
  <c r="KD19" i="21"/>
  <c r="KC19" i="21"/>
  <c r="KA19" i="21"/>
  <c r="JZ19" i="21"/>
  <c r="JS19" i="21"/>
  <c r="JR19" i="21"/>
  <c r="JQ19" i="21"/>
  <c r="JM19" i="21"/>
  <c r="JL19" i="21"/>
  <c r="JK19" i="21"/>
  <c r="JG19" i="21"/>
  <c r="JF19" i="21"/>
  <c r="JE19" i="21"/>
  <c r="JA19" i="21"/>
  <c r="IZ19" i="21"/>
  <c r="IY19" i="21"/>
  <c r="IK19" i="21"/>
  <c r="IJ19" i="21"/>
  <c r="II19" i="21"/>
  <c r="IE19" i="21"/>
  <c r="ID19" i="21"/>
  <c r="IC19" i="21"/>
  <c r="IA19" i="21"/>
  <c r="HZ19" i="21"/>
  <c r="HS19" i="21"/>
  <c r="HR19" i="21"/>
  <c r="HQ19" i="21"/>
  <c r="HM19" i="21"/>
  <c r="HJ19" i="21"/>
  <c r="HG19" i="21"/>
  <c r="HF19" i="21"/>
  <c r="HE19" i="21"/>
  <c r="GX19" i="21"/>
  <c r="GW19" i="21"/>
  <c r="GV19" i="21" s="1"/>
  <c r="GR19" i="21"/>
  <c r="GQ19" i="21"/>
  <c r="GP19" i="21"/>
  <c r="GO19" i="21"/>
  <c r="GA19" i="21"/>
  <c r="FZ19" i="21"/>
  <c r="AH16" i="16" s="1"/>
  <c r="FY19" i="21"/>
  <c r="FU19" i="21"/>
  <c r="FT19" i="21"/>
  <c r="FS19" i="21"/>
  <c r="FO19" i="21"/>
  <c r="FN19" i="21"/>
  <c r="FM19" i="21"/>
  <c r="FB19" i="21"/>
  <c r="FE19" i="21" s="1"/>
  <c r="FE30" i="21" s="1"/>
  <c r="FA19" i="21"/>
  <c r="FD19" i="21" s="1"/>
  <c r="FJ19" i="21" s="1"/>
  <c r="EW19" i="21"/>
  <c r="EV19" i="21"/>
  <c r="EU19" i="21"/>
  <c r="EQ19" i="21"/>
  <c r="EP19" i="21"/>
  <c r="EO19" i="21"/>
  <c r="EJ19" i="21"/>
  <c r="EI19" i="21"/>
  <c r="EH19" i="21"/>
  <c r="EG19" i="21"/>
  <c r="EC19" i="21"/>
  <c r="EB19" i="21"/>
  <c r="EA19" i="21"/>
  <c r="DW19" i="21"/>
  <c r="DV19" i="21"/>
  <c r="DU19" i="21"/>
  <c r="DP19" i="21"/>
  <c r="DO19" i="21"/>
  <c r="DN19" i="21"/>
  <c r="DM19" i="21"/>
  <c r="DE19" i="21"/>
  <c r="DD19" i="21"/>
  <c r="DC19" i="21"/>
  <c r="CU19" i="21"/>
  <c r="CT19" i="21"/>
  <c r="CS19" i="21"/>
  <c r="CR19" i="21"/>
  <c r="CQ19" i="21"/>
  <c r="CP19" i="21"/>
  <c r="CO19" i="21"/>
  <c r="CK19" i="21"/>
  <c r="CJ19" i="21"/>
  <c r="CI19" i="21"/>
  <c r="CF19" i="21"/>
  <c r="CE19" i="21"/>
  <c r="CB19" i="21"/>
  <c r="BZ19" i="21"/>
  <c r="BR19" i="21"/>
  <c r="BQ19" i="21"/>
  <c r="BN19" i="21"/>
  <c r="BL19" i="21"/>
  <c r="BF19" i="21"/>
  <c r="BK19" i="21" s="1"/>
  <c r="BE19" i="21"/>
  <c r="BD19" i="21" s="1"/>
  <c r="BB19" i="21"/>
  <c r="BA19" i="21"/>
  <c r="AX19" i="21"/>
  <c r="AW19" i="21"/>
  <c r="AV19" i="21" s="1"/>
  <c r="AS19" i="21"/>
  <c r="AR19" i="21"/>
  <c r="AL19" i="21"/>
  <c r="AG19" i="21"/>
  <c r="AK19" i="21" s="1"/>
  <c r="Z19" i="21"/>
  <c r="T19" i="21"/>
  <c r="S19" i="21"/>
  <c r="P19" i="21"/>
  <c r="N19" i="21"/>
  <c r="L19" i="21"/>
  <c r="K19" i="21"/>
  <c r="H19" i="21"/>
  <c r="F19" i="21"/>
  <c r="AAU13" i="21"/>
  <c r="AAT13" i="21"/>
  <c r="AAQ13" i="21"/>
  <c r="AAP13" i="21"/>
  <c r="AAI13" i="21"/>
  <c r="AAH13" i="21"/>
  <c r="ZT13" i="21"/>
  <c r="ZR13" i="21"/>
  <c r="ZQ13" i="21"/>
  <c r="ZO13" i="21"/>
  <c r="ZN13" i="21"/>
  <c r="ZM13" i="21"/>
  <c r="ZK13" i="21"/>
  <c r="YW13" i="21"/>
  <c r="YV13" i="21"/>
  <c r="YU13" i="21"/>
  <c r="ZG13" i="21" s="1"/>
  <c r="YT13" i="21"/>
  <c r="YZ13" i="21" s="1"/>
  <c r="YS13" i="21"/>
  <c r="YE13" i="21"/>
  <c r="YD13" i="21"/>
  <c r="YC13" i="21"/>
  <c r="YA13" i="21"/>
  <c r="XZ13" i="21"/>
  <c r="XY13" i="21"/>
  <c r="XX13" i="21"/>
  <c r="XW13" i="21"/>
  <c r="XP13" i="21"/>
  <c r="XU13" i="21" s="1"/>
  <c r="XO13" i="21"/>
  <c r="XN13" i="21" s="1"/>
  <c r="XL13" i="21"/>
  <c r="XJ13" i="21"/>
  <c r="XG13" i="21"/>
  <c r="XF13" i="21"/>
  <c r="XE13" i="21"/>
  <c r="XA13" i="21"/>
  <c r="WZ13" i="21"/>
  <c r="WY13" i="21"/>
  <c r="WU13" i="21"/>
  <c r="WT13" i="21"/>
  <c r="WS13" i="21"/>
  <c r="WG13" i="21"/>
  <c r="WF13" i="21"/>
  <c r="WA13" i="21"/>
  <c r="VZ13" i="21"/>
  <c r="VY13" i="21"/>
  <c r="VV13" i="21"/>
  <c r="VT13" i="21"/>
  <c r="VR13" i="21"/>
  <c r="VP13" i="21"/>
  <c r="VN13" i="21"/>
  <c r="VL13" i="21"/>
  <c r="VJ13" i="21"/>
  <c r="UM13" i="21"/>
  <c r="UL13" i="21"/>
  <c r="UK13" i="21"/>
  <c r="UJ13" i="21"/>
  <c r="UI13" i="21"/>
  <c r="UH13" i="21"/>
  <c r="KJ14" i="5" s="1"/>
  <c r="UG13" i="21"/>
  <c r="UE13" i="21"/>
  <c r="UD13" i="21"/>
  <c r="UC13" i="21"/>
  <c r="UB13" i="21"/>
  <c r="UA13" i="21"/>
  <c r="KM14" i="5" s="1"/>
  <c r="TZ13" i="21"/>
  <c r="TK13" i="21"/>
  <c r="TJ13" i="21"/>
  <c r="TI13" i="21"/>
  <c r="TH13" i="21"/>
  <c r="TG13" i="21"/>
  <c r="TF13" i="21"/>
  <c r="TE13" i="21"/>
  <c r="SW13" i="21"/>
  <c r="ST13" i="21"/>
  <c r="SS13" i="21"/>
  <c r="SR13" i="21"/>
  <c r="KH14" i="5" s="1"/>
  <c r="SQ13" i="21"/>
  <c r="SM13" i="21"/>
  <c r="SL13" i="21"/>
  <c r="SK13" i="21"/>
  <c r="SF13" i="21"/>
  <c r="SE13" i="21"/>
  <c r="SD13" i="21"/>
  <c r="SC13" i="21"/>
  <c r="RY13" i="21"/>
  <c r="RX13" i="21"/>
  <c r="RW13" i="21"/>
  <c r="RS13" i="21"/>
  <c r="RR13" i="21"/>
  <c r="RQ13" i="21"/>
  <c r="RO13" i="21"/>
  <c r="RN13" i="21"/>
  <c r="RG13" i="21"/>
  <c r="RF13" i="21"/>
  <c r="RE13" i="21"/>
  <c r="RA13" i="21"/>
  <c r="QZ13" i="21"/>
  <c r="QY13" i="21"/>
  <c r="QU13" i="21"/>
  <c r="QT13" i="21"/>
  <c r="QS13" i="21"/>
  <c r="QO13" i="21"/>
  <c r="QN13" i="21"/>
  <c r="QM13" i="21"/>
  <c r="QK13" i="21"/>
  <c r="QJ13" i="21"/>
  <c r="QC13" i="21"/>
  <c r="QB13" i="21"/>
  <c r="QA13" i="21"/>
  <c r="PL13" i="21"/>
  <c r="PK13" i="21"/>
  <c r="PJ13" i="21"/>
  <c r="PI13" i="21"/>
  <c r="PG13" i="21"/>
  <c r="PF13" i="21"/>
  <c r="PE13" i="21"/>
  <c r="OV13" i="21"/>
  <c r="OU13" i="21"/>
  <c r="OT13" i="21"/>
  <c r="OS13" i="21"/>
  <c r="ON13" i="21"/>
  <c r="OM13" i="21"/>
  <c r="OL13" i="21"/>
  <c r="OK13" i="21"/>
  <c r="OF13" i="21"/>
  <c r="OE13" i="21"/>
  <c r="OD13" i="21"/>
  <c r="OC13" i="21"/>
  <c r="NY13" i="21"/>
  <c r="NX13" i="21"/>
  <c r="NW13" i="21"/>
  <c r="NU13" i="21"/>
  <c r="NT13" i="21"/>
  <c r="NM13" i="21"/>
  <c r="NL13" i="21"/>
  <c r="NK13" i="21"/>
  <c r="NA13" i="21"/>
  <c r="NI13" i="21" s="1"/>
  <c r="MZ13" i="21"/>
  <c r="MY13" i="21"/>
  <c r="MX13" i="21"/>
  <c r="MW13" i="21"/>
  <c r="MV13" i="21"/>
  <c r="MU13" i="21"/>
  <c r="MP13" i="21"/>
  <c r="MO13" i="21"/>
  <c r="MN13" i="21"/>
  <c r="MM13" i="21"/>
  <c r="MK13" i="21"/>
  <c r="MJ13" i="21"/>
  <c r="MI13" i="21"/>
  <c r="LZ13" i="21"/>
  <c r="LY13" i="21"/>
  <c r="LX13" i="21"/>
  <c r="LW13" i="21"/>
  <c r="LR13" i="21"/>
  <c r="LQ13" i="21"/>
  <c r="LP13" i="21"/>
  <c r="LO13" i="21"/>
  <c r="LK13" i="21"/>
  <c r="LJ13" i="21"/>
  <c r="LI13" i="21"/>
  <c r="LG13" i="21"/>
  <c r="LF13" i="21"/>
  <c r="KW13" i="21"/>
  <c r="KT13" i="21"/>
  <c r="KS13" i="21"/>
  <c r="KM13" i="21"/>
  <c r="KJ13" i="21"/>
  <c r="KI13" i="21"/>
  <c r="KE13" i="21"/>
  <c r="KD13" i="21"/>
  <c r="KC13" i="21"/>
  <c r="KA13" i="21"/>
  <c r="JZ13" i="21"/>
  <c r="JS13" i="21"/>
  <c r="JR13" i="21"/>
  <c r="JQ13" i="21"/>
  <c r="JM13" i="21"/>
  <c r="JL13" i="21"/>
  <c r="JK13" i="21"/>
  <c r="JG13" i="21"/>
  <c r="JF13" i="21"/>
  <c r="JE13" i="21"/>
  <c r="JA13" i="21"/>
  <c r="IZ13" i="21"/>
  <c r="IY13" i="21"/>
  <c r="IK13" i="21"/>
  <c r="IJ13" i="21"/>
  <c r="II13" i="21"/>
  <c r="IE13" i="21"/>
  <c r="ID13" i="21"/>
  <c r="IC13" i="21"/>
  <c r="IA13" i="21"/>
  <c r="HZ13" i="21"/>
  <c r="HS13" i="21"/>
  <c r="HR13" i="21"/>
  <c r="HQ13" i="21"/>
  <c r="HM13" i="21"/>
  <c r="HJ13" i="21"/>
  <c r="HG13" i="21"/>
  <c r="HF13" i="21"/>
  <c r="HE13" i="21"/>
  <c r="GX13" i="21"/>
  <c r="HC13" i="21" s="1"/>
  <c r="GW13" i="21"/>
  <c r="GV13" i="21" s="1"/>
  <c r="GR13" i="21"/>
  <c r="GQ13" i="21"/>
  <c r="GP13" i="21"/>
  <c r="GO13" i="21"/>
  <c r="GA13" i="21"/>
  <c r="FU13" i="21"/>
  <c r="FT13" i="21"/>
  <c r="FS13" i="21"/>
  <c r="FO13" i="21"/>
  <c r="FN13" i="21"/>
  <c r="FM13" i="21"/>
  <c r="FK13" i="21"/>
  <c r="FJ13" i="21"/>
  <c r="FC13" i="21"/>
  <c r="FB13" i="21"/>
  <c r="FA13" i="21"/>
  <c r="EW13" i="21"/>
  <c r="EV13" i="21"/>
  <c r="EU13" i="21"/>
  <c r="EQ13" i="21"/>
  <c r="EP13" i="21"/>
  <c r="EO13" i="21"/>
  <c r="EJ13" i="21"/>
  <c r="EI13" i="21"/>
  <c r="EH13" i="21"/>
  <c r="EG13" i="21"/>
  <c r="EC13" i="21"/>
  <c r="EB13" i="21"/>
  <c r="EA13" i="21"/>
  <c r="DW13" i="21"/>
  <c r="DV13" i="21"/>
  <c r="DU13" i="21"/>
  <c r="DP13" i="21"/>
  <c r="DO13" i="21"/>
  <c r="DN13" i="21"/>
  <c r="DM13" i="21"/>
  <c r="DE13" i="21"/>
  <c r="DD13" i="21"/>
  <c r="DC13" i="21"/>
  <c r="CU13" i="21"/>
  <c r="CT13" i="21"/>
  <c r="CS13" i="21"/>
  <c r="CR13" i="21"/>
  <c r="CQ13" i="21"/>
  <c r="CP13" i="21"/>
  <c r="CO13" i="21"/>
  <c r="CK13" i="21"/>
  <c r="CJ13" i="21"/>
  <c r="CI13" i="21"/>
  <c r="CF13" i="21"/>
  <c r="CE13" i="21"/>
  <c r="CB13" i="21"/>
  <c r="BZ13" i="21"/>
  <c r="BR13" i="21"/>
  <c r="BQ13" i="21"/>
  <c r="BN13" i="21"/>
  <c r="BL13" i="21"/>
  <c r="BF13" i="21"/>
  <c r="BK13" i="21" s="1"/>
  <c r="BI13" i="21" s="1"/>
  <c r="BE13" i="21"/>
  <c r="BD13" i="21" s="1"/>
  <c r="BB13" i="21"/>
  <c r="BA13" i="21"/>
  <c r="AX13" i="21"/>
  <c r="AW13" i="21"/>
  <c r="AV13" i="21" s="1"/>
  <c r="AS13" i="21"/>
  <c r="AR13" i="21"/>
  <c r="AQ13" i="21"/>
  <c r="AL13" i="21"/>
  <c r="AG13" i="21"/>
  <c r="AK13" i="21" s="1"/>
  <c r="Z13" i="21"/>
  <c r="T13" i="21"/>
  <c r="S13" i="21"/>
  <c r="P13" i="21"/>
  <c r="L13" i="21"/>
  <c r="K13" i="21"/>
  <c r="H13" i="21"/>
  <c r="F13" i="21"/>
  <c r="AAU18" i="21"/>
  <c r="AAT18" i="21"/>
  <c r="AAQ18" i="21"/>
  <c r="AAP18" i="21"/>
  <c r="AAI18" i="21"/>
  <c r="AAH18" i="21"/>
  <c r="ZT18" i="21"/>
  <c r="ZR18" i="21"/>
  <c r="ZQ18" i="21"/>
  <c r="ZO18" i="21"/>
  <c r="ZN18" i="21"/>
  <c r="ZM18" i="21"/>
  <c r="ZK18" i="21"/>
  <c r="YW18" i="21"/>
  <c r="YV18" i="21"/>
  <c r="YT18" i="21"/>
  <c r="YS18" i="21"/>
  <c r="YE18" i="21"/>
  <c r="YD18" i="21"/>
  <c r="YC18" i="21"/>
  <c r="YB18" i="21"/>
  <c r="YA18" i="21"/>
  <c r="XZ18" i="21"/>
  <c r="XY18" i="21"/>
  <c r="XX18" i="21"/>
  <c r="XW18" i="21"/>
  <c r="XP18" i="21"/>
  <c r="XU18" i="21" s="1"/>
  <c r="XS18" i="21" s="1"/>
  <c r="XO18" i="21"/>
  <c r="XN18" i="21" s="1"/>
  <c r="XL18" i="21"/>
  <c r="XJ18" i="21"/>
  <c r="XG18" i="21"/>
  <c r="XF18" i="21"/>
  <c r="XE18" i="21"/>
  <c r="XA18" i="21"/>
  <c r="WZ18" i="21"/>
  <c r="WY18" i="21"/>
  <c r="WU18" i="21"/>
  <c r="WT18" i="21"/>
  <c r="WS18" i="21"/>
  <c r="WG18" i="21"/>
  <c r="WF18" i="21"/>
  <c r="WA18" i="21"/>
  <c r="VZ18" i="21"/>
  <c r="VY18" i="21"/>
  <c r="VV18" i="21"/>
  <c r="VT18" i="21"/>
  <c r="VR18" i="21"/>
  <c r="VP18" i="21"/>
  <c r="VN18" i="21"/>
  <c r="VL18" i="21"/>
  <c r="VJ18" i="21"/>
  <c r="UM18" i="21"/>
  <c r="UL18" i="21"/>
  <c r="UK18" i="21"/>
  <c r="UJ18" i="21"/>
  <c r="UI18" i="21"/>
  <c r="UH18" i="21"/>
  <c r="KJ13" i="5" s="1"/>
  <c r="UG18" i="21"/>
  <c r="UE18" i="21"/>
  <c r="UD18" i="21"/>
  <c r="UC18" i="21"/>
  <c r="UB18" i="21"/>
  <c r="UA18" i="21"/>
  <c r="KM13" i="5" s="1"/>
  <c r="TZ18" i="21"/>
  <c r="TK18" i="21"/>
  <c r="TJ18" i="21"/>
  <c r="TI18" i="21"/>
  <c r="TH18" i="21"/>
  <c r="TG18" i="21"/>
  <c r="TF18" i="21"/>
  <c r="TE18" i="21"/>
  <c r="SW18" i="21"/>
  <c r="SV18" i="21"/>
  <c r="SU18" i="21"/>
  <c r="ST18" i="21"/>
  <c r="SS18" i="21"/>
  <c r="SR18" i="21"/>
  <c r="KH13" i="5" s="1"/>
  <c r="SQ18" i="21"/>
  <c r="SM18" i="21"/>
  <c r="SL18" i="21"/>
  <c r="SK18" i="21"/>
  <c r="SF18" i="21"/>
  <c r="SE18" i="21"/>
  <c r="SD18" i="21"/>
  <c r="SC18" i="21"/>
  <c r="RY18" i="21"/>
  <c r="RX18" i="21"/>
  <c r="RW18" i="21"/>
  <c r="RS18" i="21"/>
  <c r="RR18" i="21"/>
  <c r="RQ18" i="21"/>
  <c r="RO18" i="21"/>
  <c r="RN18" i="21"/>
  <c r="RG18" i="21"/>
  <c r="RF18" i="21"/>
  <c r="RE18" i="21"/>
  <c r="RA18" i="21"/>
  <c r="QZ18" i="21"/>
  <c r="QY18" i="21"/>
  <c r="QU18" i="21"/>
  <c r="QT18" i="21"/>
  <c r="QS18" i="21"/>
  <c r="QO18" i="21"/>
  <c r="QN18" i="21"/>
  <c r="QM18" i="21"/>
  <c r="QK18" i="21"/>
  <c r="QJ18" i="21"/>
  <c r="QC18" i="21"/>
  <c r="QB18" i="21"/>
  <c r="QA18" i="21"/>
  <c r="PR18" i="21"/>
  <c r="PQ18" i="21"/>
  <c r="PL18" i="21"/>
  <c r="PK18" i="21"/>
  <c r="PJ18" i="21"/>
  <c r="PI18" i="21"/>
  <c r="PG18" i="21"/>
  <c r="PF18" i="21"/>
  <c r="PE18" i="21"/>
  <c r="OV18" i="21"/>
  <c r="OU18" i="21"/>
  <c r="OT18" i="21"/>
  <c r="OS18" i="21"/>
  <c r="ON18" i="21"/>
  <c r="OM18" i="21"/>
  <c r="OL18" i="21"/>
  <c r="OK18" i="21"/>
  <c r="OF18" i="21"/>
  <c r="OE18" i="21"/>
  <c r="OD18" i="21"/>
  <c r="OC18" i="21"/>
  <c r="NY18" i="21"/>
  <c r="NX18" i="21"/>
  <c r="NW18" i="21"/>
  <c r="NU18" i="21"/>
  <c r="NT18" i="21"/>
  <c r="NM18" i="21"/>
  <c r="NL18" i="21"/>
  <c r="NK18" i="21"/>
  <c r="NA18" i="21"/>
  <c r="NI18" i="21" s="1"/>
  <c r="MZ18" i="21"/>
  <c r="MY18" i="21"/>
  <c r="MX18" i="21"/>
  <c r="MV18" i="21"/>
  <c r="MU18" i="21"/>
  <c r="MP18" i="21"/>
  <c r="MO18" i="21"/>
  <c r="MN18" i="21"/>
  <c r="MM18" i="21"/>
  <c r="MK18" i="21"/>
  <c r="MJ18" i="21"/>
  <c r="MI18" i="21"/>
  <c r="LZ18" i="21"/>
  <c r="LY18" i="21"/>
  <c r="LX18" i="21"/>
  <c r="LW18" i="21"/>
  <c r="LR18" i="21"/>
  <c r="LQ18" i="21"/>
  <c r="LP18" i="21"/>
  <c r="LO18" i="21"/>
  <c r="LK18" i="21"/>
  <c r="LJ18" i="21"/>
  <c r="LI18" i="21"/>
  <c r="LG18" i="21"/>
  <c r="LF18" i="21"/>
  <c r="KW18" i="21"/>
  <c r="KT18" i="21"/>
  <c r="KS18" i="21"/>
  <c r="KM18" i="21"/>
  <c r="KJ18" i="21"/>
  <c r="KI18" i="21"/>
  <c r="KE18" i="21"/>
  <c r="KD18" i="21"/>
  <c r="KC18" i="21"/>
  <c r="KA18" i="21"/>
  <c r="JZ18" i="21"/>
  <c r="JS18" i="21"/>
  <c r="JR18" i="21"/>
  <c r="JQ18" i="21"/>
  <c r="JM18" i="21"/>
  <c r="JL18" i="21"/>
  <c r="JK18" i="21"/>
  <c r="JG18" i="21"/>
  <c r="JF18" i="21"/>
  <c r="JE18" i="21"/>
  <c r="JA18" i="21"/>
  <c r="IZ18" i="21"/>
  <c r="IY18" i="21"/>
  <c r="IK18" i="21"/>
  <c r="IJ18" i="21"/>
  <c r="II18" i="21"/>
  <c r="IE18" i="21"/>
  <c r="ID18" i="21"/>
  <c r="IC18" i="21"/>
  <c r="IA18" i="21"/>
  <c r="HZ18" i="21"/>
  <c r="HS18" i="21"/>
  <c r="HR18" i="21"/>
  <c r="HQ18" i="21"/>
  <c r="HM18" i="21"/>
  <c r="HJ18" i="21"/>
  <c r="HG18" i="21"/>
  <c r="HF18" i="21"/>
  <c r="HE18" i="21"/>
  <c r="GX18" i="21"/>
  <c r="HC18" i="21" s="1"/>
  <c r="GW18" i="21"/>
  <c r="GV18" i="21" s="1"/>
  <c r="HB18" i="21" s="1"/>
  <c r="GR18" i="21"/>
  <c r="GQ18" i="21"/>
  <c r="GP18" i="21"/>
  <c r="GO18" i="21"/>
  <c r="GA18" i="21"/>
  <c r="FZ18" i="21"/>
  <c r="AH14" i="16" s="1"/>
  <c r="FY18" i="21"/>
  <c r="FU18" i="21"/>
  <c r="FT18" i="21"/>
  <c r="FS18" i="21"/>
  <c r="FO18" i="21"/>
  <c r="FN18" i="21"/>
  <c r="FM18" i="21"/>
  <c r="FK18" i="21"/>
  <c r="FJ18" i="21"/>
  <c r="FC18" i="21"/>
  <c r="FB18" i="21"/>
  <c r="FA18" i="21"/>
  <c r="EW18" i="21"/>
  <c r="EV18" i="21"/>
  <c r="EU18" i="21"/>
  <c r="EQ18" i="21"/>
  <c r="EP18" i="21"/>
  <c r="EO18" i="21"/>
  <c r="EJ18" i="21"/>
  <c r="EI18" i="21"/>
  <c r="EH18" i="21"/>
  <c r="EG18" i="21"/>
  <c r="EC18" i="21"/>
  <c r="EB18" i="21"/>
  <c r="EA18" i="21"/>
  <c r="DW18" i="21"/>
  <c r="DV18" i="21"/>
  <c r="DU18" i="21"/>
  <c r="DP18" i="21"/>
  <c r="DO18" i="21"/>
  <c r="DN18" i="21"/>
  <c r="DM18" i="21"/>
  <c r="DE18" i="21"/>
  <c r="DD18" i="21"/>
  <c r="DC18" i="21"/>
  <c r="CU18" i="21"/>
  <c r="CT18" i="21"/>
  <c r="CS18" i="21"/>
  <c r="CR18" i="21"/>
  <c r="CQ18" i="21"/>
  <c r="CP18" i="21"/>
  <c r="CO18" i="21"/>
  <c r="CK18" i="21"/>
  <c r="CJ18" i="21"/>
  <c r="CI18" i="21"/>
  <c r="CF18" i="21"/>
  <c r="CE18" i="21"/>
  <c r="CB18" i="21"/>
  <c r="BZ18" i="21"/>
  <c r="BR18" i="21"/>
  <c r="BQ18" i="21"/>
  <c r="BN18" i="21"/>
  <c r="BL18" i="21"/>
  <c r="BF18" i="21"/>
  <c r="BE18" i="21"/>
  <c r="BD18" i="21" s="1"/>
  <c r="BB18" i="21"/>
  <c r="BA18" i="21"/>
  <c r="AX18" i="21"/>
  <c r="AW18" i="21"/>
  <c r="AS18" i="21"/>
  <c r="AR18" i="21"/>
  <c r="AL18" i="21"/>
  <c r="AG18" i="21"/>
  <c r="AK18" i="21" s="1"/>
  <c r="Z18" i="21"/>
  <c r="T18" i="21"/>
  <c r="S18" i="21"/>
  <c r="L18" i="21"/>
  <c r="K18" i="21"/>
  <c r="H18" i="21"/>
  <c r="F18" i="21"/>
  <c r="AAU17" i="21"/>
  <c r="AAT17" i="21"/>
  <c r="AAQ17" i="21"/>
  <c r="AAP17" i="21"/>
  <c r="AAI17" i="21"/>
  <c r="AAH17" i="21"/>
  <c r="AAB17" i="21" s="1"/>
  <c r="ZT17" i="21"/>
  <c r="ZR17" i="21"/>
  <c r="ZQ17" i="21"/>
  <c r="ZO17" i="21"/>
  <c r="ZN17" i="21"/>
  <c r="ZM17" i="21"/>
  <c r="ZK17" i="21"/>
  <c r="YW17" i="21"/>
  <c r="YU17" i="21"/>
  <c r="ZG17" i="21" s="1"/>
  <c r="YT17" i="21"/>
  <c r="YZ17" i="21" s="1"/>
  <c r="ZX17" i="21" s="1"/>
  <c r="ZV17" i="21" s="1"/>
  <c r="YS17" i="21"/>
  <c r="YE17" i="21"/>
  <c r="YD17" i="21"/>
  <c r="YC17" i="21"/>
  <c r="YA17" i="21"/>
  <c r="XZ17" i="21"/>
  <c r="XY17" i="21"/>
  <c r="XW17" i="21"/>
  <c r="XP17" i="21"/>
  <c r="XU17" i="21" s="1"/>
  <c r="XS17" i="21" s="1"/>
  <c r="XL17" i="21"/>
  <c r="XJ17" i="21"/>
  <c r="XG17" i="21"/>
  <c r="XF17" i="21"/>
  <c r="XE17" i="21"/>
  <c r="XA17" i="21"/>
  <c r="WZ17" i="21"/>
  <c r="WY17" i="21"/>
  <c r="WU17" i="21"/>
  <c r="WT17" i="21"/>
  <c r="WS17" i="21"/>
  <c r="WG17" i="21"/>
  <c r="WF17" i="21"/>
  <c r="WA17" i="21"/>
  <c r="VZ17" i="21"/>
  <c r="VY17" i="21"/>
  <c r="VV17" i="21"/>
  <c r="VT17" i="21"/>
  <c r="VR17" i="21"/>
  <c r="VP17" i="21"/>
  <c r="VN17" i="21"/>
  <c r="VL17" i="21"/>
  <c r="VJ17" i="21"/>
  <c r="UM17" i="21"/>
  <c r="UL17" i="21"/>
  <c r="UK17" i="21"/>
  <c r="UJ17" i="21"/>
  <c r="UI17" i="21"/>
  <c r="UH17" i="21"/>
  <c r="KJ12" i="5" s="1"/>
  <c r="UG17" i="21"/>
  <c r="UE17" i="21"/>
  <c r="UD17" i="21"/>
  <c r="UC17" i="21"/>
  <c r="UB17" i="21"/>
  <c r="UA17" i="21"/>
  <c r="KM12" i="5" s="1"/>
  <c r="TZ17" i="21"/>
  <c r="TK17" i="21"/>
  <c r="TJ17" i="21"/>
  <c r="TI17" i="21"/>
  <c r="TH17" i="21"/>
  <c r="TG17" i="21"/>
  <c r="TF17" i="21"/>
  <c r="TE17" i="21"/>
  <c r="SW17" i="21"/>
  <c r="SV17" i="21"/>
  <c r="SU17" i="21"/>
  <c r="ST17" i="21"/>
  <c r="SS17" i="21"/>
  <c r="SR17" i="21"/>
  <c r="KH12" i="5" s="1"/>
  <c r="SQ17" i="21"/>
  <c r="SM17" i="21"/>
  <c r="SL17" i="21"/>
  <c r="SK17" i="21"/>
  <c r="SF17" i="21"/>
  <c r="SE17" i="21"/>
  <c r="SD17" i="21"/>
  <c r="SC17" i="21"/>
  <c r="RY17" i="21"/>
  <c r="RX17" i="21"/>
  <c r="RW17" i="21"/>
  <c r="RS17" i="21"/>
  <c r="RR17" i="21"/>
  <c r="RQ17" i="21"/>
  <c r="RO17" i="21"/>
  <c r="RN17" i="21"/>
  <c r="RG17" i="21"/>
  <c r="RF17" i="21"/>
  <c r="RE17" i="21"/>
  <c r="RA17" i="21"/>
  <c r="QZ17" i="21"/>
  <c r="QY17" i="21"/>
  <c r="QU17" i="21"/>
  <c r="QT17" i="21"/>
  <c r="QS17" i="21"/>
  <c r="QO17" i="21"/>
  <c r="QN17" i="21"/>
  <c r="QM17" i="21"/>
  <c r="QK17" i="21"/>
  <c r="QJ17" i="21"/>
  <c r="QC17" i="21"/>
  <c r="QB17" i="21"/>
  <c r="QA17" i="21"/>
  <c r="PR17" i="21"/>
  <c r="PQ17" i="21"/>
  <c r="PL17" i="21"/>
  <c r="PK17" i="21"/>
  <c r="PJ17" i="21"/>
  <c r="PI17" i="21"/>
  <c r="PG17" i="21"/>
  <c r="PF17" i="21"/>
  <c r="PE17" i="21"/>
  <c r="OV17" i="21"/>
  <c r="OU17" i="21"/>
  <c r="OT17" i="21"/>
  <c r="OS17" i="21"/>
  <c r="ON17" i="21"/>
  <c r="OM17" i="21"/>
  <c r="OL17" i="21"/>
  <c r="OK17" i="21"/>
  <c r="OF17" i="21"/>
  <c r="OE17" i="21"/>
  <c r="OD17" i="21"/>
  <c r="OC17" i="21"/>
  <c r="NY17" i="21"/>
  <c r="NX17" i="21"/>
  <c r="NW17" i="21"/>
  <c r="NU17" i="21"/>
  <c r="NT17" i="21"/>
  <c r="NM17" i="21"/>
  <c r="NL17" i="21"/>
  <c r="NK17" i="21"/>
  <c r="NA17" i="21"/>
  <c r="NI17" i="21" s="1"/>
  <c r="MZ17" i="21"/>
  <c r="MY17" i="21"/>
  <c r="MX17" i="21"/>
  <c r="MW17" i="21"/>
  <c r="MV17" i="21"/>
  <c r="MU17" i="21"/>
  <c r="MP17" i="21"/>
  <c r="MO17" i="21"/>
  <c r="MN17" i="21"/>
  <c r="MM17" i="21"/>
  <c r="MK17" i="21"/>
  <c r="MJ17" i="21"/>
  <c r="MI17" i="21"/>
  <c r="LZ17" i="21"/>
  <c r="LY17" i="21"/>
  <c r="LX17" i="21"/>
  <c r="LW17" i="21"/>
  <c r="LR17" i="21"/>
  <c r="LQ17" i="21"/>
  <c r="LP17" i="21"/>
  <c r="LO17" i="21"/>
  <c r="LK17" i="21"/>
  <c r="LJ17" i="21"/>
  <c r="LI17" i="21"/>
  <c r="LG17" i="21"/>
  <c r="LF17" i="21"/>
  <c r="KW17" i="21"/>
  <c r="KT17" i="21"/>
  <c r="KS17" i="21"/>
  <c r="KM17" i="21"/>
  <c r="KJ17" i="21"/>
  <c r="KI17" i="21"/>
  <c r="KE17" i="21"/>
  <c r="KD17" i="21"/>
  <c r="KC17" i="21"/>
  <c r="KA17" i="21"/>
  <c r="JZ17" i="21"/>
  <c r="JS17" i="21"/>
  <c r="JR17" i="21"/>
  <c r="JQ17" i="21"/>
  <c r="JM17" i="21"/>
  <c r="JL17" i="21"/>
  <c r="JK17" i="21"/>
  <c r="JG17" i="21"/>
  <c r="JF17" i="21"/>
  <c r="JE17" i="21"/>
  <c r="JA17" i="21"/>
  <c r="IZ17" i="21"/>
  <c r="IY17" i="21"/>
  <c r="IK17" i="21"/>
  <c r="IJ17" i="21"/>
  <c r="II17" i="21"/>
  <c r="IE17" i="21"/>
  <c r="ID17" i="21"/>
  <c r="IC17" i="21"/>
  <c r="IA17" i="21"/>
  <c r="HZ17" i="21"/>
  <c r="HS17" i="21"/>
  <c r="HR17" i="21"/>
  <c r="HQ17" i="21"/>
  <c r="HM17" i="21"/>
  <c r="HJ17" i="21"/>
  <c r="HG17" i="21"/>
  <c r="HF17" i="21"/>
  <c r="HE17" i="21"/>
  <c r="GX17" i="21"/>
  <c r="HC17" i="21" s="1"/>
  <c r="HA17" i="21" s="1"/>
  <c r="GW17" i="21"/>
  <c r="GV17" i="21" s="1"/>
  <c r="HB17" i="21" s="1"/>
  <c r="GR17" i="21"/>
  <c r="GQ17" i="21"/>
  <c r="GP17" i="21"/>
  <c r="GO17" i="21"/>
  <c r="GA17" i="21"/>
  <c r="FZ17" i="21"/>
  <c r="AH13" i="16" s="1"/>
  <c r="FY17" i="21"/>
  <c r="FU17" i="21"/>
  <c r="FT17" i="21"/>
  <c r="FS17" i="21"/>
  <c r="FO17" i="21"/>
  <c r="FN17" i="21"/>
  <c r="FM17" i="21"/>
  <c r="FK17" i="21"/>
  <c r="FJ17" i="21"/>
  <c r="FC17" i="21"/>
  <c r="FB17" i="21"/>
  <c r="FA17" i="21"/>
  <c r="EW17" i="21"/>
  <c r="EV17" i="21"/>
  <c r="EU17" i="21"/>
  <c r="EQ17" i="21"/>
  <c r="EP17" i="21"/>
  <c r="EO17" i="21"/>
  <c r="EJ17" i="21"/>
  <c r="EI17" i="21"/>
  <c r="EH17" i="21"/>
  <c r="EG17" i="21"/>
  <c r="EC17" i="21"/>
  <c r="EB17" i="21"/>
  <c r="EA17" i="21"/>
  <c r="DW17" i="21"/>
  <c r="DV17" i="21"/>
  <c r="DU17" i="21"/>
  <c r="DP17" i="21"/>
  <c r="DO17" i="21"/>
  <c r="DN17" i="21"/>
  <c r="DM17" i="21"/>
  <c r="DE17" i="21"/>
  <c r="DD17" i="21"/>
  <c r="DC17" i="21"/>
  <c r="CU17" i="21"/>
  <c r="CT17" i="21"/>
  <c r="CS17" i="21"/>
  <c r="CR17" i="21"/>
  <c r="CQ17" i="21"/>
  <c r="CP17" i="21"/>
  <c r="CO17" i="21"/>
  <c r="CK17" i="21"/>
  <c r="CJ17" i="21"/>
  <c r="CI17" i="21"/>
  <c r="CF17" i="21"/>
  <c r="CE17" i="21"/>
  <c r="CB17" i="21"/>
  <c r="BZ17" i="21"/>
  <c r="BR17" i="21"/>
  <c r="BQ17" i="21"/>
  <c r="BN17" i="21"/>
  <c r="BL17" i="21"/>
  <c r="BF17" i="21"/>
  <c r="BE17" i="21"/>
  <c r="BD17" i="21" s="1"/>
  <c r="BB17" i="21"/>
  <c r="BA17" i="21"/>
  <c r="AX17" i="21"/>
  <c r="AW17" i="21"/>
  <c r="AS17" i="21"/>
  <c r="AR17" i="21"/>
  <c r="AQ17" i="21"/>
  <c r="AL17" i="21"/>
  <c r="AG17" i="21"/>
  <c r="Z17" i="21"/>
  <c r="S17" i="21"/>
  <c r="N17" i="21"/>
  <c r="L17" i="21"/>
  <c r="K17" i="21"/>
  <c r="H17" i="21"/>
  <c r="F17" i="21"/>
  <c r="AAU16" i="21"/>
  <c r="AAT16" i="21"/>
  <c r="AAQ16" i="21"/>
  <c r="AAP16" i="21"/>
  <c r="AAI16" i="21"/>
  <c r="AAH16" i="21"/>
  <c r="ZT16" i="21"/>
  <c r="ZR16" i="21"/>
  <c r="ZQ16" i="21"/>
  <c r="ZO16" i="21"/>
  <c r="ZN16" i="21"/>
  <c r="ZM16" i="21"/>
  <c r="ZK16" i="21"/>
  <c r="YW16" i="21"/>
  <c r="YV16" i="21"/>
  <c r="YU16" i="21"/>
  <c r="ZG16" i="21" s="1"/>
  <c r="YT16" i="21"/>
  <c r="YZ16" i="21" s="1"/>
  <c r="YX16" i="21" s="1"/>
  <c r="YS16" i="21"/>
  <c r="YE16" i="21"/>
  <c r="YD16" i="21"/>
  <c r="YC16" i="21"/>
  <c r="YB16" i="21"/>
  <c r="YA16" i="21"/>
  <c r="XZ16" i="21"/>
  <c r="XY16" i="21"/>
  <c r="XX16" i="21"/>
  <c r="XW16" i="21"/>
  <c r="XP16" i="21"/>
  <c r="XL16" i="21"/>
  <c r="XJ16" i="21"/>
  <c r="XG16" i="21"/>
  <c r="XF16" i="21"/>
  <c r="XE16" i="21"/>
  <c r="XA16" i="21"/>
  <c r="WZ16" i="21"/>
  <c r="WY16" i="21"/>
  <c r="WU16" i="21"/>
  <c r="WT16" i="21"/>
  <c r="WS16" i="21"/>
  <c r="WG16" i="21"/>
  <c r="WF16" i="21"/>
  <c r="WA16" i="21"/>
  <c r="VZ16" i="21"/>
  <c r="VY16" i="21"/>
  <c r="VV16" i="21"/>
  <c r="VT16" i="21"/>
  <c r="VR16" i="21"/>
  <c r="VP16" i="21"/>
  <c r="VN16" i="21"/>
  <c r="VL16" i="21"/>
  <c r="VJ16" i="21"/>
  <c r="UM16" i="21"/>
  <c r="UL16" i="21"/>
  <c r="UK16" i="21"/>
  <c r="UJ16" i="21"/>
  <c r="UI16" i="21"/>
  <c r="UH16" i="21"/>
  <c r="KJ11" i="5" s="1"/>
  <c r="UG16" i="21"/>
  <c r="UE16" i="21"/>
  <c r="UD16" i="21"/>
  <c r="UC16" i="21"/>
  <c r="UB16" i="21"/>
  <c r="UA16" i="21"/>
  <c r="KM11" i="5" s="1"/>
  <c r="TZ16" i="21"/>
  <c r="TK16" i="21"/>
  <c r="TJ16" i="21"/>
  <c r="TI16" i="21"/>
  <c r="TH16" i="21"/>
  <c r="TG16" i="21"/>
  <c r="TF16" i="21"/>
  <c r="TE16" i="21"/>
  <c r="SW16" i="21"/>
  <c r="SV16" i="21"/>
  <c r="SU16" i="21"/>
  <c r="ST16" i="21"/>
  <c r="SS16" i="21"/>
  <c r="SR16" i="21"/>
  <c r="KH11" i="5" s="1"/>
  <c r="SQ16" i="21"/>
  <c r="SM16" i="21"/>
  <c r="SL16" i="21"/>
  <c r="SK16" i="21"/>
  <c r="SF16" i="21"/>
  <c r="SE16" i="21"/>
  <c r="SD16" i="21"/>
  <c r="SC16" i="21"/>
  <c r="RY16" i="21"/>
  <c r="RX16" i="21"/>
  <c r="RW16" i="21"/>
  <c r="RS16" i="21"/>
  <c r="RR16" i="21"/>
  <c r="RQ16" i="21"/>
  <c r="RO16" i="21"/>
  <c r="RN16" i="21"/>
  <c r="RG16" i="21"/>
  <c r="RF16" i="21"/>
  <c r="RE16" i="21"/>
  <c r="RA16" i="21"/>
  <c r="QZ16" i="21"/>
  <c r="QY16" i="21"/>
  <c r="QU16" i="21"/>
  <c r="QT16" i="21"/>
  <c r="QS16" i="21"/>
  <c r="QO16" i="21"/>
  <c r="QN16" i="21"/>
  <c r="QM16" i="21"/>
  <c r="QK16" i="21"/>
  <c r="QJ16" i="21"/>
  <c r="QC16" i="21"/>
  <c r="PR16" i="21"/>
  <c r="PQ16" i="21"/>
  <c r="PL16" i="21"/>
  <c r="PK16" i="21"/>
  <c r="PJ16" i="21"/>
  <c r="PI16" i="21"/>
  <c r="PG16" i="21"/>
  <c r="PF16" i="21"/>
  <c r="PE16" i="21"/>
  <c r="OV16" i="21"/>
  <c r="OU16" i="21"/>
  <c r="OT16" i="21"/>
  <c r="OS16" i="21"/>
  <c r="ON16" i="21"/>
  <c r="OM16" i="21"/>
  <c r="OL16" i="21"/>
  <c r="OK16" i="21"/>
  <c r="OF16" i="21"/>
  <c r="OE16" i="21"/>
  <c r="OD16" i="21"/>
  <c r="OC16" i="21"/>
  <c r="NY16" i="21"/>
  <c r="NX16" i="21"/>
  <c r="NW16" i="21"/>
  <c r="NU16" i="21"/>
  <c r="NT16" i="21"/>
  <c r="NM16" i="21"/>
  <c r="NL16" i="21"/>
  <c r="NK16" i="21"/>
  <c r="NA16" i="21"/>
  <c r="MZ16" i="21"/>
  <c r="MY16" i="21"/>
  <c r="MX16" i="21"/>
  <c r="MW16" i="21"/>
  <c r="MV16" i="21"/>
  <c r="MU16" i="21"/>
  <c r="MP16" i="21"/>
  <c r="MO16" i="21"/>
  <c r="MN16" i="21"/>
  <c r="MM16" i="21"/>
  <c r="MK16" i="21"/>
  <c r="MJ16" i="21"/>
  <c r="MI16" i="21"/>
  <c r="LZ16" i="21"/>
  <c r="LY16" i="21"/>
  <c r="LX16" i="21"/>
  <c r="LW16" i="21"/>
  <c r="LR16" i="21"/>
  <c r="LQ16" i="21"/>
  <c r="LP16" i="21"/>
  <c r="LO16" i="21"/>
  <c r="LK16" i="21"/>
  <c r="LJ16" i="21"/>
  <c r="LI16" i="21"/>
  <c r="LG16" i="21"/>
  <c r="LF16" i="21"/>
  <c r="KW16" i="21"/>
  <c r="KT16" i="21"/>
  <c r="KS16" i="21"/>
  <c r="KM16" i="21"/>
  <c r="KJ16" i="21"/>
  <c r="KI16" i="21"/>
  <c r="KE16" i="21"/>
  <c r="KD16" i="21"/>
  <c r="KC16" i="21"/>
  <c r="KA16" i="21"/>
  <c r="JZ16" i="21"/>
  <c r="JS16" i="21"/>
  <c r="JR16" i="21"/>
  <c r="JQ16" i="21"/>
  <c r="JM16" i="21"/>
  <c r="JL16" i="21"/>
  <c r="JK16" i="21"/>
  <c r="JG16" i="21"/>
  <c r="JF16" i="21"/>
  <c r="JE16" i="21"/>
  <c r="JA16" i="21"/>
  <c r="IZ16" i="21"/>
  <c r="IY16" i="21"/>
  <c r="IK16" i="21"/>
  <c r="IJ16" i="21"/>
  <c r="II16" i="21"/>
  <c r="IE16" i="21"/>
  <c r="ID16" i="21"/>
  <c r="IC16" i="21"/>
  <c r="IA16" i="21"/>
  <c r="HZ16" i="21"/>
  <c r="HS16" i="21"/>
  <c r="HR16" i="21"/>
  <c r="HQ16" i="21"/>
  <c r="HM16" i="21"/>
  <c r="HJ16" i="21"/>
  <c r="HG16" i="21"/>
  <c r="HF16" i="21"/>
  <c r="HE16" i="21"/>
  <c r="GX16" i="21"/>
  <c r="HC16" i="21" s="1"/>
  <c r="HA16" i="21" s="1"/>
  <c r="GW16" i="21"/>
  <c r="GV16" i="21" s="1"/>
  <c r="HB16" i="21" s="1"/>
  <c r="GR16" i="21"/>
  <c r="GQ16" i="21"/>
  <c r="GP16" i="21"/>
  <c r="GO16" i="21"/>
  <c r="GA16" i="21"/>
  <c r="FZ16" i="21"/>
  <c r="AH12" i="16" s="1"/>
  <c r="FY16" i="21"/>
  <c r="FU16" i="21"/>
  <c r="FT16" i="21"/>
  <c r="FS16" i="21"/>
  <c r="FO16" i="21"/>
  <c r="FN16" i="21"/>
  <c r="FM16" i="21"/>
  <c r="FK16" i="21"/>
  <c r="FJ16" i="21"/>
  <c r="FC16" i="21"/>
  <c r="FB16" i="21"/>
  <c r="FA16" i="21"/>
  <c r="EW16" i="21"/>
  <c r="EV16" i="21"/>
  <c r="EU16" i="21"/>
  <c r="EQ16" i="21"/>
  <c r="EP16" i="21"/>
  <c r="EO16" i="21"/>
  <c r="EJ16" i="21"/>
  <c r="EI16" i="21"/>
  <c r="EH16" i="21"/>
  <c r="EG16" i="21"/>
  <c r="EC16" i="21"/>
  <c r="EB16" i="21"/>
  <c r="EA16" i="21"/>
  <c r="DW16" i="21"/>
  <c r="DV16" i="21"/>
  <c r="DP16" i="21"/>
  <c r="DO16" i="21"/>
  <c r="DN16" i="21"/>
  <c r="DM16" i="21"/>
  <c r="DE16" i="21"/>
  <c r="DK16" i="21" s="1"/>
  <c r="DI16" i="21" s="1"/>
  <c r="DD16" i="21"/>
  <c r="DC16" i="21"/>
  <c r="CU16" i="21"/>
  <c r="CT16" i="21"/>
  <c r="CS16" i="21"/>
  <c r="CR16" i="21"/>
  <c r="CQ16" i="21"/>
  <c r="CP16" i="21"/>
  <c r="CO16" i="21"/>
  <c r="CK16" i="21"/>
  <c r="CJ16" i="21"/>
  <c r="CI16" i="21"/>
  <c r="CF16" i="21"/>
  <c r="CE16" i="21"/>
  <c r="CB16" i="21"/>
  <c r="BZ16" i="21"/>
  <c r="BR16" i="21"/>
  <c r="BQ16" i="21"/>
  <c r="BN16" i="21"/>
  <c r="BL16" i="21"/>
  <c r="BF16" i="21"/>
  <c r="BK16" i="21" s="1"/>
  <c r="BE16" i="21"/>
  <c r="BD16" i="21" s="1"/>
  <c r="BB16" i="21"/>
  <c r="BA16" i="21"/>
  <c r="AX16" i="21"/>
  <c r="AW16" i="21"/>
  <c r="AV16" i="21" s="1"/>
  <c r="AS16" i="21"/>
  <c r="AR16" i="21"/>
  <c r="AQ16" i="21"/>
  <c r="AL16" i="21"/>
  <c r="AM16" i="21" s="1"/>
  <c r="AG16" i="21"/>
  <c r="Z16" i="21"/>
  <c r="T16" i="21"/>
  <c r="S16" i="21"/>
  <c r="N16" i="21"/>
  <c r="L16" i="21"/>
  <c r="K16" i="21"/>
  <c r="H16" i="21"/>
  <c r="F16" i="21"/>
  <c r="AAU12" i="21"/>
  <c r="AAT12" i="21"/>
  <c r="AAQ12" i="21"/>
  <c r="AAP12" i="21"/>
  <c r="AAI12" i="21"/>
  <c r="AAH12" i="21"/>
  <c r="ZV12" i="21"/>
  <c r="ZT12" i="21"/>
  <c r="ZR12" i="21"/>
  <c r="ZQ12" i="21"/>
  <c r="ZO12" i="21"/>
  <c r="ZN12" i="21"/>
  <c r="ZM12" i="21"/>
  <c r="ZL12" i="21"/>
  <c r="ZK12" i="21"/>
  <c r="YX12" i="21"/>
  <c r="YW12" i="21"/>
  <c r="YV12" i="21"/>
  <c r="YU12" i="21"/>
  <c r="ZG12" i="21" s="1"/>
  <c r="YT12" i="21"/>
  <c r="YS12" i="21"/>
  <c r="YE12" i="21"/>
  <c r="YD12" i="21"/>
  <c r="YC12" i="21"/>
  <c r="YB12" i="21"/>
  <c r="YA12" i="21"/>
  <c r="XZ12" i="21"/>
  <c r="XY12" i="21"/>
  <c r="XX12" i="21"/>
  <c r="XW12" i="21"/>
  <c r="XP12" i="21"/>
  <c r="XU12" i="21" s="1"/>
  <c r="XO12" i="21"/>
  <c r="XL12" i="21"/>
  <c r="XJ12" i="21"/>
  <c r="XG12" i="21"/>
  <c r="XF12" i="21"/>
  <c r="XE12" i="21"/>
  <c r="XA12" i="21"/>
  <c r="WZ12" i="21"/>
  <c r="WY12" i="21"/>
  <c r="WU12" i="21"/>
  <c r="WT12" i="21"/>
  <c r="WS12" i="21"/>
  <c r="WG12" i="21"/>
  <c r="WF12" i="21"/>
  <c r="WA12" i="21"/>
  <c r="VZ12" i="21"/>
  <c r="VY12" i="21"/>
  <c r="VV12" i="21"/>
  <c r="VT12" i="21"/>
  <c r="VR12" i="21"/>
  <c r="VP12" i="21"/>
  <c r="VN12" i="21"/>
  <c r="VL12" i="21"/>
  <c r="VJ12" i="21"/>
  <c r="UM12" i="21"/>
  <c r="UL12" i="21"/>
  <c r="UK12" i="21"/>
  <c r="UJ12" i="21"/>
  <c r="UI12" i="21"/>
  <c r="UH12" i="21"/>
  <c r="KJ10" i="5" s="1"/>
  <c r="UG12" i="21"/>
  <c r="UE12" i="21"/>
  <c r="UD12" i="21"/>
  <c r="UC12" i="21"/>
  <c r="UB12" i="21"/>
  <c r="UA12" i="21"/>
  <c r="KM10" i="5" s="1"/>
  <c r="TZ12" i="21"/>
  <c r="TK12" i="21"/>
  <c r="TJ12" i="21"/>
  <c r="TI12" i="21"/>
  <c r="TH12" i="21"/>
  <c r="TG12" i="21"/>
  <c r="TF12" i="21"/>
  <c r="TE12" i="21"/>
  <c r="SW12" i="21"/>
  <c r="SV12" i="21"/>
  <c r="SU12" i="21"/>
  <c r="ST12" i="21"/>
  <c r="SS12" i="21"/>
  <c r="SR12" i="21"/>
  <c r="SQ12" i="21"/>
  <c r="SM12" i="21"/>
  <c r="SL12" i="21"/>
  <c r="SK12" i="21"/>
  <c r="SF12" i="21"/>
  <c r="SE12" i="21"/>
  <c r="SD12" i="21"/>
  <c r="SC12" i="21"/>
  <c r="RY12" i="21"/>
  <c r="RX12" i="21"/>
  <c r="RW12" i="21"/>
  <c r="RS12" i="21"/>
  <c r="RR12" i="21"/>
  <c r="RQ12" i="21"/>
  <c r="RO12" i="21"/>
  <c r="RN12" i="21"/>
  <c r="RM12" i="21" s="1"/>
  <c r="RG12" i="21"/>
  <c r="RF12" i="21"/>
  <c r="RE12" i="21"/>
  <c r="RA12" i="21"/>
  <c r="QZ12" i="21"/>
  <c r="QY12" i="21"/>
  <c r="QU12" i="21"/>
  <c r="QT12" i="21"/>
  <c r="QS12" i="21"/>
  <c r="QO12" i="21"/>
  <c r="QN12" i="21"/>
  <c r="QM12" i="21"/>
  <c r="QK12" i="21"/>
  <c r="QJ12" i="21"/>
  <c r="QC12" i="21"/>
  <c r="QB12" i="21"/>
  <c r="QA12" i="21"/>
  <c r="PR12" i="21"/>
  <c r="PQ12" i="21"/>
  <c r="PL12" i="21"/>
  <c r="PK12" i="21"/>
  <c r="PJ12" i="21"/>
  <c r="PI12" i="21"/>
  <c r="PG12" i="21"/>
  <c r="PF12" i="21"/>
  <c r="PE12" i="21"/>
  <c r="OV12" i="21"/>
  <c r="OU12" i="21"/>
  <c r="OT12" i="21"/>
  <c r="OS12" i="21"/>
  <c r="ON12" i="21"/>
  <c r="OM12" i="21"/>
  <c r="OL12" i="21"/>
  <c r="OK12" i="21"/>
  <c r="OF12" i="21"/>
  <c r="OE12" i="21"/>
  <c r="OD12" i="21"/>
  <c r="OC12" i="21"/>
  <c r="NY12" i="21"/>
  <c r="NX12" i="21"/>
  <c r="NW12" i="21"/>
  <c r="NU12" i="21"/>
  <c r="NT12" i="21"/>
  <c r="NM12" i="21"/>
  <c r="NL12" i="21"/>
  <c r="NK12" i="21"/>
  <c r="NA12" i="21"/>
  <c r="NI12" i="21" s="1"/>
  <c r="MZ12" i="21"/>
  <c r="MY12" i="21"/>
  <c r="MX12" i="21"/>
  <c r="MW12" i="21"/>
  <c r="MV12" i="21"/>
  <c r="MU12" i="21"/>
  <c r="MP12" i="21"/>
  <c r="MO12" i="21"/>
  <c r="MN12" i="21"/>
  <c r="MM12" i="21"/>
  <c r="MK12" i="21"/>
  <c r="MJ12" i="21"/>
  <c r="MI12" i="21"/>
  <c r="LZ12" i="21"/>
  <c r="LY12" i="21"/>
  <c r="LX12" i="21"/>
  <c r="LW12" i="21"/>
  <c r="LR12" i="21"/>
  <c r="LQ12" i="21"/>
  <c r="LO12" i="21"/>
  <c r="LK12" i="21"/>
  <c r="LJ12" i="21"/>
  <c r="LI12" i="21"/>
  <c r="LG12" i="21"/>
  <c r="LF12" i="21"/>
  <c r="KW12" i="21"/>
  <c r="KT12" i="21"/>
  <c r="KS12" i="21"/>
  <c r="KM12" i="21"/>
  <c r="KJ12" i="21"/>
  <c r="KI12" i="21"/>
  <c r="KE12" i="21"/>
  <c r="KD12" i="21"/>
  <c r="KC12" i="21"/>
  <c r="KA12" i="21"/>
  <c r="JZ12" i="21"/>
  <c r="JS12" i="21"/>
  <c r="JR12" i="21"/>
  <c r="JQ12" i="21"/>
  <c r="JM12" i="21"/>
  <c r="JL12" i="21"/>
  <c r="JK12" i="21"/>
  <c r="JG12" i="21"/>
  <c r="JF12" i="21"/>
  <c r="JE12" i="21"/>
  <c r="JA12" i="21"/>
  <c r="IZ12" i="21"/>
  <c r="IY12" i="21"/>
  <c r="IK12" i="21"/>
  <c r="IJ12" i="21"/>
  <c r="II12" i="21"/>
  <c r="IE12" i="21"/>
  <c r="ID12" i="21"/>
  <c r="IC12" i="21"/>
  <c r="IA12" i="21"/>
  <c r="HZ12" i="21"/>
  <c r="HS12" i="21"/>
  <c r="HR12" i="21"/>
  <c r="HQ12" i="21"/>
  <c r="HM12" i="21"/>
  <c r="HJ12" i="21"/>
  <c r="HG12" i="21"/>
  <c r="HF12" i="21"/>
  <c r="HE12" i="21"/>
  <c r="GX12" i="21"/>
  <c r="HC12" i="21" s="1"/>
  <c r="GW12" i="21"/>
  <c r="GV12" i="21" s="1"/>
  <c r="HB12" i="21" s="1"/>
  <c r="GR12" i="21"/>
  <c r="GQ12" i="21"/>
  <c r="GP12" i="21"/>
  <c r="GO12" i="21"/>
  <c r="GA12" i="21"/>
  <c r="FZ12" i="21"/>
  <c r="AH11" i="16" s="1"/>
  <c r="FY12" i="21"/>
  <c r="FU12" i="21"/>
  <c r="FT12" i="21"/>
  <c r="FS12" i="21"/>
  <c r="FO12" i="21"/>
  <c r="FN12" i="21"/>
  <c r="FM12" i="21"/>
  <c r="FK12" i="21"/>
  <c r="FJ12" i="21"/>
  <c r="FC12" i="21"/>
  <c r="FB12" i="21"/>
  <c r="FA12" i="21"/>
  <c r="EW12" i="21"/>
  <c r="EV12" i="21"/>
  <c r="EU12" i="21"/>
  <c r="EQ12" i="21"/>
  <c r="EP12" i="21"/>
  <c r="EO12" i="21"/>
  <c r="EJ12" i="21"/>
  <c r="EI12" i="21"/>
  <c r="EH12" i="21"/>
  <c r="EG12" i="21"/>
  <c r="EC12" i="21"/>
  <c r="EB12" i="21"/>
  <c r="EA12" i="21"/>
  <c r="DW12" i="21"/>
  <c r="DV12" i="21"/>
  <c r="DU12" i="21"/>
  <c r="DP12" i="21"/>
  <c r="DO12" i="21"/>
  <c r="DN12" i="21"/>
  <c r="DM12" i="21"/>
  <c r="DE12" i="21"/>
  <c r="DK12" i="21" s="1"/>
  <c r="DI12" i="21" s="1"/>
  <c r="DD12" i="21"/>
  <c r="DC12" i="21"/>
  <c r="CU12" i="21"/>
  <c r="CT12" i="21"/>
  <c r="CS12" i="21"/>
  <c r="CR12" i="21"/>
  <c r="CQ12" i="21"/>
  <c r="CP12" i="21"/>
  <c r="CO12" i="21"/>
  <c r="CK12" i="21"/>
  <c r="CJ12" i="21"/>
  <c r="CI12" i="21"/>
  <c r="CF12" i="21"/>
  <c r="CE12" i="21"/>
  <c r="CB12" i="21"/>
  <c r="BZ12" i="21"/>
  <c r="BR12" i="21"/>
  <c r="BQ12" i="21"/>
  <c r="BN12" i="21"/>
  <c r="BL12" i="21"/>
  <c r="BF12" i="21"/>
  <c r="BK12" i="21" s="1"/>
  <c r="BE12" i="21"/>
  <c r="BD12" i="21" s="1"/>
  <c r="BB12" i="21"/>
  <c r="BA12" i="21"/>
  <c r="AX12" i="21"/>
  <c r="AW12" i="21"/>
  <c r="AS12" i="21"/>
  <c r="AR12" i="21"/>
  <c r="AL12" i="21"/>
  <c r="AG12" i="21"/>
  <c r="AK12" i="21" s="1"/>
  <c r="Z12" i="21"/>
  <c r="T12" i="21"/>
  <c r="S12" i="21"/>
  <c r="P12" i="21"/>
  <c r="N12" i="21"/>
  <c r="L12" i="21"/>
  <c r="K12" i="21"/>
  <c r="H12" i="21"/>
  <c r="F12" i="21"/>
  <c r="E3" i="21"/>
  <c r="ZH21" i="21" l="1"/>
  <c r="ZK34" i="21"/>
  <c r="ZK42" i="21" s="1"/>
  <c r="FJ20" i="21"/>
  <c r="FC19" i="21"/>
  <c r="FK19" i="21"/>
  <c r="DP29" i="21"/>
  <c r="QI19" i="21"/>
  <c r="FD30" i="21"/>
  <c r="FD37" i="21" s="1"/>
  <c r="DP33" i="21"/>
  <c r="DP34" i="21" s="1"/>
  <c r="DP42" i="21" s="1"/>
  <c r="NH12" i="21"/>
  <c r="NB12" i="21" s="1"/>
  <c r="NH18" i="21"/>
  <c r="NB18" i="21" s="1"/>
  <c r="NH20" i="21"/>
  <c r="NB20" i="21" s="1"/>
  <c r="NH17" i="21"/>
  <c r="NB17" i="21" s="1"/>
  <c r="NH29" i="21"/>
  <c r="LE28" i="21"/>
  <c r="AAC28" i="21"/>
  <c r="SZ40" i="21"/>
  <c r="TP40" i="21"/>
  <c r="MP34" i="21"/>
  <c r="MP42" i="21" s="1"/>
  <c r="NM34" i="21"/>
  <c r="NM42" i="21" s="1"/>
  <c r="OF34" i="21"/>
  <c r="OF42" i="21" s="1"/>
  <c r="RS34" i="21"/>
  <c r="RS42" i="21" s="1"/>
  <c r="JG34" i="21"/>
  <c r="JG42" i="21" s="1"/>
  <c r="RM24" i="21"/>
  <c r="AS34" i="21"/>
  <c r="AS42" i="21" s="1"/>
  <c r="HP34" i="21"/>
  <c r="HP42" i="21" s="1"/>
  <c r="RA34" i="21"/>
  <c r="RA42" i="21" s="1"/>
  <c r="ZS40" i="21"/>
  <c r="ZS37" i="21"/>
  <c r="OA30" i="21"/>
  <c r="OA37" i="21" s="1"/>
  <c r="NH32" i="21"/>
  <c r="LE27" i="21"/>
  <c r="RH40" i="21"/>
  <c r="RI37" i="21"/>
  <c r="QI29" i="21"/>
  <c r="EL40" i="21"/>
  <c r="NU27" i="21"/>
  <c r="ZH19" i="21"/>
  <c r="NZ27" i="21"/>
  <c r="NY27" i="21" s="1"/>
  <c r="NM27" i="21"/>
  <c r="QU34" i="21"/>
  <c r="QU42" i="21" s="1"/>
  <c r="CZ47" i="21"/>
  <c r="AK29" i="21"/>
  <c r="QI18" i="21"/>
  <c r="RM21" i="21"/>
  <c r="HY32" i="21"/>
  <c r="RM34" i="21"/>
  <c r="RM42" i="21" s="1"/>
  <c r="XP34" i="21"/>
  <c r="XP42" i="21" s="1"/>
  <c r="K34" i="21"/>
  <c r="K42" i="21" s="1"/>
  <c r="AK16" i="21"/>
  <c r="CK34" i="21"/>
  <c r="CK42" i="21" s="1"/>
  <c r="AM30" i="21"/>
  <c r="AM40" i="21" s="1"/>
  <c r="SN40" i="21"/>
  <c r="AK21" i="21"/>
  <c r="E19" i="21"/>
  <c r="XB40" i="21"/>
  <c r="NH28" i="21"/>
  <c r="RD12" i="21"/>
  <c r="SJ20" i="21"/>
  <c r="FR15" i="21"/>
  <c r="RP15" i="21"/>
  <c r="SJ16" i="21"/>
  <c r="SJ22" i="21"/>
  <c r="SJ26" i="21"/>
  <c r="FR13" i="21"/>
  <c r="RP13" i="21"/>
  <c r="SJ21" i="21"/>
  <c r="PP14" i="21"/>
  <c r="RD14" i="21"/>
  <c r="FR19" i="21"/>
  <c r="FR14" i="21"/>
  <c r="FR25" i="21"/>
  <c r="FR24" i="21"/>
  <c r="FR27" i="21"/>
  <c r="SJ18" i="21"/>
  <c r="RD13" i="21"/>
  <c r="SJ24" i="21"/>
  <c r="SJ27" i="21"/>
  <c r="NH15" i="21"/>
  <c r="RP14" i="21"/>
  <c r="NH13" i="21"/>
  <c r="PP16" i="21"/>
  <c r="SJ19" i="21"/>
  <c r="SJ14" i="21"/>
  <c r="SJ25" i="21"/>
  <c r="RD15" i="21"/>
  <c r="NH16" i="21"/>
  <c r="SJ15" i="21"/>
  <c r="FR20" i="21"/>
  <c r="FR17" i="21"/>
  <c r="RP12" i="21"/>
  <c r="FR16" i="21"/>
  <c r="SJ17" i="21"/>
  <c r="PP18" i="21"/>
  <c r="FR22" i="21"/>
  <c r="SJ23" i="21"/>
  <c r="FR26" i="21"/>
  <c r="PP27" i="21"/>
  <c r="FR18" i="21"/>
  <c r="FR12" i="21"/>
  <c r="SJ13" i="21"/>
  <c r="FR21" i="21"/>
  <c r="FR23" i="21"/>
  <c r="PP15" i="21"/>
  <c r="PP21" i="21"/>
  <c r="PP28" i="21"/>
  <c r="PP29" i="21"/>
  <c r="PP20" i="21"/>
  <c r="PP24" i="21"/>
  <c r="PP25" i="21"/>
  <c r="PP12" i="21"/>
  <c r="PP17" i="21"/>
  <c r="PP26" i="21"/>
  <c r="PP19" i="21"/>
  <c r="PP22" i="21"/>
  <c r="PP23" i="21"/>
  <c r="CG37" i="21"/>
  <c r="FE40" i="21"/>
  <c r="GT40" i="21"/>
  <c r="HN40" i="21"/>
  <c r="LE25" i="21"/>
  <c r="NI41" i="21"/>
  <c r="CU34" i="21"/>
  <c r="CU42" i="21" s="1"/>
  <c r="XU27" i="21"/>
  <c r="H52" i="9"/>
  <c r="EV34" i="21"/>
  <c r="EV42" i="21" s="1"/>
  <c r="NH22" i="21"/>
  <c r="NZ21" i="21"/>
  <c r="NY21" i="21" s="1"/>
  <c r="NH19" i="21"/>
  <c r="NU21" i="21"/>
  <c r="NH23" i="21"/>
  <c r="NH14" i="21"/>
  <c r="NH21" i="21"/>
  <c r="NB21" i="21" s="1"/>
  <c r="NH25" i="21"/>
  <c r="NN30" i="21"/>
  <c r="NN40" i="21" s="1"/>
  <c r="NO30" i="21"/>
  <c r="NO40" i="21" s="1"/>
  <c r="AD42" i="21"/>
  <c r="NI30" i="21"/>
  <c r="NM21" i="21"/>
  <c r="HG34" i="21"/>
  <c r="HG42" i="21" s="1"/>
  <c r="EJ34" i="21"/>
  <c r="EJ42" i="21" s="1"/>
  <c r="HY15" i="21"/>
  <c r="LE17" i="21"/>
  <c r="LE15" i="21"/>
  <c r="LE14" i="21"/>
  <c r="RM15" i="21"/>
  <c r="LE26" i="21"/>
  <c r="LE20" i="21"/>
  <c r="QI17" i="21"/>
  <c r="AAC17" i="21"/>
  <c r="QI27" i="21"/>
  <c r="E28" i="21"/>
  <c r="E12" i="21"/>
  <c r="AAB12" i="21"/>
  <c r="HV33" i="21"/>
  <c r="AAC19" i="21"/>
  <c r="NS15" i="21"/>
  <c r="LE12" i="21"/>
  <c r="FI21" i="21"/>
  <c r="RM28" i="21"/>
  <c r="AAB18" i="21"/>
  <c r="BI19" i="21"/>
  <c r="E24" i="21"/>
  <c r="AAC25" i="21"/>
  <c r="AAC27" i="21"/>
  <c r="LE29" i="21"/>
  <c r="AAC29" i="21"/>
  <c r="AAU30" i="21"/>
  <c r="XS13" i="21"/>
  <c r="AAB13" i="21"/>
  <c r="LE19" i="21"/>
  <c r="DW34" i="21"/>
  <c r="DW42" i="21" s="1"/>
  <c r="GA34" i="21"/>
  <c r="GA42" i="21" s="1"/>
  <c r="LE13" i="21"/>
  <c r="AAC20" i="21"/>
  <c r="E23" i="21"/>
  <c r="QI24" i="21"/>
  <c r="AAC15" i="21"/>
  <c r="RM19" i="21"/>
  <c r="QI21" i="21"/>
  <c r="TY15" i="21"/>
  <c r="JY29" i="21"/>
  <c r="E33" i="21"/>
  <c r="AAB16" i="21"/>
  <c r="AAC18" i="21"/>
  <c r="DK19" i="21"/>
  <c r="DI19" i="21" s="1"/>
  <c r="AAB25" i="21"/>
  <c r="AAB27" i="21"/>
  <c r="AAT30" i="21"/>
  <c r="GZ34" i="21"/>
  <c r="GZ42" i="21" s="1"/>
  <c r="JY24" i="21"/>
  <c r="AP12" i="16"/>
  <c r="ES11" i="5" s="1"/>
  <c r="ET11" i="5"/>
  <c r="AP14" i="16"/>
  <c r="ES13" i="5" s="1"/>
  <c r="ET13" i="5"/>
  <c r="AP17" i="16"/>
  <c r="ES16" i="5" s="1"/>
  <c r="ET16" i="5"/>
  <c r="AP19" i="16"/>
  <c r="ES18" i="5" s="1"/>
  <c r="ET18" i="5"/>
  <c r="AP22" i="16"/>
  <c r="ES21" i="5" s="1"/>
  <c r="ET21" i="5"/>
  <c r="AP27" i="16"/>
  <c r="ES26" i="5" s="1"/>
  <c r="ET26" i="5"/>
  <c r="AP24" i="16"/>
  <c r="ES23" i="5" s="1"/>
  <c r="ET23" i="5"/>
  <c r="AP13" i="16"/>
  <c r="ES12" i="5" s="1"/>
  <c r="ET12" i="5"/>
  <c r="PC28" i="21"/>
  <c r="AP21" i="16"/>
  <c r="ES20" i="5" s="1"/>
  <c r="ET20" i="5"/>
  <c r="AP23" i="16"/>
  <c r="ES22" i="5" s="1"/>
  <c r="ET22" i="5"/>
  <c r="AP25" i="16"/>
  <c r="ES24" i="5" s="1"/>
  <c r="ET24" i="5"/>
  <c r="AP28" i="16"/>
  <c r="ES27" i="5" s="1"/>
  <c r="EV27" i="5" s="1"/>
  <c r="ET27" i="5"/>
  <c r="AP16" i="16"/>
  <c r="ES15" i="5" s="1"/>
  <c r="ET15" i="5"/>
  <c r="AP18" i="16"/>
  <c r="ES17" i="5" s="1"/>
  <c r="ET17" i="5"/>
  <c r="AP20" i="16"/>
  <c r="ES19" i="5" s="1"/>
  <c r="ET19" i="5"/>
  <c r="AP15" i="16"/>
  <c r="ES14" i="5" s="1"/>
  <c r="ET14" i="5"/>
  <c r="AP26" i="16"/>
  <c r="ES25" i="5" s="1"/>
  <c r="ET25" i="5"/>
  <c r="TY16" i="21"/>
  <c r="AAB21" i="21"/>
  <c r="RM22" i="21"/>
  <c r="BK27" i="21"/>
  <c r="BI27" i="21" s="1"/>
  <c r="RM16" i="21"/>
  <c r="E21" i="21"/>
  <c r="HY12" i="21"/>
  <c r="QI13" i="21"/>
  <c r="AAB20" i="21"/>
  <c r="LE21" i="21"/>
  <c r="QI22" i="21"/>
  <c r="AAB23" i="21"/>
  <c r="AAC24" i="21"/>
  <c r="AAC26" i="21"/>
  <c r="KF37" i="21"/>
  <c r="RT40" i="21"/>
  <c r="WB40" i="21"/>
  <c r="AAF40" i="21"/>
  <c r="AAR40" i="21"/>
  <c r="HY23" i="21"/>
  <c r="NS23" i="21"/>
  <c r="HY24" i="21"/>
  <c r="QI15" i="21"/>
  <c r="HO37" i="21"/>
  <c r="AAC16" i="21"/>
  <c r="E22" i="21"/>
  <c r="AH40" i="21"/>
  <c r="DF40" i="21"/>
  <c r="KZ40" i="21"/>
  <c r="MB40" i="21"/>
  <c r="LE18" i="21"/>
  <c r="QI14" i="21"/>
  <c r="AAB14" i="21"/>
  <c r="BI22" i="21"/>
  <c r="AAC22" i="21"/>
  <c r="TY24" i="21"/>
  <c r="E15" i="21"/>
  <c r="AAB15" i="21"/>
  <c r="QI28" i="21"/>
  <c r="HY29" i="21"/>
  <c r="AAB29" i="21"/>
  <c r="HL34" i="21"/>
  <c r="HL42" i="21" s="1"/>
  <c r="IB34" i="21"/>
  <c r="IB42" i="21" s="1"/>
  <c r="MH34" i="21"/>
  <c r="MH42" i="21" s="1"/>
  <c r="ON34" i="21"/>
  <c r="ON42" i="21" s="1"/>
  <c r="YX34" i="21"/>
  <c r="YX42" i="21" s="1"/>
  <c r="ZM34" i="21"/>
  <c r="ZM42" i="21" s="1"/>
  <c r="QI16" i="21"/>
  <c r="E13" i="21"/>
  <c r="TY13" i="21"/>
  <c r="RM14" i="21"/>
  <c r="QI26" i="21"/>
  <c r="E27" i="21"/>
  <c r="TY27" i="21"/>
  <c r="PD28" i="21"/>
  <c r="XS28" i="21"/>
  <c r="TN40" i="21"/>
  <c r="NJ34" i="21"/>
  <c r="NJ42" i="21" s="1"/>
  <c r="RP34" i="21"/>
  <c r="RP42" i="21" s="1"/>
  <c r="SF34" i="21"/>
  <c r="SF42" i="21" s="1"/>
  <c r="SW34" i="21"/>
  <c r="SW42" i="21" s="1"/>
  <c r="XN34" i="21"/>
  <c r="XN42" i="21" s="1"/>
  <c r="ZP34" i="21"/>
  <c r="ZP42" i="21" s="1"/>
  <c r="HB34" i="21"/>
  <c r="HB42" i="21" s="1"/>
  <c r="AAT34" i="21"/>
  <c r="AAR37" i="21"/>
  <c r="RT37" i="21"/>
  <c r="ET10" i="5"/>
  <c r="AP11" i="16"/>
  <c r="AAC13" i="21"/>
  <c r="RM20" i="21"/>
  <c r="XS26" i="21"/>
  <c r="AAU34" i="21"/>
  <c r="HY16" i="21"/>
  <c r="NS16" i="21"/>
  <c r="RM17" i="21"/>
  <c r="TY17" i="21"/>
  <c r="JY18" i="21"/>
  <c r="RM18" i="21"/>
  <c r="TY18" i="21"/>
  <c r="JY13" i="21"/>
  <c r="QI20" i="21"/>
  <c r="RM25" i="21"/>
  <c r="FI27" i="21"/>
  <c r="XS27" i="21"/>
  <c r="TY28" i="21"/>
  <c r="TY29" i="21"/>
  <c r="CZ40" i="21"/>
  <c r="LE16" i="21"/>
  <c r="RM13" i="21"/>
  <c r="XS20" i="21"/>
  <c r="HY14" i="21"/>
  <c r="AAC14" i="21"/>
  <c r="BI23" i="21"/>
  <c r="QI23" i="21"/>
  <c r="BI25" i="21"/>
  <c r="DK25" i="21"/>
  <c r="DI25" i="21" s="1"/>
  <c r="QI25" i="21"/>
  <c r="HA28" i="21"/>
  <c r="IA34" i="21"/>
  <c r="IA42" i="21" s="1"/>
  <c r="JA34" i="21"/>
  <c r="JA42" i="21" s="1"/>
  <c r="MD34" i="21"/>
  <c r="MD42" i="21" s="1"/>
  <c r="RD34" i="21"/>
  <c r="RD42" i="21" s="1"/>
  <c r="WG34" i="21"/>
  <c r="WG42" i="21" s="1"/>
  <c r="YR34" i="21"/>
  <c r="YR42" i="21" s="1"/>
  <c r="DK18" i="21"/>
  <c r="DI18" i="21" s="1"/>
  <c r="AAB22" i="21"/>
  <c r="AAC23" i="21"/>
  <c r="AAB24" i="21"/>
  <c r="BK28" i="21"/>
  <c r="BI28" i="21" s="1"/>
  <c r="Z34" i="21"/>
  <c r="Z42" i="21" s="1"/>
  <c r="TY19" i="21"/>
  <c r="LE22" i="21"/>
  <c r="TY22" i="21"/>
  <c r="LE23" i="21"/>
  <c r="TY23" i="21"/>
  <c r="LE24" i="21"/>
  <c r="DK15" i="21"/>
  <c r="DI15" i="21" s="1"/>
  <c r="HY28" i="21"/>
  <c r="RM29" i="21"/>
  <c r="IM37" i="21"/>
  <c r="HY33" i="21"/>
  <c r="HY34" i="21" s="1"/>
  <c r="HY42" i="21" s="1"/>
  <c r="KZ37" i="21"/>
  <c r="HY13" i="21"/>
  <c r="HY22" i="21"/>
  <c r="FI23" i="21"/>
  <c r="HA23" i="21"/>
  <c r="MH25" i="21"/>
  <c r="HY27" i="21"/>
  <c r="PD29" i="21"/>
  <c r="M40" i="21"/>
  <c r="FI33" i="21"/>
  <c r="HZ34" i="21"/>
  <c r="HZ42" i="21" s="1"/>
  <c r="ZI16" i="21"/>
  <c r="JY16" i="21"/>
  <c r="JY21" i="21"/>
  <c r="MH22" i="21"/>
  <c r="PD12" i="21"/>
  <c r="PD16" i="21"/>
  <c r="HY21" i="21"/>
  <c r="HI37" i="21"/>
  <c r="HI47" i="21" s="1"/>
  <c r="ZJ12" i="21"/>
  <c r="NS22" i="21"/>
  <c r="HY26" i="21"/>
  <c r="JY27" i="21"/>
  <c r="HY17" i="21"/>
  <c r="NS17" i="21"/>
  <c r="HY18" i="21"/>
  <c r="FI13" i="21"/>
  <c r="HY19" i="21"/>
  <c r="FI14" i="21"/>
  <c r="FI32" i="21"/>
  <c r="ZF34" i="21"/>
  <c r="ZF42" i="21" s="1"/>
  <c r="ZO34" i="21"/>
  <c r="ZO42" i="21" s="1"/>
  <c r="JT37" i="21"/>
  <c r="MH16" i="21"/>
  <c r="HY25" i="21"/>
  <c r="FK34" i="21"/>
  <c r="FK42" i="21" s="1"/>
  <c r="HA13" i="21"/>
  <c r="FI15" i="21"/>
  <c r="FI28" i="21"/>
  <c r="I37" i="21"/>
  <c r="HW34" i="21"/>
  <c r="HW42" i="21" s="1"/>
  <c r="ZH34" i="21"/>
  <c r="ZH42" i="21" s="1"/>
  <c r="CP34" i="21"/>
  <c r="CP42" i="21" s="1"/>
  <c r="JL34" i="21"/>
  <c r="JL42" i="21" s="1"/>
  <c r="MV34" i="21"/>
  <c r="MV42" i="21" s="1"/>
  <c r="SK34" i="21"/>
  <c r="SK42" i="21" s="1"/>
  <c r="WZ34" i="21"/>
  <c r="WZ42" i="21" s="1"/>
  <c r="EQ34" i="21"/>
  <c r="EQ42" i="21" s="1"/>
  <c r="YL26" i="21"/>
  <c r="AZ27" i="21"/>
  <c r="YX17" i="21"/>
  <c r="YL18" i="21"/>
  <c r="YL19" i="21"/>
  <c r="YL23" i="21"/>
  <c r="PB26" i="21"/>
  <c r="ME27" i="21"/>
  <c r="NH27" i="21"/>
  <c r="YL24" i="21"/>
  <c r="YL13" i="21"/>
  <c r="YL20" i="21"/>
  <c r="YL14" i="21"/>
  <c r="YL28" i="21"/>
  <c r="YL25" i="21"/>
  <c r="YL27" i="21"/>
  <c r="YL29" i="21"/>
  <c r="PC13" i="21"/>
  <c r="YL16" i="21"/>
  <c r="YL17" i="21"/>
  <c r="NH24" i="21"/>
  <c r="NH26" i="21"/>
  <c r="YL21" i="21"/>
  <c r="YL22" i="21"/>
  <c r="YL15" i="21"/>
  <c r="YZ20" i="21"/>
  <c r="ZX20" i="21" s="1"/>
  <c r="YZ27" i="21"/>
  <c r="YX27" i="21" s="1"/>
  <c r="PC14" i="21"/>
  <c r="YZ18" i="21"/>
  <c r="YX18" i="21" s="1"/>
  <c r="ZL17" i="21"/>
  <c r="ZJ17" i="21" s="1"/>
  <c r="PA13" i="21"/>
  <c r="GR34" i="21"/>
  <c r="GR42" i="21" s="1"/>
  <c r="XA34" i="21"/>
  <c r="XA42" i="21" s="1"/>
  <c r="VG34" i="21"/>
  <c r="VG42" i="21" s="1"/>
  <c r="WA34" i="21"/>
  <c r="WA42" i="21" s="1"/>
  <c r="KB16" i="21"/>
  <c r="ME15" i="21"/>
  <c r="MG25" i="21"/>
  <c r="DT24" i="21"/>
  <c r="PA14" i="21"/>
  <c r="JW28" i="21"/>
  <c r="EB34" i="21"/>
  <c r="EB42" i="21" s="1"/>
  <c r="IZ34" i="21"/>
  <c r="IZ42" i="21" s="1"/>
  <c r="MX34" i="21"/>
  <c r="MX42" i="21" s="1"/>
  <c r="OL34" i="21"/>
  <c r="OL42" i="21" s="1"/>
  <c r="RX34" i="21"/>
  <c r="RX42" i="21" s="1"/>
  <c r="AJ24" i="21"/>
  <c r="V42" i="21"/>
  <c r="MG18" i="21"/>
  <c r="BJ23" i="21"/>
  <c r="BH23" i="21" s="1"/>
  <c r="BJ27" i="21"/>
  <c r="BH27" i="21" s="1"/>
  <c r="BJ19" i="21"/>
  <c r="BH19" i="21" s="1"/>
  <c r="BJ15" i="21"/>
  <c r="BJ24" i="21"/>
  <c r="BH24" i="21" s="1"/>
  <c r="BJ13" i="21"/>
  <c r="BH13" i="21" s="1"/>
  <c r="BJ22" i="21"/>
  <c r="BH22" i="21" s="1"/>
  <c r="BJ29" i="21"/>
  <c r="BH29" i="21" s="1"/>
  <c r="PD26" i="21"/>
  <c r="ME16" i="21"/>
  <c r="PD17" i="21"/>
  <c r="NS19" i="21"/>
  <c r="FI20" i="21"/>
  <c r="PD14" i="21"/>
  <c r="FI24" i="21"/>
  <c r="JY25" i="21"/>
  <c r="MH15" i="21"/>
  <c r="VX29" i="21"/>
  <c r="PD21" i="21"/>
  <c r="PD23" i="21"/>
  <c r="MG16" i="21"/>
  <c r="FI16" i="21"/>
  <c r="JY17" i="21"/>
  <c r="MH18" i="21"/>
  <c r="NS13" i="21"/>
  <c r="PD13" i="21"/>
  <c r="JY19" i="21"/>
  <c r="FI25" i="21"/>
  <c r="MH27" i="21"/>
  <c r="NS28" i="21"/>
  <c r="EA34" i="21"/>
  <c r="EA42" i="21" s="1"/>
  <c r="EP34" i="21"/>
  <c r="EP42" i="21" s="1"/>
  <c r="HF34" i="21"/>
  <c r="HF42" i="21" s="1"/>
  <c r="LQ34" i="21"/>
  <c r="LQ42" i="21" s="1"/>
  <c r="QZ34" i="21"/>
  <c r="QZ42" i="21" s="1"/>
  <c r="SL34" i="21"/>
  <c r="SL42" i="21" s="1"/>
  <c r="ZI34" i="21"/>
  <c r="ZI42" i="21" s="1"/>
  <c r="AAB34" i="21"/>
  <c r="AAB42" i="21" s="1"/>
  <c r="NS12" i="21"/>
  <c r="PB17" i="21"/>
  <c r="FX18" i="21"/>
  <c r="NS18" i="21"/>
  <c r="MH19" i="21"/>
  <c r="PC26" i="21"/>
  <c r="VX26" i="21"/>
  <c r="T34" i="21"/>
  <c r="T42" i="21" s="1"/>
  <c r="MH17" i="21"/>
  <c r="JY20" i="21"/>
  <c r="MH23" i="21"/>
  <c r="PD15" i="21"/>
  <c r="NS26" i="21"/>
  <c r="JY28" i="21"/>
  <c r="FI29" i="21"/>
  <c r="PD18" i="21"/>
  <c r="PD20" i="21"/>
  <c r="JY14" i="21"/>
  <c r="MH24" i="21"/>
  <c r="NS24" i="21"/>
  <c r="PD25" i="21"/>
  <c r="FI19" i="21"/>
  <c r="NV20" i="21"/>
  <c r="PD24" i="21"/>
  <c r="JY23" i="21"/>
  <c r="JY26" i="21"/>
  <c r="PD27" i="21"/>
  <c r="ZD33" i="21"/>
  <c r="MH21" i="21"/>
  <c r="NS14" i="21"/>
  <c r="ZL34" i="21"/>
  <c r="ZL42" i="21" s="1"/>
  <c r="FI17" i="21"/>
  <c r="FI18" i="21"/>
  <c r="PD19" i="21"/>
  <c r="FI22" i="21"/>
  <c r="JY22" i="21"/>
  <c r="NS25" i="21"/>
  <c r="JY15" i="21"/>
  <c r="IX33" i="21"/>
  <c r="MH20" i="21"/>
  <c r="DZ15" i="21"/>
  <c r="NS29" i="21"/>
  <c r="FE37" i="21"/>
  <c r="ZE34" i="21"/>
  <c r="ZE42" i="21" s="1"/>
  <c r="ZN34" i="21"/>
  <c r="ZN42" i="21" s="1"/>
  <c r="ZJ33" i="21"/>
  <c r="BL34" i="21"/>
  <c r="BL42" i="21" s="1"/>
  <c r="WT34" i="21"/>
  <c r="WT42" i="21" s="1"/>
  <c r="ZE18" i="21"/>
  <c r="NQ20" i="21"/>
  <c r="QL29" i="21"/>
  <c r="DZ17" i="21"/>
  <c r="NJ24" i="21"/>
  <c r="IX20" i="21"/>
  <c r="WX23" i="21"/>
  <c r="PC24" i="21"/>
  <c r="EN15" i="21"/>
  <c r="HP15" i="21"/>
  <c r="DZ12" i="21"/>
  <c r="AJ17" i="21"/>
  <c r="TU14" i="21"/>
  <c r="JW24" i="21"/>
  <c r="FH25" i="21"/>
  <c r="DT17" i="21"/>
  <c r="JD17" i="21"/>
  <c r="HD19" i="21"/>
  <c r="QR24" i="21"/>
  <c r="FR33" i="21"/>
  <c r="FZ34" i="21"/>
  <c r="FZ42" i="21" s="1"/>
  <c r="IJ34" i="21"/>
  <c r="IJ42" i="21" s="1"/>
  <c r="MU34" i="21"/>
  <c r="MU42" i="21" s="1"/>
  <c r="OE34" i="21"/>
  <c r="OE42" i="21" s="1"/>
  <c r="VZ34" i="21"/>
  <c r="VZ42" i="21" s="1"/>
  <c r="HD18" i="21"/>
  <c r="WX33" i="21"/>
  <c r="PA19" i="21"/>
  <c r="AJ20" i="21"/>
  <c r="HX16" i="21"/>
  <c r="RV33" i="21"/>
  <c r="QH28" i="21"/>
  <c r="TT28" i="21"/>
  <c r="KI26" i="5" s="1"/>
  <c r="TX29" i="21"/>
  <c r="BP20" i="21"/>
  <c r="FL22" i="21"/>
  <c r="RL25" i="21"/>
  <c r="KR16" i="21"/>
  <c r="NQ16" i="21"/>
  <c r="LD13" i="21"/>
  <c r="JX12" i="21"/>
  <c r="QH18" i="21"/>
  <c r="JW22" i="21"/>
  <c r="FS34" i="21"/>
  <c r="FS42" i="21" s="1"/>
  <c r="KJ34" i="21"/>
  <c r="KJ42" i="21" s="1"/>
  <c r="MY34" i="21"/>
  <c r="MY42" i="21" s="1"/>
  <c r="SS34" i="21"/>
  <c r="SS42" i="21" s="1"/>
  <c r="JX16" i="21"/>
  <c r="BP28" i="21"/>
  <c r="EN12" i="21"/>
  <c r="DZ13" i="21"/>
  <c r="HP13" i="21"/>
  <c r="EN26" i="21"/>
  <c r="FX26" i="21"/>
  <c r="HX18" i="21"/>
  <c r="NQ13" i="21"/>
  <c r="ZE29" i="21"/>
  <c r="PC19" i="21"/>
  <c r="QH21" i="21"/>
  <c r="WR14" i="21"/>
  <c r="KB22" i="21"/>
  <c r="PB22" i="21"/>
  <c r="RL15" i="21"/>
  <c r="EN28" i="21"/>
  <c r="TU18" i="21"/>
  <c r="MG20" i="21"/>
  <c r="QR15" i="21"/>
  <c r="DZ25" i="21"/>
  <c r="FX25" i="21"/>
  <c r="LD28" i="21"/>
  <c r="NR28" i="21"/>
  <c r="RL19" i="21"/>
  <c r="RV19" i="21"/>
  <c r="KB20" i="21"/>
  <c r="SP28" i="21"/>
  <c r="ZI29" i="21"/>
  <c r="WX17" i="21"/>
  <c r="ZE22" i="21"/>
  <c r="PB23" i="21"/>
  <c r="AJ25" i="21"/>
  <c r="LC14" i="21"/>
  <c r="TX28" i="21"/>
  <c r="FH16" i="21"/>
  <c r="JW17" i="21"/>
  <c r="AZ19" i="21"/>
  <c r="AZ20" i="21"/>
  <c r="AJ21" i="21"/>
  <c r="QX26" i="21"/>
  <c r="NR20" i="21"/>
  <c r="ZF12" i="21"/>
  <c r="ET21" i="21"/>
  <c r="QR28" i="21"/>
  <c r="YL12" i="21"/>
  <c r="EF21" i="21"/>
  <c r="QX28" i="21"/>
  <c r="MG12" i="21"/>
  <c r="PZ12" i="21"/>
  <c r="PC16" i="21"/>
  <c r="WR16" i="21"/>
  <c r="VX13" i="21"/>
  <c r="RP19" i="21"/>
  <c r="DB21" i="21"/>
  <c r="DJ21" i="21" s="1"/>
  <c r="DH21" i="21" s="1"/>
  <c r="DT21" i="21"/>
  <c r="JD14" i="21"/>
  <c r="PB25" i="21"/>
  <c r="ME26" i="21"/>
  <c r="TD28" i="21"/>
  <c r="DT12" i="21"/>
  <c r="HD29" i="21"/>
  <c r="IX29" i="21"/>
  <c r="NR12" i="21"/>
  <c r="QX12" i="21"/>
  <c r="DZ16" i="21"/>
  <c r="RP24" i="21"/>
  <c r="IB29" i="21"/>
  <c r="HP19" i="21"/>
  <c r="NQ21" i="21"/>
  <c r="LN16" i="21"/>
  <c r="J17" i="21"/>
  <c r="ZP21" i="21"/>
  <c r="WX24" i="21"/>
  <c r="FG29" i="21"/>
  <c r="RL29" i="21"/>
  <c r="IX16" i="21"/>
  <c r="DB18" i="21"/>
  <c r="DJ18" i="21" s="1"/>
  <c r="DH18" i="21" s="1"/>
  <c r="IX21" i="21"/>
  <c r="DZ23" i="21"/>
  <c r="QH29" i="21"/>
  <c r="G52" i="9"/>
  <c r="G70" i="9" s="1"/>
  <c r="VX18" i="21"/>
  <c r="HD17" i="21"/>
  <c r="IX17" i="21"/>
  <c r="ZF17" i="21"/>
  <c r="JD13" i="21"/>
  <c r="R19" i="21"/>
  <c r="ME14" i="21"/>
  <c r="JD26" i="21"/>
  <c r="AJ18" i="21"/>
  <c r="BP23" i="21"/>
  <c r="TT16" i="21"/>
  <c r="KI11" i="5" s="1"/>
  <c r="JX17" i="21"/>
  <c r="RV17" i="21"/>
  <c r="MG26" i="21"/>
  <c r="QR26" i="21"/>
  <c r="JD18" i="21"/>
  <c r="VX22" i="21"/>
  <c r="JX23" i="21"/>
  <c r="JP29" i="21"/>
  <c r="HP18" i="21"/>
  <c r="LD21" i="21"/>
  <c r="RL24" i="21"/>
  <c r="IX26" i="21"/>
  <c r="NV28" i="21"/>
  <c r="RV29" i="21"/>
  <c r="GZ18" i="21"/>
  <c r="HX13" i="21"/>
  <c r="RL22" i="21"/>
  <c r="QH26" i="21"/>
  <c r="PB27" i="21"/>
  <c r="RP29" i="21"/>
  <c r="HX17" i="21"/>
  <c r="JP18" i="21"/>
  <c r="KB15" i="21"/>
  <c r="R33" i="21"/>
  <c r="ET22" i="21"/>
  <c r="TX27" i="21"/>
  <c r="R28" i="21"/>
  <c r="TU28" i="21"/>
  <c r="HP17" i="21"/>
  <c r="LH17" i="21"/>
  <c r="LH18" i="21"/>
  <c r="BP26" i="21"/>
  <c r="HP12" i="21"/>
  <c r="FX17" i="21"/>
  <c r="KB17" i="21"/>
  <c r="QL26" i="21"/>
  <c r="XD29" i="21"/>
  <c r="IB20" i="21"/>
  <c r="HW15" i="21"/>
  <c r="HW16" i="21"/>
  <c r="HP16" i="21"/>
  <c r="BP13" i="21"/>
  <c r="QL23" i="21"/>
  <c r="PH27" i="21"/>
  <c r="LD12" i="21"/>
  <c r="JP16" i="21"/>
  <c r="FH14" i="21"/>
  <c r="PH22" i="21"/>
  <c r="TV25" i="21"/>
  <c r="QL15" i="21"/>
  <c r="VX15" i="21"/>
  <c r="JD28" i="21"/>
  <c r="ME28" i="21"/>
  <c r="VD32" i="21"/>
  <c r="ML13" i="21"/>
  <c r="PB20" i="21"/>
  <c r="TW21" i="21"/>
  <c r="BP14" i="21"/>
  <c r="DT22" i="21"/>
  <c r="WR22" i="21"/>
  <c r="FL23" i="21"/>
  <c r="HD23" i="21"/>
  <c r="JJ25" i="21"/>
  <c r="CD15" i="21"/>
  <c r="WX15" i="21"/>
  <c r="FX33" i="21"/>
  <c r="JW12" i="21"/>
  <c r="CD16" i="21"/>
  <c r="QR18" i="21"/>
  <c r="TT18" i="21"/>
  <c r="KI13" i="5" s="1"/>
  <c r="XD18" i="21"/>
  <c r="EN13" i="21"/>
  <c r="QG21" i="21"/>
  <c r="WX21" i="21"/>
  <c r="OB25" i="21"/>
  <c r="PA25" i="21"/>
  <c r="XD25" i="21"/>
  <c r="OB27" i="21"/>
  <c r="PA27" i="21"/>
  <c r="MG28" i="21"/>
  <c r="TV17" i="21"/>
  <c r="HX19" i="21"/>
  <c r="WX19" i="21"/>
  <c r="FH20" i="21"/>
  <c r="QG20" i="21"/>
  <c r="QR21" i="21"/>
  <c r="RV14" i="21"/>
  <c r="FG22" i="21"/>
  <c r="PC22" i="21"/>
  <c r="JW23" i="21"/>
  <c r="TV23" i="21"/>
  <c r="LD24" i="21"/>
  <c r="NR15" i="21"/>
  <c r="LN26" i="21"/>
  <c r="XD26" i="21"/>
  <c r="HX12" i="21"/>
  <c r="WX12" i="21"/>
  <c r="AJ16" i="21"/>
  <c r="IH16" i="21"/>
  <c r="TT13" i="21"/>
  <c r="KI14" i="5" s="1"/>
  <c r="PC25" i="21"/>
  <c r="BP15" i="21"/>
  <c r="LD15" i="21"/>
  <c r="NQ15" i="21"/>
  <c r="QH15" i="21"/>
  <c r="DB29" i="21"/>
  <c r="DJ29" i="21" s="1"/>
  <c r="DH29" i="21" s="1"/>
  <c r="FR29" i="21"/>
  <c r="HW29" i="21"/>
  <c r="MG29" i="21"/>
  <c r="RP18" i="21"/>
  <c r="KB13" i="21"/>
  <c r="EN19" i="21"/>
  <c r="PB21" i="21"/>
  <c r="TT14" i="21"/>
  <c r="KI18" i="5" s="1"/>
  <c r="AJ22" i="21"/>
  <c r="EN22" i="21"/>
  <c r="WX22" i="21"/>
  <c r="TX23" i="21"/>
  <c r="UF23" i="21"/>
  <c r="PB24" i="21"/>
  <c r="EZ27" i="21"/>
  <c r="ET28" i="21"/>
  <c r="HD28" i="21"/>
  <c r="ZE24" i="21"/>
  <c r="JW15" i="21"/>
  <c r="PB15" i="21"/>
  <c r="ZE16" i="21"/>
  <c r="TU17" i="21"/>
  <c r="DZ19" i="21"/>
  <c r="PB19" i="21"/>
  <c r="XD19" i="21"/>
  <c r="TU20" i="21"/>
  <c r="JW21" i="21"/>
  <c r="NR14" i="21"/>
  <c r="EF22" i="21"/>
  <c r="XD22" i="21"/>
  <c r="FX23" i="21"/>
  <c r="IH23" i="21"/>
  <c r="TX24" i="21"/>
  <c r="FG25" i="21"/>
  <c r="PC15" i="21"/>
  <c r="QL27" i="21"/>
  <c r="FH12" i="21"/>
  <c r="J16" i="21"/>
  <c r="FG18" i="21"/>
  <c r="MF18" i="21"/>
  <c r="GN14" i="21"/>
  <c r="DL27" i="21"/>
  <c r="OJ12" i="21"/>
  <c r="KB12" i="21"/>
  <c r="KR12" i="21"/>
  <c r="AZ18" i="21"/>
  <c r="EZ18" i="21"/>
  <c r="NV18" i="21"/>
  <c r="TS21" i="21"/>
  <c r="AP14" i="21"/>
  <c r="QX14" i="21"/>
  <c r="XT29" i="21"/>
  <c r="XR29" i="21" s="1"/>
  <c r="R12" i="21"/>
  <c r="MF16" i="21"/>
  <c r="WR17" i="21"/>
  <c r="ZE21" i="21"/>
  <c r="PZ24" i="21"/>
  <c r="TS24" i="21"/>
  <c r="TS26" i="21"/>
  <c r="CH12" i="21"/>
  <c r="JJ16" i="21"/>
  <c r="WX16" i="21"/>
  <c r="ET17" i="21"/>
  <c r="JP17" i="21"/>
  <c r="QX17" i="21"/>
  <c r="DZ18" i="21"/>
  <c r="JJ18" i="21"/>
  <c r="LC18" i="21"/>
  <c r="NQ18" i="21"/>
  <c r="LH19" i="21"/>
  <c r="OB21" i="21"/>
  <c r="RK14" i="21"/>
  <c r="TS29" i="21"/>
  <c r="EF12" i="21"/>
  <c r="FL12" i="21"/>
  <c r="TW12" i="21"/>
  <c r="AP16" i="21"/>
  <c r="AZ16" i="21"/>
  <c r="CH17" i="21"/>
  <c r="ET26" i="21"/>
  <c r="AZ29" i="21"/>
  <c r="ET18" i="21"/>
  <c r="PC18" i="21"/>
  <c r="AZ21" i="21"/>
  <c r="ME12" i="21"/>
  <c r="MF12" i="21"/>
  <c r="RK12" i="21"/>
  <c r="NR16" i="21"/>
  <c r="TV16" i="21"/>
  <c r="XD16" i="21"/>
  <c r="ME17" i="21"/>
  <c r="DL18" i="21"/>
  <c r="J23" i="21"/>
  <c r="ZH27" i="21"/>
  <c r="QG12" i="21"/>
  <c r="SJ12" i="21"/>
  <c r="RP16" i="21"/>
  <c r="TW16" i="21"/>
  <c r="AZ17" i="21"/>
  <c r="EN17" i="21"/>
  <c r="MF17" i="21"/>
  <c r="MG17" i="21"/>
  <c r="NV17" i="21"/>
  <c r="CH18" i="21"/>
  <c r="JX18" i="21"/>
  <c r="PA20" i="21"/>
  <c r="DO34" i="21"/>
  <c r="DO42" i="21" s="1"/>
  <c r="MZ34" i="21"/>
  <c r="MZ42" i="21" s="1"/>
  <c r="SC34" i="21"/>
  <c r="SC42" i="21" s="1"/>
  <c r="VR34" i="21"/>
  <c r="VR42" i="21" s="1"/>
  <c r="YX13" i="21"/>
  <c r="PH19" i="21"/>
  <c r="ME20" i="21"/>
  <c r="TW20" i="21"/>
  <c r="JP21" i="21"/>
  <c r="PH21" i="21"/>
  <c r="TU21" i="21"/>
  <c r="AZ14" i="21"/>
  <c r="TX14" i="21"/>
  <c r="R22" i="21"/>
  <c r="QR22" i="21"/>
  <c r="D24" i="21"/>
  <c r="IH24" i="21"/>
  <c r="J25" i="21"/>
  <c r="FH15" i="21"/>
  <c r="GN15" i="21"/>
  <c r="JD15" i="21"/>
  <c r="FL26" i="21"/>
  <c r="HD26" i="21"/>
  <c r="AP27" i="21"/>
  <c r="PB28" i="21"/>
  <c r="IH29" i="21"/>
  <c r="JJ29" i="21"/>
  <c r="PA29" i="21"/>
  <c r="EH34" i="21"/>
  <c r="EH42" i="21" s="1"/>
  <c r="JF34" i="21"/>
  <c r="JF42" i="21" s="1"/>
  <c r="VT34" i="21"/>
  <c r="VT42" i="21" s="1"/>
  <c r="WR32" i="21"/>
  <c r="AP33" i="21"/>
  <c r="RV18" i="21"/>
  <c r="JX13" i="21"/>
  <c r="TW13" i="21"/>
  <c r="CD19" i="21"/>
  <c r="TT19" i="21"/>
  <c r="KI15" i="5" s="1"/>
  <c r="MF20" i="21"/>
  <c r="VX20" i="21"/>
  <c r="J21" i="21"/>
  <c r="NQ14" i="21"/>
  <c r="XT14" i="21"/>
  <c r="XR14" i="21" s="1"/>
  <c r="HD22" i="21"/>
  <c r="QH22" i="21"/>
  <c r="ET23" i="21"/>
  <c r="JJ23" i="21"/>
  <c r="RV23" i="21"/>
  <c r="CD24" i="21"/>
  <c r="CN24" i="21"/>
  <c r="FX24" i="21"/>
  <c r="HX24" i="21"/>
  <c r="KB24" i="21"/>
  <c r="TU25" i="21"/>
  <c r="TX25" i="21"/>
  <c r="J15" i="21"/>
  <c r="MF15" i="21"/>
  <c r="TX15" i="21"/>
  <c r="WR15" i="21"/>
  <c r="LD27" i="21"/>
  <c r="QH27" i="21"/>
  <c r="CH28" i="21"/>
  <c r="EN29" i="21"/>
  <c r="LN29" i="21"/>
  <c r="NR29" i="21"/>
  <c r="SB29" i="21"/>
  <c r="II34" i="21"/>
  <c r="II42" i="21" s="1"/>
  <c r="OD34" i="21"/>
  <c r="OD42" i="21" s="1"/>
  <c r="QT34" i="21"/>
  <c r="QT42" i="21" s="1"/>
  <c r="SV34" i="21"/>
  <c r="SV42" i="21" s="1"/>
  <c r="YA34" i="21"/>
  <c r="YA42" i="21" s="1"/>
  <c r="DZ33" i="21"/>
  <c r="SJ33" i="21"/>
  <c r="AZ13" i="21"/>
  <c r="XT13" i="21"/>
  <c r="XR13" i="21" s="1"/>
  <c r="ZH13" i="21"/>
  <c r="CH19" i="21"/>
  <c r="ET19" i="21"/>
  <c r="LD19" i="21"/>
  <c r="J20" i="21"/>
  <c r="XT20" i="21"/>
  <c r="XR20" i="21" s="1"/>
  <c r="MF14" i="21"/>
  <c r="AZ22" i="21"/>
  <c r="CH23" i="21"/>
  <c r="MT23" i="21"/>
  <c r="PZ23" i="21"/>
  <c r="TV24" i="21"/>
  <c r="JW25" i="21"/>
  <c r="IH15" i="21"/>
  <c r="MG15" i="21"/>
  <c r="DT26" i="21"/>
  <c r="FG26" i="21"/>
  <c r="JX26" i="21"/>
  <c r="SB27" i="21"/>
  <c r="TU27" i="21"/>
  <c r="AZ28" i="21"/>
  <c r="AL34" i="21"/>
  <c r="AL42" i="21" s="1"/>
  <c r="VY34" i="21"/>
  <c r="VY42" i="21" s="1"/>
  <c r="YB34" i="21"/>
  <c r="YB42" i="21" s="1"/>
  <c r="BT42" i="21"/>
  <c r="ZI13" i="21"/>
  <c r="FL20" i="21"/>
  <c r="HD20" i="21"/>
  <c r="MF21" i="21"/>
  <c r="HP14" i="21"/>
  <c r="TS14" i="21"/>
  <c r="TW22" i="21"/>
  <c r="FH23" i="21"/>
  <c r="IX23" i="21"/>
  <c r="TD23" i="21"/>
  <c r="FL24" i="21"/>
  <c r="TW24" i="21"/>
  <c r="DL25" i="21"/>
  <c r="ET25" i="21"/>
  <c r="GN25" i="21"/>
  <c r="RK25" i="21"/>
  <c r="TW25" i="21"/>
  <c r="ZF25" i="21"/>
  <c r="AZ26" i="21"/>
  <c r="TW26" i="21"/>
  <c r="JX27" i="21"/>
  <c r="QL28" i="21"/>
  <c r="AJ29" i="21"/>
  <c r="JW29" i="21"/>
  <c r="TW29" i="21"/>
  <c r="P34" i="21"/>
  <c r="P42" i="21" s="1"/>
  <c r="LP34" i="21"/>
  <c r="LP42" i="21" s="1"/>
  <c r="YC34" i="21"/>
  <c r="YC42" i="21" s="1"/>
  <c r="PH18" i="21"/>
  <c r="SB18" i="21"/>
  <c r="CD13" i="21"/>
  <c r="IH13" i="21"/>
  <c r="LH13" i="21"/>
  <c r="LV13" i="21"/>
  <c r="NV13" i="21"/>
  <c r="OJ13" i="21"/>
  <c r="TS20" i="21"/>
  <c r="ZE20" i="21"/>
  <c r="CD14" i="21"/>
  <c r="XD14" i="21"/>
  <c r="AZ23" i="21"/>
  <c r="SP23" i="21"/>
  <c r="CH24" i="21"/>
  <c r="ME24" i="21"/>
  <c r="OJ24" i="21"/>
  <c r="AZ25" i="21"/>
  <c r="JD25" i="21"/>
  <c r="DL15" i="21"/>
  <c r="HX27" i="21"/>
  <c r="RP27" i="21"/>
  <c r="WR27" i="21"/>
  <c r="HP28" i="21"/>
  <c r="LH28" i="21"/>
  <c r="CH29" i="21"/>
  <c r="QX29" i="21"/>
  <c r="MW34" i="21"/>
  <c r="MW42" i="21" s="1"/>
  <c r="OK34" i="21"/>
  <c r="OK42" i="21" s="1"/>
  <c r="YD34" i="21"/>
  <c r="YD42" i="21" s="1"/>
  <c r="AJ33" i="21"/>
  <c r="HJ33" i="21"/>
  <c r="OB18" i="21"/>
  <c r="J13" i="21"/>
  <c r="TS13" i="21"/>
  <c r="XD13" i="21"/>
  <c r="NV19" i="21"/>
  <c r="OJ19" i="21"/>
  <c r="TX19" i="21"/>
  <c r="VX19" i="21"/>
  <c r="ZF19" i="21"/>
  <c r="EF20" i="21"/>
  <c r="TT20" i="21"/>
  <c r="KI16" i="5" s="1"/>
  <c r="LN14" i="21"/>
  <c r="XT22" i="21"/>
  <c r="XR22" i="21" s="1"/>
  <c r="QX23" i="21"/>
  <c r="RP23" i="21"/>
  <c r="ZX23" i="21"/>
  <c r="ZV23" i="21" s="1"/>
  <c r="IB24" i="21"/>
  <c r="JX24" i="21"/>
  <c r="DB25" i="21"/>
  <c r="DJ25" i="21" s="1"/>
  <c r="AZ15" i="21"/>
  <c r="SB15" i="21"/>
  <c r="TT15" i="21"/>
  <c r="KI23" i="5" s="1"/>
  <c r="EN27" i="21"/>
  <c r="HP27" i="21"/>
  <c r="LH27" i="21"/>
  <c r="OJ27" i="21"/>
  <c r="VX27" i="21"/>
  <c r="ZP27" i="21"/>
  <c r="KB28" i="21"/>
  <c r="LC28" i="21"/>
  <c r="NJ28" i="21"/>
  <c r="RV28" i="21"/>
  <c r="GN29" i="21"/>
  <c r="ML29" i="21"/>
  <c r="SJ29" i="21"/>
  <c r="KI34" i="21"/>
  <c r="KI42" i="21" s="1"/>
  <c r="VJ34" i="21"/>
  <c r="VJ42" i="21" s="1"/>
  <c r="XW34" i="21"/>
  <c r="XW42" i="21" s="1"/>
  <c r="YE34" i="21"/>
  <c r="YE42" i="21" s="1"/>
  <c r="MG22" i="21"/>
  <c r="JD23" i="21"/>
  <c r="MF23" i="21"/>
  <c r="AZ24" i="21"/>
  <c r="DB24" i="21"/>
  <c r="DJ24" i="21" s="1"/>
  <c r="DH24" i="21" s="1"/>
  <c r="JD24" i="21"/>
  <c r="MF24" i="21"/>
  <c r="RV24" i="21"/>
  <c r="IH25" i="21"/>
  <c r="DB15" i="21"/>
  <c r="DJ15" i="21" s="1"/>
  <c r="DT15" i="21"/>
  <c r="XD15" i="21"/>
  <c r="JJ26" i="21"/>
  <c r="KR26" i="21"/>
  <c r="RD26" i="21"/>
  <c r="RV26" i="21"/>
  <c r="DZ27" i="21"/>
  <c r="MF29" i="21"/>
  <c r="F34" i="21"/>
  <c r="F42" i="21" s="1"/>
  <c r="DN34" i="21"/>
  <c r="DN42" i="21" s="1"/>
  <c r="EU34" i="21"/>
  <c r="EU42" i="21" s="1"/>
  <c r="OB33" i="21"/>
  <c r="OR12" i="21"/>
  <c r="BP16" i="21"/>
  <c r="DB16" i="21"/>
  <c r="DJ16" i="21" s="1"/>
  <c r="DH16" i="21" s="1"/>
  <c r="FL16" i="21"/>
  <c r="TX16" i="21"/>
  <c r="PB29" i="21"/>
  <c r="PC12" i="21"/>
  <c r="LD16" i="21"/>
  <c r="RL16" i="21"/>
  <c r="RV16" i="21"/>
  <c r="LC17" i="21"/>
  <c r="NQ17" i="21"/>
  <c r="OB17" i="21"/>
  <c r="OR17" i="21"/>
  <c r="AJ23" i="21"/>
  <c r="H34" i="21"/>
  <c r="H42" i="21" s="1"/>
  <c r="J32" i="21"/>
  <c r="FX12" i="21"/>
  <c r="QL12" i="21"/>
  <c r="UF16" i="21"/>
  <c r="ZH16" i="21"/>
  <c r="ZP16" i="21"/>
  <c r="IB17" i="21"/>
  <c r="KR17" i="21"/>
  <c r="NR17" i="21"/>
  <c r="DB12" i="21"/>
  <c r="DJ12" i="21" s="1"/>
  <c r="SB16" i="21"/>
  <c r="RP17" i="21"/>
  <c r="MF19" i="21"/>
  <c r="ZE15" i="21"/>
  <c r="ZP15" i="21"/>
  <c r="FN34" i="21"/>
  <c r="FN42" i="21" s="1"/>
  <c r="FH32" i="21"/>
  <c r="FH34" i="21" s="1"/>
  <c r="FH42" i="21" s="1"/>
  <c r="RV12" i="21"/>
  <c r="ZI12" i="21"/>
  <c r="DL16" i="21"/>
  <c r="QX16" i="21"/>
  <c r="TU16" i="21"/>
  <c r="CD17" i="21"/>
  <c r="GZ17" i="21"/>
  <c r="IH17" i="21"/>
  <c r="QL17" i="21"/>
  <c r="TX17" i="21"/>
  <c r="BP25" i="21"/>
  <c r="OR28" i="21"/>
  <c r="EZ12" i="21"/>
  <c r="GN12" i="21"/>
  <c r="PA12" i="21"/>
  <c r="XD12" i="21"/>
  <c r="JD16" i="21"/>
  <c r="DL17" i="21"/>
  <c r="FL17" i="21"/>
  <c r="JJ17" i="21"/>
  <c r="ML17" i="21"/>
  <c r="RK17" i="21"/>
  <c r="PC20" i="21"/>
  <c r="ME13" i="21"/>
  <c r="QL13" i="21"/>
  <c r="MG19" i="21"/>
  <c r="TV19" i="21"/>
  <c r="IH20" i="21"/>
  <c r="FG21" i="21"/>
  <c r="PZ21" i="21"/>
  <c r="QL21" i="21"/>
  <c r="MG14" i="21"/>
  <c r="CH22" i="21"/>
  <c r="LH22" i="21"/>
  <c r="QL22" i="21"/>
  <c r="ZE23" i="21"/>
  <c r="JP25" i="21"/>
  <c r="QR25" i="21"/>
  <c r="ZE25" i="21"/>
  <c r="JP15" i="21"/>
  <c r="MT15" i="21"/>
  <c r="LC26" i="21"/>
  <c r="JD27" i="21"/>
  <c r="RL27" i="21"/>
  <c r="AP28" i="21"/>
  <c r="FL28" i="21"/>
  <c r="HX28" i="21"/>
  <c r="JJ28" i="21"/>
  <c r="MF28" i="21"/>
  <c r="SB28" i="21"/>
  <c r="TS28" i="21"/>
  <c r="HX29" i="21"/>
  <c r="XD33" i="21"/>
  <c r="DT18" i="21"/>
  <c r="GN18" i="21"/>
  <c r="IX18" i="21"/>
  <c r="OR18" i="21"/>
  <c r="RV13" i="21"/>
  <c r="FX19" i="21"/>
  <c r="JJ19" i="21"/>
  <c r="TW19" i="21"/>
  <c r="JJ20" i="21"/>
  <c r="JX14" i="21"/>
  <c r="MT14" i="21"/>
  <c r="UF14" i="21"/>
  <c r="GN22" i="21"/>
  <c r="JJ22" i="21"/>
  <c r="ZI23" i="21"/>
  <c r="R24" i="21"/>
  <c r="KR24" i="21"/>
  <c r="OB24" i="21"/>
  <c r="WR25" i="21"/>
  <c r="HX15" i="21"/>
  <c r="OB15" i="21"/>
  <c r="ZF15" i="21"/>
  <c r="CD26" i="21"/>
  <c r="PA28" i="21"/>
  <c r="DZ29" i="21"/>
  <c r="FX29" i="21"/>
  <c r="LV29" i="21"/>
  <c r="TU29" i="21"/>
  <c r="EN33" i="21"/>
  <c r="JJ33" i="21"/>
  <c r="WR33" i="21"/>
  <c r="J18" i="21"/>
  <c r="TW18" i="21"/>
  <c r="WX18" i="21"/>
  <c r="JJ13" i="21"/>
  <c r="MG13" i="21"/>
  <c r="NR13" i="21"/>
  <c r="KB19" i="21"/>
  <c r="OB19" i="21"/>
  <c r="RV20" i="21"/>
  <c r="HX21" i="21"/>
  <c r="JD21" i="21"/>
  <c r="CH14" i="21"/>
  <c r="QR14" i="21"/>
  <c r="DB22" i="21"/>
  <c r="DJ22" i="21" s="1"/>
  <c r="DH22" i="21" s="1"/>
  <c r="PZ22" i="21"/>
  <c r="RV22" i="21"/>
  <c r="YX23" i="21"/>
  <c r="ZH23" i="21"/>
  <c r="EF24" i="21"/>
  <c r="ET24" i="21"/>
  <c r="IX24" i="21"/>
  <c r="QX24" i="21"/>
  <c r="TU24" i="21"/>
  <c r="VX24" i="21"/>
  <c r="EN25" i="21"/>
  <c r="JX25" i="21"/>
  <c r="JX15" i="21"/>
  <c r="UF15" i="21"/>
  <c r="J27" i="21"/>
  <c r="ET27" i="21"/>
  <c r="XD27" i="21"/>
  <c r="NV29" i="21"/>
  <c r="TV29" i="21"/>
  <c r="FF33" i="21"/>
  <c r="HD33" i="21"/>
  <c r="VD33" i="21"/>
  <c r="IB18" i="21"/>
  <c r="ME18" i="21"/>
  <c r="QX18" i="21"/>
  <c r="CH13" i="21"/>
  <c r="FL13" i="21"/>
  <c r="KR13" i="21"/>
  <c r="UF19" i="21"/>
  <c r="TV21" i="21"/>
  <c r="TV22" i="21"/>
  <c r="VD15" i="21"/>
  <c r="HW27" i="21"/>
  <c r="JJ27" i="21"/>
  <c r="EF28" i="21"/>
  <c r="LN28" i="21"/>
  <c r="EI34" i="21"/>
  <c r="EI42" i="21" s="1"/>
  <c r="NA34" i="21"/>
  <c r="NA42" i="21" s="1"/>
  <c r="SU34" i="21"/>
  <c r="SU42" i="21" s="1"/>
  <c r="ZI17" i="21"/>
  <c r="EN18" i="21"/>
  <c r="QL18" i="21"/>
  <c r="GN13" i="21"/>
  <c r="QH13" i="21"/>
  <c r="TU13" i="21"/>
  <c r="AP20" i="21"/>
  <c r="JW20" i="21"/>
  <c r="HP21" i="21"/>
  <c r="IH21" i="21"/>
  <c r="JX21" i="21"/>
  <c r="LV21" i="21"/>
  <c r="PH14" i="21"/>
  <c r="IX22" i="21"/>
  <c r="TT22" i="21"/>
  <c r="KI19" i="5" s="1"/>
  <c r="CN23" i="21"/>
  <c r="DT23" i="21"/>
  <c r="FG23" i="21"/>
  <c r="XD23" i="21"/>
  <c r="SB24" i="21"/>
  <c r="LH25" i="21"/>
  <c r="NV25" i="21"/>
  <c r="OJ25" i="21"/>
  <c r="FL15" i="21"/>
  <c r="QX15" i="21"/>
  <c r="EZ26" i="21"/>
  <c r="KB26" i="21"/>
  <c r="LH26" i="21"/>
  <c r="ML26" i="21"/>
  <c r="NQ26" i="21"/>
  <c r="KB27" i="21"/>
  <c r="MG27" i="21"/>
  <c r="NV27" i="21"/>
  <c r="QX27" i="21"/>
  <c r="TV27" i="21"/>
  <c r="VD27" i="21"/>
  <c r="JX28" i="21"/>
  <c r="SJ28" i="21"/>
  <c r="FL29" i="21"/>
  <c r="BZ34" i="21"/>
  <c r="BZ42" i="21" s="1"/>
  <c r="DV34" i="21"/>
  <c r="DV42" i="21" s="1"/>
  <c r="VP34" i="21"/>
  <c r="VP42" i="21" s="1"/>
  <c r="WF34" i="21"/>
  <c r="WF42" i="21" s="1"/>
  <c r="J33" i="21"/>
  <c r="ET33" i="21"/>
  <c r="BP18" i="21"/>
  <c r="HW18" i="21"/>
  <c r="ZH18" i="21"/>
  <c r="JP13" i="21"/>
  <c r="MT13" i="21"/>
  <c r="TD13" i="21"/>
  <c r="JX19" i="21"/>
  <c r="DL21" i="21"/>
  <c r="LH21" i="21"/>
  <c r="VX21" i="21"/>
  <c r="ZF21" i="21"/>
  <c r="HX14" i="21"/>
  <c r="ML14" i="21"/>
  <c r="CD22" i="21"/>
  <c r="DL22" i="21"/>
  <c r="IB22" i="21"/>
  <c r="JX22" i="21"/>
  <c r="QG22" i="21"/>
  <c r="CD23" i="21"/>
  <c r="WR23" i="21"/>
  <c r="NR24" i="21"/>
  <c r="KB25" i="21"/>
  <c r="CN26" i="21"/>
  <c r="RL26" i="21"/>
  <c r="FH27" i="21"/>
  <c r="GN27" i="21"/>
  <c r="ZE27" i="21"/>
  <c r="NJ29" i="21"/>
  <c r="R32" i="21"/>
  <c r="AQ34" i="21"/>
  <c r="AQ42" i="21" s="1"/>
  <c r="EF33" i="21"/>
  <c r="SP33" i="21"/>
  <c r="IH18" i="21"/>
  <c r="QG18" i="21"/>
  <c r="ZI18" i="21"/>
  <c r="IB13" i="21"/>
  <c r="DT19" i="21"/>
  <c r="JD19" i="21"/>
  <c r="LV19" i="21"/>
  <c r="DZ20" i="21"/>
  <c r="FX20" i="21"/>
  <c r="ML20" i="21"/>
  <c r="OB20" i="21"/>
  <c r="VD20" i="21"/>
  <c r="R21" i="21"/>
  <c r="MG21" i="21"/>
  <c r="QX21" i="21"/>
  <c r="RP21" i="21"/>
  <c r="AJ14" i="21"/>
  <c r="DZ14" i="21"/>
  <c r="FX14" i="21"/>
  <c r="HW14" i="21"/>
  <c r="TW14" i="21"/>
  <c r="MF22" i="21"/>
  <c r="PA22" i="21"/>
  <c r="KB23" i="21"/>
  <c r="MG24" i="21"/>
  <c r="RD25" i="21"/>
  <c r="RV25" i="21"/>
  <c r="EZ15" i="21"/>
  <c r="LN15" i="21"/>
  <c r="TW15" i="21"/>
  <c r="J26" i="21"/>
  <c r="DZ26" i="21"/>
  <c r="IB26" i="21"/>
  <c r="JW26" i="21"/>
  <c r="LD26" i="21"/>
  <c r="UF27" i="21"/>
  <c r="DZ28" i="21"/>
  <c r="ML28" i="21"/>
  <c r="DT29" i="21"/>
  <c r="PH29" i="21"/>
  <c r="UF29" i="21"/>
  <c r="ZP29" i="21"/>
  <c r="DT33" i="21"/>
  <c r="WD33" i="21"/>
  <c r="BJ18" i="21"/>
  <c r="BH18" i="21" s="1"/>
  <c r="ME25" i="21"/>
  <c r="MT12" i="21"/>
  <c r="NJ12" i="21"/>
  <c r="CN16" i="21"/>
  <c r="MT16" i="21"/>
  <c r="OB16" i="21"/>
  <c r="OR16" i="21"/>
  <c r="PA16" i="21"/>
  <c r="FG17" i="21"/>
  <c r="MT17" i="21"/>
  <c r="NJ17" i="21"/>
  <c r="QH17" i="21"/>
  <c r="LD18" i="21"/>
  <c r="ML18" i="21"/>
  <c r="RD18" i="21"/>
  <c r="AP13" i="21"/>
  <c r="PH13" i="21"/>
  <c r="ZG20" i="21"/>
  <c r="LD14" i="21"/>
  <c r="J22" i="21"/>
  <c r="HK34" i="21"/>
  <c r="HK42" i="21" s="1"/>
  <c r="HJ32" i="21"/>
  <c r="CN12" i="21"/>
  <c r="HW17" i="21"/>
  <c r="RK18" i="21"/>
  <c r="PC21" i="21"/>
  <c r="IH12" i="21"/>
  <c r="JJ12" i="21"/>
  <c r="PB12" i="21"/>
  <c r="TD12" i="21"/>
  <c r="VD12" i="21"/>
  <c r="FX16" i="21"/>
  <c r="IB16" i="21"/>
  <c r="ML16" i="21"/>
  <c r="PB16" i="21"/>
  <c r="DB17" i="21"/>
  <c r="DJ17" i="21" s="1"/>
  <c r="DH17" i="21" s="1"/>
  <c r="FH17" i="21"/>
  <c r="GN17" i="21"/>
  <c r="PC17" i="21"/>
  <c r="QR17" i="21"/>
  <c r="VX17" i="21"/>
  <c r="LN18" i="21"/>
  <c r="PB18" i="21"/>
  <c r="TX18" i="21"/>
  <c r="R13" i="21"/>
  <c r="ET13" i="21"/>
  <c r="JW13" i="21"/>
  <c r="LC13" i="21"/>
  <c r="LN13" i="21"/>
  <c r="SP13" i="21"/>
  <c r="NJ19" i="21"/>
  <c r="NQ19" i="21"/>
  <c r="QX20" i="21"/>
  <c r="DB23" i="21"/>
  <c r="DJ23" i="21" s="1"/>
  <c r="DH23" i="21" s="1"/>
  <c r="J24" i="21"/>
  <c r="AV20" i="21"/>
  <c r="RD17" i="21"/>
  <c r="KB18" i="21"/>
  <c r="SP12" i="21"/>
  <c r="YR12" i="21"/>
  <c r="CN17" i="21"/>
  <c r="TT17" i="21"/>
  <c r="KI12" i="5" s="1"/>
  <c r="JW18" i="21"/>
  <c r="RL18" i="21"/>
  <c r="HB13" i="21"/>
  <c r="GZ13" i="21" s="1"/>
  <c r="MF13" i="21"/>
  <c r="TX13" i="21"/>
  <c r="JP19" i="21"/>
  <c r="JW19" i="21"/>
  <c r="LC20" i="21"/>
  <c r="KR20" i="21"/>
  <c r="RP20" i="21"/>
  <c r="RL20" i="21"/>
  <c r="VD21" i="21"/>
  <c r="FG14" i="21"/>
  <c r="EZ14" i="21"/>
  <c r="JP14" i="21"/>
  <c r="JW14" i="21"/>
  <c r="VD22" i="21"/>
  <c r="EZ28" i="21"/>
  <c r="FH28" i="21"/>
  <c r="TV18" i="21"/>
  <c r="DL12" i="21"/>
  <c r="OB12" i="21"/>
  <c r="SB12" i="21"/>
  <c r="EF16" i="21"/>
  <c r="EZ16" i="21"/>
  <c r="FL18" i="21"/>
  <c r="UF18" i="21"/>
  <c r="EF13" i="21"/>
  <c r="ZE13" i="21"/>
  <c r="YR13" i="21"/>
  <c r="LD20" i="21"/>
  <c r="NR21" i="21"/>
  <c r="YX22" i="21"/>
  <c r="ZF22" i="21"/>
  <c r="LC23" i="21"/>
  <c r="NQ23" i="21"/>
  <c r="NV23" i="21"/>
  <c r="XT26" i="21"/>
  <c r="XR26" i="21" s="1"/>
  <c r="LV16" i="21"/>
  <c r="HP23" i="21"/>
  <c r="HX23" i="21"/>
  <c r="D12" i="21"/>
  <c r="ML12" i="21"/>
  <c r="GN16" i="21"/>
  <c r="HD16" i="21"/>
  <c r="QL16" i="21"/>
  <c r="LN17" i="21"/>
  <c r="SB17" i="21"/>
  <c r="LV18" i="21"/>
  <c r="NJ18" i="21"/>
  <c r="TS18" i="21"/>
  <c r="WR18" i="21"/>
  <c r="AJ13" i="21"/>
  <c r="DB13" i="21"/>
  <c r="DJ13" i="21" s="1"/>
  <c r="DH13" i="21" s="1"/>
  <c r="DT13" i="21"/>
  <c r="EZ13" i="21"/>
  <c r="HD13" i="21"/>
  <c r="HW13" i="21"/>
  <c r="NJ13" i="21"/>
  <c r="RK13" i="21"/>
  <c r="EZ19" i="21"/>
  <c r="FG19" i="21"/>
  <c r="RD20" i="21"/>
  <c r="RK20" i="21"/>
  <c r="LC22" i="21"/>
  <c r="KR22" i="21"/>
  <c r="RD22" i="21"/>
  <c r="HW23" i="21"/>
  <c r="IB23" i="21"/>
  <c r="OR26" i="21"/>
  <c r="PA26" i="21"/>
  <c r="PZ27" i="21"/>
  <c r="QG27" i="21"/>
  <c r="NJ23" i="21"/>
  <c r="NR23" i="21"/>
  <c r="ME23" i="21"/>
  <c r="LV23" i="21"/>
  <c r="BL41" i="21"/>
  <c r="AV12" i="21"/>
  <c r="IB12" i="21"/>
  <c r="JP12" i="21"/>
  <c r="CH16" i="21"/>
  <c r="EN16" i="21"/>
  <c r="JW16" i="21"/>
  <c r="NJ16" i="21"/>
  <c r="NV16" i="21"/>
  <c r="OJ16" i="21"/>
  <c r="SP16" i="21"/>
  <c r="VD16" i="21"/>
  <c r="YR16" i="21"/>
  <c r="ZF16" i="21"/>
  <c r="TW17" i="21"/>
  <c r="XD17" i="21"/>
  <c r="CN18" i="21"/>
  <c r="PZ18" i="21"/>
  <c r="VD18" i="21"/>
  <c r="ZF18" i="21"/>
  <c r="CN13" i="21"/>
  <c r="FH13" i="21"/>
  <c r="IX13" i="21"/>
  <c r="OB13" i="21"/>
  <c r="OR13" i="21"/>
  <c r="RL13" i="21"/>
  <c r="ZI19" i="21"/>
  <c r="ZP19" i="21"/>
  <c r="JP20" i="21"/>
  <c r="JX20" i="21"/>
  <c r="BJ21" i="21"/>
  <c r="BH21" i="21" s="1"/>
  <c r="OR21" i="21"/>
  <c r="PA21" i="21"/>
  <c r="D22" i="21"/>
  <c r="WX13" i="21"/>
  <c r="IB19" i="21"/>
  <c r="NR19" i="21"/>
  <c r="QR19" i="21"/>
  <c r="TS19" i="21"/>
  <c r="DB20" i="21"/>
  <c r="DJ20" i="21" s="1"/>
  <c r="DH20" i="21" s="1"/>
  <c r="DT20" i="21"/>
  <c r="HX20" i="21"/>
  <c r="JD20" i="21"/>
  <c r="OR20" i="21"/>
  <c r="SB20" i="21"/>
  <c r="TV20" i="21"/>
  <c r="WR20" i="21"/>
  <c r="CD21" i="21"/>
  <c r="NJ21" i="21"/>
  <c r="TT21" i="21"/>
  <c r="KI17" i="5" s="1"/>
  <c r="XD21" i="21"/>
  <c r="DT14" i="21"/>
  <c r="IX14" i="21"/>
  <c r="KB14" i="21"/>
  <c r="KR14" i="21"/>
  <c r="LH14" i="21"/>
  <c r="OR14" i="21"/>
  <c r="FX22" i="21"/>
  <c r="JD22" i="21"/>
  <c r="LD22" i="21"/>
  <c r="NR22" i="21"/>
  <c r="TS22" i="21"/>
  <c r="EZ23" i="21"/>
  <c r="SB23" i="21"/>
  <c r="TS23" i="21"/>
  <c r="ZF23" i="21"/>
  <c r="FG27" i="21"/>
  <c r="NJ27" i="21"/>
  <c r="NQ27" i="21"/>
  <c r="CH33" i="21"/>
  <c r="QR13" i="21"/>
  <c r="DL19" i="21"/>
  <c r="MT19" i="21"/>
  <c r="SB19" i="21"/>
  <c r="TU19" i="21"/>
  <c r="EN20" i="21"/>
  <c r="GN20" i="21"/>
  <c r="LN20" i="21"/>
  <c r="PH20" i="21"/>
  <c r="QR20" i="21"/>
  <c r="TX20" i="21"/>
  <c r="JJ21" i="21"/>
  <c r="WR21" i="21"/>
  <c r="EN14" i="21"/>
  <c r="IB14" i="21"/>
  <c r="QH14" i="21"/>
  <c r="IH22" i="21"/>
  <c r="NJ22" i="21"/>
  <c r="OB22" i="21"/>
  <c r="SB22" i="21"/>
  <c r="ZP22" i="21"/>
  <c r="DL23" i="21"/>
  <c r="EN23" i="21"/>
  <c r="GN23" i="21"/>
  <c r="JP23" i="21"/>
  <c r="KR23" i="21"/>
  <c r="TU23" i="21"/>
  <c r="FH24" i="21"/>
  <c r="HD24" i="21"/>
  <c r="JJ24" i="21"/>
  <c r="LH24" i="21"/>
  <c r="NV24" i="21"/>
  <c r="VD26" i="21"/>
  <c r="CD28" i="21"/>
  <c r="FT34" i="21"/>
  <c r="FT42" i="21" s="1"/>
  <c r="FR32" i="21"/>
  <c r="D19" i="21"/>
  <c r="IH19" i="21"/>
  <c r="QX19" i="21"/>
  <c r="VD19" i="21"/>
  <c r="UF21" i="21"/>
  <c r="TD14" i="21"/>
  <c r="ZF14" i="21"/>
  <c r="MT22" i="21"/>
  <c r="VD23" i="21"/>
  <c r="KR29" i="21"/>
  <c r="LD29" i="21"/>
  <c r="J19" i="21"/>
  <c r="WR19" i="21"/>
  <c r="ZE19" i="21"/>
  <c r="WX20" i="21"/>
  <c r="CN21" i="21"/>
  <c r="FH21" i="21"/>
  <c r="GN21" i="21"/>
  <c r="RL21" i="21"/>
  <c r="TX21" i="21"/>
  <c r="DL14" i="21"/>
  <c r="OJ14" i="21"/>
  <c r="SP14" i="21"/>
  <c r="ZH14" i="21"/>
  <c r="LV22" i="21"/>
  <c r="RK22" i="21"/>
  <c r="OB23" i="21"/>
  <c r="QH23" i="21"/>
  <c r="TW23" i="21"/>
  <c r="DZ24" i="21"/>
  <c r="GN24" i="21"/>
  <c r="LV26" i="21"/>
  <c r="MF26" i="21"/>
  <c r="ZE26" i="21"/>
  <c r="QX13" i="21"/>
  <c r="WR13" i="21"/>
  <c r="BP19" i="21"/>
  <c r="DB19" i="21"/>
  <c r="FL19" i="21"/>
  <c r="HW19" i="21"/>
  <c r="ML19" i="21"/>
  <c r="QL19" i="21"/>
  <c r="CD20" i="21"/>
  <c r="ET20" i="21"/>
  <c r="LV20" i="21"/>
  <c r="NJ20" i="21"/>
  <c r="OJ20" i="21"/>
  <c r="ZI20" i="21"/>
  <c r="EZ21" i="21"/>
  <c r="KB21" i="21"/>
  <c r="ZI21" i="21"/>
  <c r="R14" i="21"/>
  <c r="ET14" i="21"/>
  <c r="IH14" i="21"/>
  <c r="NV14" i="21"/>
  <c r="TV14" i="21"/>
  <c r="VX14" i="21"/>
  <c r="ME22" i="21"/>
  <c r="TX22" i="21"/>
  <c r="ZI22" i="21"/>
  <c r="LN23" i="21"/>
  <c r="ML23" i="21"/>
  <c r="PA23" i="21"/>
  <c r="RL23" i="21"/>
  <c r="BP24" i="21"/>
  <c r="DL24" i="21"/>
  <c r="JP24" i="21"/>
  <c r="LC24" i="21"/>
  <c r="MT24" i="21"/>
  <c r="PH24" i="21"/>
  <c r="PA24" i="21"/>
  <c r="CI34" i="21"/>
  <c r="CI42" i="21" s="1"/>
  <c r="CH32" i="21"/>
  <c r="XE34" i="21"/>
  <c r="XE42" i="21" s="1"/>
  <c r="XD32" i="21"/>
  <c r="AJ19" i="21"/>
  <c r="EF19" i="21"/>
  <c r="FH19" i="21"/>
  <c r="GN19" i="21"/>
  <c r="IX19" i="21"/>
  <c r="CH20" i="21"/>
  <c r="LH20" i="21"/>
  <c r="XD20" i="21"/>
  <c r="DZ21" i="21"/>
  <c r="EN21" i="21"/>
  <c r="OJ21" i="21"/>
  <c r="D14" i="21"/>
  <c r="EF14" i="21"/>
  <c r="FL14" i="21"/>
  <c r="HD14" i="21"/>
  <c r="JJ14" i="21"/>
  <c r="NJ14" i="21"/>
  <c r="QL14" i="21"/>
  <c r="WX14" i="21"/>
  <c r="YR14" i="21"/>
  <c r="AP22" i="21"/>
  <c r="DZ22" i="21"/>
  <c r="JP22" i="21"/>
  <c r="OJ22" i="21"/>
  <c r="EF23" i="21"/>
  <c r="QG23" i="21"/>
  <c r="QR23" i="21"/>
  <c r="VD29" i="21"/>
  <c r="XF34" i="21"/>
  <c r="XF42" i="21" s="1"/>
  <c r="XD24" i="21"/>
  <c r="ZF24" i="21"/>
  <c r="OR25" i="21"/>
  <c r="RP25" i="21"/>
  <c r="WX25" i="21"/>
  <c r="ET15" i="21"/>
  <c r="LV15" i="21"/>
  <c r="TU15" i="21"/>
  <c r="RK26" i="21"/>
  <c r="CN27" i="21"/>
  <c r="NR27" i="21"/>
  <c r="AJ28" i="21"/>
  <c r="YR28" i="21"/>
  <c r="CD29" i="21"/>
  <c r="NQ29" i="21"/>
  <c r="OB29" i="21"/>
  <c r="SP29" i="21"/>
  <c r="TT29" i="21"/>
  <c r="KI27" i="5" s="1"/>
  <c r="WX29" i="21"/>
  <c r="AZ32" i="21"/>
  <c r="CJ34" i="21"/>
  <c r="CJ42" i="21" s="1"/>
  <c r="DZ32" i="21"/>
  <c r="EN32" i="21"/>
  <c r="WS34" i="21"/>
  <c r="WS42" i="21" s="1"/>
  <c r="XY34" i="21"/>
  <c r="XY42" i="21" s="1"/>
  <c r="DL33" i="21"/>
  <c r="JD33" i="21"/>
  <c r="MT33" i="21"/>
  <c r="CN25" i="21"/>
  <c r="IB25" i="21"/>
  <c r="NQ25" i="21"/>
  <c r="SB25" i="21"/>
  <c r="IB15" i="21"/>
  <c r="TV15" i="21"/>
  <c r="FH26" i="21"/>
  <c r="TT26" i="21"/>
  <c r="KI24" i="5" s="1"/>
  <c r="AJ27" i="21"/>
  <c r="BP27" i="21"/>
  <c r="TW27" i="21"/>
  <c r="ZF27" i="21"/>
  <c r="J28" i="21"/>
  <c r="IX28" i="21"/>
  <c r="ZF28" i="21"/>
  <c r="JX29" i="21"/>
  <c r="ME29" i="21"/>
  <c r="L34" i="21"/>
  <c r="L42" i="21" s="1"/>
  <c r="LV24" i="21"/>
  <c r="QL24" i="21"/>
  <c r="SP24" i="21"/>
  <c r="TT24" i="21"/>
  <c r="KI21" i="5" s="1"/>
  <c r="ZI24" i="21"/>
  <c r="HX25" i="21"/>
  <c r="ML25" i="21"/>
  <c r="PH25" i="21"/>
  <c r="OR15" i="21"/>
  <c r="PZ15" i="21"/>
  <c r="PZ26" i="21"/>
  <c r="SB26" i="21"/>
  <c r="TU26" i="21"/>
  <c r="JP27" i="21"/>
  <c r="ML27" i="21"/>
  <c r="D28" i="21"/>
  <c r="FX28" i="21"/>
  <c r="JP28" i="21"/>
  <c r="KR28" i="21"/>
  <c r="PH28" i="21"/>
  <c r="IH33" i="21"/>
  <c r="RD24" i="21"/>
  <c r="VD24" i="21"/>
  <c r="YR24" i="21"/>
  <c r="HP25" i="21"/>
  <c r="LD25" i="21"/>
  <c r="LN25" i="21"/>
  <c r="GZ15" i="21"/>
  <c r="KR15" i="21"/>
  <c r="QG15" i="21"/>
  <c r="EF26" i="21"/>
  <c r="NV26" i="21"/>
  <c r="OJ26" i="21"/>
  <c r="PH26" i="21"/>
  <c r="RP26" i="21"/>
  <c r="DB27" i="21"/>
  <c r="DJ27" i="21" s="1"/>
  <c r="IB27" i="21"/>
  <c r="QR27" i="21"/>
  <c r="RV27" i="21"/>
  <c r="DB28" i="21"/>
  <c r="DJ28" i="21" s="1"/>
  <c r="DH28" i="21" s="1"/>
  <c r="IB28" i="21"/>
  <c r="MT28" i="21"/>
  <c r="RD28" i="21"/>
  <c r="AJ32" i="21"/>
  <c r="ET32" i="21"/>
  <c r="LN33" i="21"/>
  <c r="CN15" i="21"/>
  <c r="CN28" i="21"/>
  <c r="NQ28" i="21"/>
  <c r="TW28" i="21"/>
  <c r="DL29" i="21"/>
  <c r="ET29" i="21"/>
  <c r="MT29" i="21"/>
  <c r="PZ29" i="21"/>
  <c r="WR29" i="21"/>
  <c r="ZF29" i="21"/>
  <c r="SJ32" i="21"/>
  <c r="QX33" i="21"/>
  <c r="NR25" i="21"/>
  <c r="TS25" i="21"/>
  <c r="ZI25" i="21"/>
  <c r="FG15" i="21"/>
  <c r="CH26" i="21"/>
  <c r="HW26" i="21"/>
  <c r="NR26" i="21"/>
  <c r="TX26" i="21"/>
  <c r="WX26" i="21"/>
  <c r="DT27" i="21"/>
  <c r="JW27" i="21"/>
  <c r="LN27" i="21"/>
  <c r="TS27" i="21"/>
  <c r="GN28" i="21"/>
  <c r="HW28" i="21"/>
  <c r="OJ28" i="21"/>
  <c r="EF29" i="21"/>
  <c r="NQ24" i="21"/>
  <c r="QH24" i="21"/>
  <c r="RK24" i="21"/>
  <c r="UF24" i="21"/>
  <c r="DT25" i="21"/>
  <c r="EZ25" i="21"/>
  <c r="HW25" i="21"/>
  <c r="MT25" i="21"/>
  <c r="NJ25" i="21"/>
  <c r="NJ15" i="21"/>
  <c r="NV15" i="21"/>
  <c r="TS15" i="21"/>
  <c r="AJ26" i="21"/>
  <c r="HX26" i="21"/>
  <c r="IH26" i="21"/>
  <c r="NJ26" i="21"/>
  <c r="ZI26" i="21"/>
  <c r="CD27" i="21"/>
  <c r="HD27" i="21"/>
  <c r="IH27" i="21"/>
  <c r="TT27" i="21"/>
  <c r="KI25" i="5" s="1"/>
  <c r="DL28" i="21"/>
  <c r="FG28" i="21"/>
  <c r="WX28" i="21"/>
  <c r="JD29" i="21"/>
  <c r="KB29" i="21"/>
  <c r="QR29" i="21"/>
  <c r="L41" i="21"/>
  <c r="L30" i="21"/>
  <c r="CE41" i="21"/>
  <c r="CE30" i="21"/>
  <c r="FJ41" i="21"/>
  <c r="FJ30" i="21"/>
  <c r="JF41" i="21"/>
  <c r="JF30" i="21"/>
  <c r="MJ41" i="21"/>
  <c r="MJ30" i="21"/>
  <c r="UA41" i="21"/>
  <c r="UA30" i="21"/>
  <c r="WS41" i="21"/>
  <c r="WS30" i="21"/>
  <c r="AK41" i="21"/>
  <c r="CS41" i="21"/>
  <c r="CS30" i="21"/>
  <c r="FC41" i="21"/>
  <c r="FC30" i="21"/>
  <c r="HE41" i="21"/>
  <c r="HE30" i="21"/>
  <c r="NW41" i="21"/>
  <c r="NW30" i="21"/>
  <c r="UD41" i="21"/>
  <c r="UD30" i="21"/>
  <c r="VT41" i="21"/>
  <c r="VT30" i="21"/>
  <c r="XJ41" i="21"/>
  <c r="XJ30" i="21"/>
  <c r="BJ16" i="21"/>
  <c r="BH16" i="21" s="1"/>
  <c r="FG16" i="21"/>
  <c r="AK17" i="21"/>
  <c r="E17" i="21"/>
  <c r="BA41" i="21"/>
  <c r="BA30" i="21"/>
  <c r="BK41" i="21"/>
  <c r="EI41" i="21"/>
  <c r="EI30" i="21"/>
  <c r="HJ41" i="21"/>
  <c r="HJ30" i="21"/>
  <c r="JZ41" i="21"/>
  <c r="JZ30" i="21"/>
  <c r="LW41" i="21"/>
  <c r="LW30" i="21"/>
  <c r="MP41" i="21"/>
  <c r="MP30" i="21"/>
  <c r="OM41" i="21"/>
  <c r="OM30" i="21"/>
  <c r="PI41" i="21"/>
  <c r="PI30" i="21"/>
  <c r="QT41" i="21"/>
  <c r="QT30" i="21"/>
  <c r="SW41" i="21"/>
  <c r="SW30" i="21"/>
  <c r="TY12" i="21"/>
  <c r="VY41" i="21"/>
  <c r="VY30" i="21"/>
  <c r="XA41" i="21"/>
  <c r="XA30" i="21"/>
  <c r="XX41" i="21"/>
  <c r="AAI41" i="21"/>
  <c r="AAI30" i="21"/>
  <c r="UF17" i="21"/>
  <c r="ZP17" i="21"/>
  <c r="EF18" i="21"/>
  <c r="NR18" i="21"/>
  <c r="DL13" i="21"/>
  <c r="FG13" i="21"/>
  <c r="MH13" i="21"/>
  <c r="ZP13" i="21"/>
  <c r="ZF13" i="21"/>
  <c r="HC19" i="21"/>
  <c r="HA19" i="21" s="1"/>
  <c r="OR19" i="21"/>
  <c r="XT19" i="21"/>
  <c r="XR19" i="21" s="1"/>
  <c r="DL20" i="21"/>
  <c r="HB21" i="21"/>
  <c r="GZ21" i="21" s="1"/>
  <c r="VX23" i="21"/>
  <c r="ZP24" i="21"/>
  <c r="ZH24" i="21"/>
  <c r="BL30" i="21"/>
  <c r="BN41" i="21"/>
  <c r="BN30" i="21"/>
  <c r="EQ41" i="21"/>
  <c r="EQ30" i="21"/>
  <c r="GV41" i="21"/>
  <c r="GV30" i="21"/>
  <c r="IY41" i="21"/>
  <c r="IY30" i="21"/>
  <c r="KE41" i="21"/>
  <c r="KE30" i="21"/>
  <c r="LQ41" i="21"/>
  <c r="LQ30" i="21"/>
  <c r="NM41" i="21"/>
  <c r="OU41" i="21"/>
  <c r="QO41" i="21"/>
  <c r="QO30" i="21"/>
  <c r="ST41" i="21"/>
  <c r="ST30" i="21"/>
  <c r="UL41" i="21"/>
  <c r="UL30" i="21"/>
  <c r="WF41" i="21"/>
  <c r="WF30" i="21"/>
  <c r="YC41" i="21"/>
  <c r="YC30" i="21"/>
  <c r="ZN41" i="21"/>
  <c r="ZN30" i="21"/>
  <c r="RL17" i="21"/>
  <c r="J12" i="21"/>
  <c r="V41" i="21"/>
  <c r="CB41" i="21"/>
  <c r="CB30" i="21"/>
  <c r="DW41" i="21"/>
  <c r="DW30" i="21"/>
  <c r="EV41" i="21"/>
  <c r="EV30" i="21"/>
  <c r="GZ12" i="21"/>
  <c r="JD12" i="21"/>
  <c r="KJ41" i="21"/>
  <c r="KJ30" i="21"/>
  <c r="LJ41" i="21"/>
  <c r="LJ30" i="21"/>
  <c r="MH12" i="21"/>
  <c r="NA41" i="21"/>
  <c r="NA30" i="21"/>
  <c r="QJ41" i="21"/>
  <c r="QJ30" i="21"/>
  <c r="RF41" i="21"/>
  <c r="RF30" i="21"/>
  <c r="SM41" i="21"/>
  <c r="SM30" i="21"/>
  <c r="TK41" i="21"/>
  <c r="TK30" i="21"/>
  <c r="UG41" i="21"/>
  <c r="UG30" i="21"/>
  <c r="VL41" i="21"/>
  <c r="VL30" i="21"/>
  <c r="XO41" i="21"/>
  <c r="YV41" i="21"/>
  <c r="ZQ41" i="21"/>
  <c r="ZQ30" i="21"/>
  <c r="EF17" i="21"/>
  <c r="LD17" i="21"/>
  <c r="SP17" i="21"/>
  <c r="BK18" i="21"/>
  <c r="BI18" i="21" s="1"/>
  <c r="FH18" i="21"/>
  <c r="K41" i="21"/>
  <c r="K30" i="21"/>
  <c r="Z41" i="21"/>
  <c r="Z30" i="21"/>
  <c r="BB41" i="21"/>
  <c r="BB30" i="21"/>
  <c r="CD12" i="21"/>
  <c r="CO41" i="21"/>
  <c r="CO30" i="21"/>
  <c r="DC41" i="21"/>
  <c r="DC30" i="21"/>
  <c r="DM41" i="21"/>
  <c r="DM30" i="21"/>
  <c r="EJ41" i="21"/>
  <c r="EJ30" i="21"/>
  <c r="EW41" i="21"/>
  <c r="EW30" i="21"/>
  <c r="FI12" i="21"/>
  <c r="FS41" i="21"/>
  <c r="FS30" i="21"/>
  <c r="GO41" i="21"/>
  <c r="GO30" i="21"/>
  <c r="HA12" i="21"/>
  <c r="HM41" i="21"/>
  <c r="HM30" i="21"/>
  <c r="II41" i="21"/>
  <c r="II30" i="21"/>
  <c r="JE41" i="21"/>
  <c r="JE30" i="21"/>
  <c r="JQ41" i="21"/>
  <c r="JQ30" i="21"/>
  <c r="KA41" i="21"/>
  <c r="KA30" i="21"/>
  <c r="LC12" i="21"/>
  <c r="LK41" i="21"/>
  <c r="LK30" i="21"/>
  <c r="LX41" i="21"/>
  <c r="MI41" i="21"/>
  <c r="MI30" i="21"/>
  <c r="OC41" i="21"/>
  <c r="OC30" i="21"/>
  <c r="ON41" i="21"/>
  <c r="ON30" i="21"/>
  <c r="PJ41" i="21"/>
  <c r="PJ30" i="21"/>
  <c r="QA41" i="21"/>
  <c r="QK41" i="21"/>
  <c r="QK30" i="21"/>
  <c r="QU41" i="21"/>
  <c r="QU30" i="21"/>
  <c r="RG41" i="21"/>
  <c r="RG30" i="21"/>
  <c r="RQ41" i="21"/>
  <c r="RQ30" i="21"/>
  <c r="SC41" i="21"/>
  <c r="SC30" i="21"/>
  <c r="TZ41" i="21"/>
  <c r="TZ30" i="21"/>
  <c r="UH41" i="21"/>
  <c r="UH30" i="21"/>
  <c r="VZ41" i="21"/>
  <c r="VZ30" i="21"/>
  <c r="WR12" i="21"/>
  <c r="XP41" i="21"/>
  <c r="XP30" i="21"/>
  <c r="XY41" i="21"/>
  <c r="XY30" i="21"/>
  <c r="YW41" i="21"/>
  <c r="YW30" i="21"/>
  <c r="ZR41" i="21"/>
  <c r="ZR30" i="21"/>
  <c r="LC16" i="21"/>
  <c r="AP17" i="21"/>
  <c r="BK17" i="21"/>
  <c r="BI17" i="21" s="1"/>
  <c r="AV18" i="21"/>
  <c r="ZP18" i="21"/>
  <c r="TV13" i="21"/>
  <c r="CN19" i="21"/>
  <c r="SP19" i="21"/>
  <c r="YR19" i="21"/>
  <c r="HB22" i="21"/>
  <c r="GZ22" i="21" s="1"/>
  <c r="NQ22" i="21"/>
  <c r="NV22" i="21"/>
  <c r="DN41" i="21"/>
  <c r="DN30" i="21"/>
  <c r="FT41" i="21"/>
  <c r="FT30" i="21"/>
  <c r="IJ41" i="21"/>
  <c r="IJ30" i="21"/>
  <c r="OD41" i="21"/>
  <c r="OD30" i="21"/>
  <c r="TE41" i="21"/>
  <c r="TE30" i="21"/>
  <c r="VN41" i="21"/>
  <c r="VN30" i="21"/>
  <c r="VB51" i="21" s="1"/>
  <c r="VB53" i="21" s="1"/>
  <c r="XZ41" i="21"/>
  <c r="XZ30" i="21"/>
  <c r="AAQ41" i="21"/>
  <c r="AAQ30" i="21"/>
  <c r="AG30" i="21"/>
  <c r="AG41" i="21"/>
  <c r="CF41" i="21"/>
  <c r="CF30" i="21"/>
  <c r="DE41" i="21"/>
  <c r="DE30" i="21"/>
  <c r="EB41" i="21"/>
  <c r="EB30" i="21"/>
  <c r="EO41" i="21"/>
  <c r="EO30" i="21"/>
  <c r="FK41" i="21"/>
  <c r="FK30" i="21"/>
  <c r="FU41" i="21"/>
  <c r="FU30" i="21"/>
  <c r="HQ41" i="21"/>
  <c r="HQ30" i="21"/>
  <c r="IA41" i="21"/>
  <c r="IA30" i="21"/>
  <c r="IK41" i="21"/>
  <c r="IK30" i="21"/>
  <c r="JG41" i="21"/>
  <c r="JG30" i="21"/>
  <c r="JS41" i="21"/>
  <c r="JS30" i="21"/>
  <c r="KC41" i="21"/>
  <c r="KC30" i="21"/>
  <c r="KM41" i="21"/>
  <c r="KM30" i="21"/>
  <c r="LO41" i="21"/>
  <c r="LO30" i="21"/>
  <c r="LZ41" i="21"/>
  <c r="LZ30" i="21"/>
  <c r="MK41" i="21"/>
  <c r="MK30" i="21"/>
  <c r="MV41" i="21"/>
  <c r="MV30" i="21"/>
  <c r="NK41" i="21"/>
  <c r="NK30" i="21"/>
  <c r="NU41" i="21"/>
  <c r="OE41" i="21"/>
  <c r="OE30" i="21"/>
  <c r="OS41" i="21"/>
  <c r="OS30" i="21"/>
  <c r="PL41" i="21"/>
  <c r="PL30" i="21"/>
  <c r="QC41" i="21"/>
  <c r="QC30" i="21"/>
  <c r="QM41" i="21"/>
  <c r="QM30" i="21"/>
  <c r="QY41" i="21"/>
  <c r="QY30" i="21"/>
  <c r="RS41" i="21"/>
  <c r="RS30" i="21"/>
  <c r="SE41" i="21"/>
  <c r="SE30" i="21"/>
  <c r="SR41" i="21"/>
  <c r="SR30" i="21"/>
  <c r="TF41" i="21"/>
  <c r="TF30" i="21"/>
  <c r="TT12" i="21"/>
  <c r="KI10" i="5" s="1"/>
  <c r="UB41" i="21"/>
  <c r="UB30" i="21"/>
  <c r="UJ41" i="21"/>
  <c r="UJ30" i="21"/>
  <c r="VP41" i="21"/>
  <c r="VP30" i="21"/>
  <c r="WT41" i="21"/>
  <c r="WT30" i="21"/>
  <c r="XF41" i="21"/>
  <c r="XF30" i="21"/>
  <c r="XS12" i="21"/>
  <c r="YA41" i="21"/>
  <c r="YA30" i="21"/>
  <c r="ZU41" i="21"/>
  <c r="ZU30" i="21"/>
  <c r="BI16" i="21"/>
  <c r="TD16" i="21"/>
  <c r="DK17" i="21"/>
  <c r="DI17" i="21" s="1"/>
  <c r="EZ17" i="21"/>
  <c r="KR18" i="21"/>
  <c r="SP18" i="21"/>
  <c r="XT18" i="21"/>
  <c r="XR18" i="21" s="1"/>
  <c r="KR19" i="21"/>
  <c r="LC19" i="21"/>
  <c r="LN19" i="21"/>
  <c r="PZ14" i="21"/>
  <c r="QG14" i="21"/>
  <c r="XU14" i="21"/>
  <c r="XU41" i="21" s="1"/>
  <c r="AV22" i="21"/>
  <c r="HW22" i="21"/>
  <c r="XT23" i="21"/>
  <c r="XR23" i="21" s="1"/>
  <c r="HB25" i="21"/>
  <c r="GZ25" i="21" s="1"/>
  <c r="AD41" i="21"/>
  <c r="CP41" i="21"/>
  <c r="CP30" i="21"/>
  <c r="HZ41" i="21"/>
  <c r="HZ30" i="21"/>
  <c r="PK41" i="21"/>
  <c r="PK30" i="21"/>
  <c r="RR41" i="21"/>
  <c r="RR30" i="21"/>
  <c r="UI41" i="21"/>
  <c r="UI30" i="21"/>
  <c r="WA41" i="21"/>
  <c r="WA30" i="21"/>
  <c r="ZT41" i="21"/>
  <c r="ZT30" i="21"/>
  <c r="ZP20" i="21"/>
  <c r="ZF20" i="21"/>
  <c r="BJ14" i="21"/>
  <c r="BH14" i="21" s="1"/>
  <c r="RK27" i="21"/>
  <c r="RD27" i="21"/>
  <c r="AR41" i="21"/>
  <c r="AR30" i="21"/>
  <c r="BE41" i="21"/>
  <c r="BE30" i="21"/>
  <c r="BP12" i="21"/>
  <c r="CQ41" i="21"/>
  <c r="CQ30" i="21"/>
  <c r="DO41" i="21"/>
  <c r="DO30" i="21"/>
  <c r="FA41" i="21"/>
  <c r="FA30" i="21"/>
  <c r="GQ41" i="21"/>
  <c r="GQ30" i="21"/>
  <c r="P41" i="21"/>
  <c r="AJ12" i="21"/>
  <c r="AS41" i="21"/>
  <c r="AS30" i="21"/>
  <c r="BF41" i="21"/>
  <c r="BF30" i="21"/>
  <c r="BQ41" i="21"/>
  <c r="BQ30" i="21"/>
  <c r="CR41" i="21"/>
  <c r="CR30" i="21"/>
  <c r="DP41" i="21"/>
  <c r="DP30" i="21"/>
  <c r="EC41" i="21"/>
  <c r="EC30" i="21"/>
  <c r="EP41" i="21"/>
  <c r="EP30" i="21"/>
  <c r="FB41" i="21"/>
  <c r="FB30" i="21"/>
  <c r="GR41" i="21"/>
  <c r="GR30" i="21"/>
  <c r="HD12" i="21"/>
  <c r="HR41" i="21"/>
  <c r="HR30" i="21"/>
  <c r="IX12" i="21"/>
  <c r="KD41" i="21"/>
  <c r="KD30" i="21"/>
  <c r="LF41" i="21"/>
  <c r="LF30" i="21"/>
  <c r="MW41" i="21"/>
  <c r="NL41" i="21"/>
  <c r="NL30" i="21"/>
  <c r="NV12" i="21"/>
  <c r="OF41" i="21"/>
  <c r="OF30" i="21"/>
  <c r="OT41" i="21"/>
  <c r="OT30" i="21"/>
  <c r="PE41" i="21"/>
  <c r="PE30" i="21"/>
  <c r="QN41" i="21"/>
  <c r="QN30" i="21"/>
  <c r="QZ41" i="21"/>
  <c r="QZ30" i="21"/>
  <c r="RL12" i="21"/>
  <c r="SF41" i="21"/>
  <c r="SF30" i="21"/>
  <c r="SS41" i="21"/>
  <c r="SS30" i="21"/>
  <c r="TG41" i="21"/>
  <c r="TG30" i="21"/>
  <c r="TU12" i="21"/>
  <c r="UC41" i="21"/>
  <c r="UC30" i="21"/>
  <c r="UK41" i="21"/>
  <c r="UK30" i="21"/>
  <c r="VR41" i="21"/>
  <c r="VR30" i="21"/>
  <c r="WU41" i="21"/>
  <c r="WU30" i="21"/>
  <c r="XG41" i="21"/>
  <c r="XG30" i="21"/>
  <c r="ZE12" i="21"/>
  <c r="ZM41" i="21"/>
  <c r="ZM30" i="21"/>
  <c r="GZ16" i="21"/>
  <c r="LH16" i="21"/>
  <c r="PH16" i="21"/>
  <c r="TS16" i="21"/>
  <c r="VX16" i="21"/>
  <c r="BP17" i="21"/>
  <c r="LV17" i="21"/>
  <c r="VD17" i="21"/>
  <c r="OJ18" i="21"/>
  <c r="PA18" i="21"/>
  <c r="PZ13" i="21"/>
  <c r="QG13" i="21"/>
  <c r="ME19" i="21"/>
  <c r="RK19" i="21"/>
  <c r="RD19" i="21"/>
  <c r="E20" i="21"/>
  <c r="HP20" i="21"/>
  <c r="HW20" i="21"/>
  <c r="ML21" i="21"/>
  <c r="ME21" i="21"/>
  <c r="CN14" i="21"/>
  <c r="ZP14" i="21"/>
  <c r="ZE14" i="21"/>
  <c r="TD22" i="21"/>
  <c r="TU22" i="21"/>
  <c r="BD41" i="21"/>
  <c r="BD30" i="21"/>
  <c r="EA41" i="21"/>
  <c r="EA30" i="21"/>
  <c r="GP41" i="21"/>
  <c r="GP30" i="21"/>
  <c r="JR41" i="21"/>
  <c r="JR30" i="21"/>
  <c r="LY41" i="21"/>
  <c r="LY30" i="21"/>
  <c r="NT41" i="21"/>
  <c r="SQ41" i="21"/>
  <c r="SQ30" i="21"/>
  <c r="XE41" i="21"/>
  <c r="XE30" i="21"/>
  <c r="CI41" i="21"/>
  <c r="CI30" i="21"/>
  <c r="IC41" i="21"/>
  <c r="IC30" i="21"/>
  <c r="KS41" i="21"/>
  <c r="KS30" i="21"/>
  <c r="MX41" i="21"/>
  <c r="MX30" i="21"/>
  <c r="PF41" i="21"/>
  <c r="PF30" i="21"/>
  <c r="RA41" i="21"/>
  <c r="RA30" i="21"/>
  <c r="TH30" i="21"/>
  <c r="TH41" i="21"/>
  <c r="YS41" i="21"/>
  <c r="YS30" i="21"/>
  <c r="FG20" i="21"/>
  <c r="EZ20" i="21"/>
  <c r="ZX14" i="21"/>
  <c r="YX14" i="21"/>
  <c r="DD41" i="21"/>
  <c r="DD30" i="21"/>
  <c r="MU41" i="21"/>
  <c r="MU30" i="21"/>
  <c r="QB41" i="21"/>
  <c r="SD41" i="21"/>
  <c r="TS12" i="21"/>
  <c r="ZK41" i="21"/>
  <c r="ZK30" i="21"/>
  <c r="BR41" i="21"/>
  <c r="BR30" i="21"/>
  <c r="FM41" i="21"/>
  <c r="FM30" i="21"/>
  <c r="HS41" i="21"/>
  <c r="HS30" i="21"/>
  <c r="JK41" i="21"/>
  <c r="JK30" i="21"/>
  <c r="LG41" i="21"/>
  <c r="LG30" i="21"/>
  <c r="MM41" i="21"/>
  <c r="MM30" i="21"/>
  <c r="RW41" i="21"/>
  <c r="RW30" i="21"/>
  <c r="TV12" i="21"/>
  <c r="RD16" i="21"/>
  <c r="RK16" i="21"/>
  <c r="S41" i="21"/>
  <c r="S30" i="21"/>
  <c r="AW41" i="21"/>
  <c r="AW30" i="21"/>
  <c r="BT41" i="21"/>
  <c r="CT41" i="21"/>
  <c r="CT30" i="21"/>
  <c r="DU41" i="21"/>
  <c r="ET12" i="21"/>
  <c r="FN41" i="21"/>
  <c r="FN30" i="21"/>
  <c r="GW41" i="21"/>
  <c r="GW30" i="21"/>
  <c r="IZ41" i="21"/>
  <c r="IZ30" i="21"/>
  <c r="JL41" i="21"/>
  <c r="JL30" i="21"/>
  <c r="LH12" i="21"/>
  <c r="LR41" i="21"/>
  <c r="LR30" i="21"/>
  <c r="MY41" i="21"/>
  <c r="MY30" i="21"/>
  <c r="NX41" i="21"/>
  <c r="NX30" i="21"/>
  <c r="OV41" i="21"/>
  <c r="OV30" i="21"/>
  <c r="QR12" i="21"/>
  <c r="RN41" i="21"/>
  <c r="RN30" i="21"/>
  <c r="SK41" i="21"/>
  <c r="SK30" i="21"/>
  <c r="SU41" i="21"/>
  <c r="SU30" i="21"/>
  <c r="TI41" i="21"/>
  <c r="TI30" i="21"/>
  <c r="UE41" i="21"/>
  <c r="UE30" i="21"/>
  <c r="UM41" i="21"/>
  <c r="UM30" i="21"/>
  <c r="VV41" i="21"/>
  <c r="VV30" i="21"/>
  <c r="WG41" i="21"/>
  <c r="WG30" i="21"/>
  <c r="WY41" i="21"/>
  <c r="WY30" i="21"/>
  <c r="XL41" i="21"/>
  <c r="XL30" i="21"/>
  <c r="YD41" i="21"/>
  <c r="YD30" i="21"/>
  <c r="YT41" i="21"/>
  <c r="YT30" i="21"/>
  <c r="ZG41" i="21"/>
  <c r="ZO41" i="21"/>
  <c r="ZO30" i="21"/>
  <c r="AAC12" i="21"/>
  <c r="XU16" i="21"/>
  <c r="XS16" i="21" s="1"/>
  <c r="BJ17" i="21"/>
  <c r="BH17" i="21" s="1"/>
  <c r="OJ17" i="21"/>
  <c r="PH17" i="21"/>
  <c r="PZ17" i="21"/>
  <c r="TS17" i="21"/>
  <c r="SB13" i="21"/>
  <c r="UF13" i="21"/>
  <c r="HB19" i="21"/>
  <c r="GZ19" i="21" s="1"/>
  <c r="BJ20" i="21"/>
  <c r="BH20" i="21" s="1"/>
  <c r="CN20" i="21"/>
  <c r="IB21" i="21"/>
  <c r="HW21" i="21"/>
  <c r="KR21" i="21"/>
  <c r="LC21" i="21"/>
  <c r="RK21" i="21"/>
  <c r="RD21" i="21"/>
  <c r="HP24" i="21"/>
  <c r="HW24" i="21"/>
  <c r="VD13" i="21"/>
  <c r="F41" i="21"/>
  <c r="F30" i="21"/>
  <c r="AL41" i="21"/>
  <c r="AL30" i="21"/>
  <c r="BI12" i="21"/>
  <c r="CJ41" i="21"/>
  <c r="CJ30" i="21"/>
  <c r="EG41" i="21"/>
  <c r="EG30" i="21"/>
  <c r="HF41" i="21"/>
  <c r="HF30" i="21"/>
  <c r="ID41" i="21"/>
  <c r="ID30" i="21"/>
  <c r="KT41" i="21"/>
  <c r="KT30" i="21"/>
  <c r="MN41" i="21"/>
  <c r="MN30" i="21"/>
  <c r="OK41" i="21"/>
  <c r="OK30" i="21"/>
  <c r="PG41" i="21"/>
  <c r="PG30" i="21"/>
  <c r="QH12" i="21"/>
  <c r="RX41" i="21"/>
  <c r="RX30" i="21"/>
  <c r="H41" i="21"/>
  <c r="H30" i="21"/>
  <c r="T41" i="21"/>
  <c r="AX41" i="21"/>
  <c r="AX30" i="21"/>
  <c r="AZ12" i="21"/>
  <c r="BJ12" i="21"/>
  <c r="BZ41" i="21"/>
  <c r="BZ30" i="21"/>
  <c r="CK41" i="21"/>
  <c r="CK30" i="21"/>
  <c r="CU41" i="21"/>
  <c r="CU30" i="21"/>
  <c r="DV41" i="21"/>
  <c r="DV30" i="21"/>
  <c r="EH41" i="21"/>
  <c r="EH30" i="21"/>
  <c r="EU41" i="21"/>
  <c r="EU30" i="21"/>
  <c r="FG12" i="21"/>
  <c r="FO41" i="21"/>
  <c r="FO30" i="21"/>
  <c r="GA41" i="21"/>
  <c r="GA30" i="21"/>
  <c r="GX41" i="21"/>
  <c r="GX30" i="21"/>
  <c r="HG41" i="21"/>
  <c r="HG30" i="21"/>
  <c r="HW12" i="21"/>
  <c r="IE41" i="21"/>
  <c r="IE30" i="21"/>
  <c r="JA41" i="21"/>
  <c r="JA30" i="21"/>
  <c r="JM41" i="21"/>
  <c r="JM30" i="21"/>
  <c r="JY12" i="21"/>
  <c r="KI41" i="21"/>
  <c r="KI30" i="21"/>
  <c r="KW41" i="21"/>
  <c r="KW30" i="21"/>
  <c r="LI41" i="21"/>
  <c r="LI30" i="21"/>
  <c r="LV12" i="21"/>
  <c r="MO41" i="21"/>
  <c r="MO30" i="21"/>
  <c r="MZ41" i="21"/>
  <c r="MZ30" i="21"/>
  <c r="NQ12" i="21"/>
  <c r="NY41" i="21"/>
  <c r="OL41" i="21"/>
  <c r="OL30" i="21"/>
  <c r="PH12" i="21"/>
  <c r="PU30" i="21"/>
  <c r="PU40" i="21" s="1"/>
  <c r="QI12" i="21"/>
  <c r="QS41" i="21"/>
  <c r="QS30" i="21"/>
  <c r="RE41" i="21"/>
  <c r="RE30" i="21"/>
  <c r="RO41" i="21"/>
  <c r="RO30" i="21"/>
  <c r="RY41" i="21"/>
  <c r="RY30" i="21"/>
  <c r="SL41" i="21"/>
  <c r="SL30" i="21"/>
  <c r="SV41" i="21"/>
  <c r="SV30" i="21"/>
  <c r="TJ41" i="21"/>
  <c r="TJ30" i="21"/>
  <c r="TX12" i="21"/>
  <c r="UF12" i="21"/>
  <c r="VJ41" i="21"/>
  <c r="VJ30" i="21"/>
  <c r="VX12" i="21"/>
  <c r="WZ41" i="21"/>
  <c r="WZ30" i="21"/>
  <c r="XN12" i="21"/>
  <c r="XW41" i="21"/>
  <c r="XW30" i="21"/>
  <c r="YE41" i="21"/>
  <c r="YE30" i="21"/>
  <c r="YU41" i="21"/>
  <c r="ZH12" i="21"/>
  <c r="ZP12" i="21"/>
  <c r="AAH41" i="21"/>
  <c r="AAH30" i="21"/>
  <c r="E16" i="21"/>
  <c r="ET16" i="21"/>
  <c r="QR16" i="21"/>
  <c r="PA17" i="21"/>
  <c r="QG17" i="21"/>
  <c r="TD17" i="21"/>
  <c r="ZE17" i="21"/>
  <c r="CD18" i="21"/>
  <c r="DK13" i="21"/>
  <c r="PB13" i="21"/>
  <c r="DK20" i="21"/>
  <c r="DK24" i="21"/>
  <c r="DI24" i="21" s="1"/>
  <c r="XS22" i="21"/>
  <c r="BK24" i="21"/>
  <c r="BI24" i="21" s="1"/>
  <c r="HB24" i="21"/>
  <c r="EF25" i="21"/>
  <c r="VX25" i="21"/>
  <c r="YZ41" i="21"/>
  <c r="RV21" i="21"/>
  <c r="DK14" i="21"/>
  <c r="DI14" i="21" s="1"/>
  <c r="TY14" i="21"/>
  <c r="EZ22" i="21"/>
  <c r="FH22" i="21"/>
  <c r="HP22" i="21"/>
  <c r="HX22" i="21"/>
  <c r="SP22" i="21"/>
  <c r="MG23" i="21"/>
  <c r="XU23" i="21"/>
  <c r="XS23" i="21" s="1"/>
  <c r="WR24" i="21"/>
  <c r="YX24" i="21"/>
  <c r="ZX24" i="21"/>
  <c r="CD25" i="21"/>
  <c r="IX25" i="21"/>
  <c r="PH15" i="21"/>
  <c r="PA15" i="21"/>
  <c r="RK15" i="21"/>
  <c r="AV17" i="21"/>
  <c r="HA18" i="21"/>
  <c r="TD18" i="21"/>
  <c r="NS20" i="21"/>
  <c r="QL20" i="21"/>
  <c r="TD20" i="21"/>
  <c r="UF20" i="21"/>
  <c r="FX21" i="21"/>
  <c r="LN21" i="21"/>
  <c r="J14" i="21"/>
  <c r="E14" i="21"/>
  <c r="MH14" i="21"/>
  <c r="RL14" i="21"/>
  <c r="ML22" i="21"/>
  <c r="PD22" i="21"/>
  <c r="ZX22" i="21"/>
  <c r="LH23" i="21"/>
  <c r="PH23" i="21"/>
  <c r="TT23" i="21"/>
  <c r="KI20" i="5" s="1"/>
  <c r="ZP23" i="21"/>
  <c r="EZ24" i="21"/>
  <c r="FG24" i="21"/>
  <c r="FL25" i="21"/>
  <c r="UF25" i="21"/>
  <c r="YX25" i="21"/>
  <c r="ZX25" i="21"/>
  <c r="OJ15" i="21"/>
  <c r="HB26" i="21"/>
  <c r="GZ26" i="21" s="1"/>
  <c r="ZX13" i="21"/>
  <c r="TD19" i="21"/>
  <c r="SP20" i="21"/>
  <c r="HC21" i="21"/>
  <c r="HA21" i="21" s="1"/>
  <c r="SP21" i="21"/>
  <c r="CN22" i="21"/>
  <c r="OJ23" i="21"/>
  <c r="RD23" i="21"/>
  <c r="RK23" i="21"/>
  <c r="CH25" i="21"/>
  <c r="KR25" i="21"/>
  <c r="TD25" i="21"/>
  <c r="TT25" i="21"/>
  <c r="KI22" i="5" s="1"/>
  <c r="XT15" i="21"/>
  <c r="XR15" i="21" s="1"/>
  <c r="HA20" i="21"/>
  <c r="HY20" i="21"/>
  <c r="MT20" i="21"/>
  <c r="FL21" i="21"/>
  <c r="HD21" i="21"/>
  <c r="NV21" i="21"/>
  <c r="TY21" i="21"/>
  <c r="XT21" i="21"/>
  <c r="XR21" i="21" s="1"/>
  <c r="LV14" i="21"/>
  <c r="PB14" i="21"/>
  <c r="LN22" i="21"/>
  <c r="OR22" i="21"/>
  <c r="QX22" i="21"/>
  <c r="LD23" i="21"/>
  <c r="EN24" i="21"/>
  <c r="ML24" i="21"/>
  <c r="OR24" i="21"/>
  <c r="QG24" i="21"/>
  <c r="XT24" i="21"/>
  <c r="XR24" i="21" s="1"/>
  <c r="HD25" i="21"/>
  <c r="XT27" i="21"/>
  <c r="XR27" i="21" s="1"/>
  <c r="JN40" i="21"/>
  <c r="JN37" i="21"/>
  <c r="PZ20" i="21"/>
  <c r="QH20" i="21"/>
  <c r="TY20" i="21"/>
  <c r="MT21" i="21"/>
  <c r="YR21" i="21"/>
  <c r="UF22" i="21"/>
  <c r="LN24" i="21"/>
  <c r="AV25" i="21"/>
  <c r="BJ25" i="21"/>
  <c r="BH25" i="21" s="1"/>
  <c r="LC15" i="21"/>
  <c r="LH15" i="21"/>
  <c r="J29" i="21"/>
  <c r="AAP41" i="21"/>
  <c r="AAP30" i="21"/>
  <c r="ZX16" i="21"/>
  <c r="E18" i="21"/>
  <c r="BP21" i="21"/>
  <c r="CH21" i="21"/>
  <c r="DB14" i="21"/>
  <c r="HB14" i="21"/>
  <c r="GZ14" i="21" s="1"/>
  <c r="OB14" i="21"/>
  <c r="SB14" i="21"/>
  <c r="VD14" i="21"/>
  <c r="BP22" i="21"/>
  <c r="RM23" i="21"/>
  <c r="TY25" i="21"/>
  <c r="BP29" i="21"/>
  <c r="CC37" i="21"/>
  <c r="CC40" i="21"/>
  <c r="PO40" i="21"/>
  <c r="PO37" i="21"/>
  <c r="AP32" i="21"/>
  <c r="AR34" i="21"/>
  <c r="AR42" i="21" s="1"/>
  <c r="EW34" i="21"/>
  <c r="EW42" i="21" s="1"/>
  <c r="SP25" i="21"/>
  <c r="EF15" i="21"/>
  <c r="FI26" i="21"/>
  <c r="OB26" i="21"/>
  <c r="YX26" i="21"/>
  <c r="ZX26" i="21"/>
  <c r="AV27" i="21"/>
  <c r="CH27" i="21"/>
  <c r="FL27" i="21"/>
  <c r="SP27" i="21"/>
  <c r="BJ28" i="21"/>
  <c r="BH28" i="21" s="1"/>
  <c r="OB28" i="21"/>
  <c r="MH29" i="21"/>
  <c r="OJ29" i="21"/>
  <c r="KY37" i="21"/>
  <c r="KY40" i="21"/>
  <c r="HA25" i="21"/>
  <c r="LC25" i="21"/>
  <c r="QX25" i="21"/>
  <c r="JJ15" i="21"/>
  <c r="ML15" i="21"/>
  <c r="RV15" i="21"/>
  <c r="E26" i="21"/>
  <c r="TD26" i="21"/>
  <c r="UF26" i="21"/>
  <c r="ZP26" i="21"/>
  <c r="DA37" i="21"/>
  <c r="DA47" i="21" s="1"/>
  <c r="DA40" i="21"/>
  <c r="KO40" i="21"/>
  <c r="KO37" i="21"/>
  <c r="NF40" i="21"/>
  <c r="NF37" i="21"/>
  <c r="NF47" i="21" s="1"/>
  <c r="TD21" i="21"/>
  <c r="RP22" i="21"/>
  <c r="QL25" i="21"/>
  <c r="AJ15" i="21"/>
  <c r="AV15" i="21"/>
  <c r="CH15" i="21"/>
  <c r="FX15" i="21"/>
  <c r="IX15" i="21"/>
  <c r="DB26" i="21"/>
  <c r="HP26" i="21"/>
  <c r="JP26" i="21"/>
  <c r="SP26" i="21"/>
  <c r="TY26" i="21"/>
  <c r="EF27" i="21"/>
  <c r="IX27" i="21"/>
  <c r="LV28" i="21"/>
  <c r="MH28" i="21"/>
  <c r="RP28" i="21"/>
  <c r="RK28" i="21"/>
  <c r="AY37" i="21"/>
  <c r="AY40" i="21"/>
  <c r="TC37" i="21"/>
  <c r="TC40" i="21"/>
  <c r="XI40" i="21"/>
  <c r="XI37" i="21"/>
  <c r="XI47" i="21" s="1"/>
  <c r="AAK40" i="21"/>
  <c r="AAK37" i="21"/>
  <c r="HC15" i="21"/>
  <c r="HC41" i="21" s="1"/>
  <c r="BJ26" i="21"/>
  <c r="BH26" i="21" s="1"/>
  <c r="PZ28" i="21"/>
  <c r="QG28" i="21"/>
  <c r="FH29" i="21"/>
  <c r="EZ29" i="21"/>
  <c r="EE40" i="21"/>
  <c r="EE37" i="21"/>
  <c r="LM40" i="21"/>
  <c r="LM37" i="21"/>
  <c r="OY37" i="21"/>
  <c r="OY40" i="21"/>
  <c r="RB40" i="21"/>
  <c r="RB37" i="21"/>
  <c r="AAA37" i="21"/>
  <c r="AAA40" i="21"/>
  <c r="WY34" i="21"/>
  <c r="WY42" i="21" s="1"/>
  <c r="WX32" i="21"/>
  <c r="TD24" i="21"/>
  <c r="ZP25" i="21"/>
  <c r="ZH25" i="21"/>
  <c r="YR15" i="21"/>
  <c r="DK26" i="21"/>
  <c r="DI26" i="21" s="1"/>
  <c r="GN26" i="21"/>
  <c r="TV26" i="21"/>
  <c r="HB27" i="21"/>
  <c r="GZ27" i="21" s="1"/>
  <c r="YM40" i="21"/>
  <c r="YM37" i="21"/>
  <c r="QX32" i="21"/>
  <c r="QY34" i="21"/>
  <c r="QY42" i="21" s="1"/>
  <c r="E25" i="21"/>
  <c r="VD25" i="21"/>
  <c r="XT25" i="21"/>
  <c r="XR25" i="21" s="1"/>
  <c r="R15" i="21"/>
  <c r="HD15" i="21"/>
  <c r="SP15" i="21"/>
  <c r="ZX15" i="21"/>
  <c r="YX15" i="21"/>
  <c r="DL26" i="21"/>
  <c r="MH26" i="21"/>
  <c r="MT26" i="21"/>
  <c r="WR26" i="21"/>
  <c r="FX27" i="21"/>
  <c r="HC27" i="21"/>
  <c r="HA27" i="21" s="1"/>
  <c r="KR27" i="21"/>
  <c r="MT27" i="21"/>
  <c r="WX27" i="21"/>
  <c r="FR28" i="21"/>
  <c r="IH28" i="21"/>
  <c r="UF28" i="21"/>
  <c r="VX28" i="21"/>
  <c r="WR28" i="21"/>
  <c r="CA37" i="21"/>
  <c r="CA40" i="21"/>
  <c r="OI40" i="21"/>
  <c r="OI37" i="21"/>
  <c r="OI47" i="21" s="1"/>
  <c r="WV40" i="21"/>
  <c r="WV37" i="21"/>
  <c r="DU34" i="21"/>
  <c r="DU42" i="21" s="1"/>
  <c r="DT32" i="21"/>
  <c r="GN32" i="21"/>
  <c r="IX32" i="21"/>
  <c r="IY34" i="21"/>
  <c r="IY42" i="21" s="1"/>
  <c r="TD15" i="21"/>
  <c r="ZE28" i="21"/>
  <c r="ZP28" i="21"/>
  <c r="AA37" i="21"/>
  <c r="AA40" i="21"/>
  <c r="EY37" i="21"/>
  <c r="EY40" i="21"/>
  <c r="GC40" i="21"/>
  <c r="GC37" i="21"/>
  <c r="GC38" i="21" s="1"/>
  <c r="KQ40" i="21"/>
  <c r="KQ37" i="21"/>
  <c r="MC40" i="21"/>
  <c r="MC37" i="21"/>
  <c r="MS37" i="21"/>
  <c r="MS40" i="21"/>
  <c r="TQ37" i="21"/>
  <c r="TQ40" i="21"/>
  <c r="WC37" i="21"/>
  <c r="WC45" i="21" s="1"/>
  <c r="WC40" i="21"/>
  <c r="RW34" i="21"/>
  <c r="RW42" i="21" s="1"/>
  <c r="RV32" i="21"/>
  <c r="ZG34" i="21"/>
  <c r="ZG42" i="21" s="1"/>
  <c r="ZD32" i="21"/>
  <c r="QG26" i="21"/>
  <c r="ZF26" i="21"/>
  <c r="LC27" i="21"/>
  <c r="TD27" i="21"/>
  <c r="RL28" i="21"/>
  <c r="XT28" i="21"/>
  <c r="XR28" i="21" s="1"/>
  <c r="RD29" i="21"/>
  <c r="RK29" i="21"/>
  <c r="BO40" i="21"/>
  <c r="BO37" i="21"/>
  <c r="CV40" i="21"/>
  <c r="CV37" i="21"/>
  <c r="CV47" i="21" s="1"/>
  <c r="DG37" i="21"/>
  <c r="DG40" i="21"/>
  <c r="IF40" i="21"/>
  <c r="IF37" i="21"/>
  <c r="OO40" i="21"/>
  <c r="OO37" i="21"/>
  <c r="PW37" i="21"/>
  <c r="YO40" i="21"/>
  <c r="YO37" i="21"/>
  <c r="YO47" i="21" s="1"/>
  <c r="AAN40" i="21"/>
  <c r="AAN37" i="21"/>
  <c r="XS15" i="21"/>
  <c r="BI26" i="21"/>
  <c r="DI28" i="21"/>
  <c r="TV28" i="21"/>
  <c r="ZX28" i="21"/>
  <c r="YX28" i="21"/>
  <c r="JC37" i="21"/>
  <c r="JC47" i="21" s="1"/>
  <c r="JC40" i="21"/>
  <c r="KG37" i="21"/>
  <c r="KG40" i="21"/>
  <c r="QQ37" i="21"/>
  <c r="QQ40" i="21"/>
  <c r="RU40" i="21"/>
  <c r="RU37" i="21"/>
  <c r="SX40" i="21"/>
  <c r="SX37" i="21"/>
  <c r="UO37" i="21"/>
  <c r="UO40" i="21"/>
  <c r="WH40" i="21"/>
  <c r="WH37" i="21"/>
  <c r="ZC40" i="21"/>
  <c r="ZC37" i="21"/>
  <c r="DL32" i="21"/>
  <c r="DM34" i="21"/>
  <c r="DM42" i="21" s="1"/>
  <c r="FY34" i="21"/>
  <c r="FY42" i="21" s="1"/>
  <c r="FX32" i="21"/>
  <c r="LL37" i="21"/>
  <c r="SH37" i="21"/>
  <c r="SH47" i="21" s="1"/>
  <c r="HC29" i="21"/>
  <c r="HA29" i="21" s="1"/>
  <c r="HP29" i="21"/>
  <c r="DY37" i="21"/>
  <c r="DY47" i="21" s="1"/>
  <c r="DY40" i="21"/>
  <c r="EM37" i="21"/>
  <c r="EM47" i="21" s="1"/>
  <c r="EM40" i="21"/>
  <c r="HH40" i="21"/>
  <c r="HH37" i="21"/>
  <c r="HH47" i="21" s="1"/>
  <c r="LU37" i="21"/>
  <c r="LU40" i="21"/>
  <c r="OQ40" i="21"/>
  <c r="OQ37" i="21"/>
  <c r="QD40" i="21"/>
  <c r="QD37" i="21"/>
  <c r="E32" i="21"/>
  <c r="AK32" i="21"/>
  <c r="AK34" i="21" s="1"/>
  <c r="AK42" i="21" s="1"/>
  <c r="CO34" i="21"/>
  <c r="CO42" i="21" s="1"/>
  <c r="FG32" i="21"/>
  <c r="FL32" i="21"/>
  <c r="FM34" i="21"/>
  <c r="FM42" i="21" s="1"/>
  <c r="HM34" i="21"/>
  <c r="HM42" i="21" s="1"/>
  <c r="IE34" i="21"/>
  <c r="IE42" i="21" s="1"/>
  <c r="ML34" i="21"/>
  <c r="ML42" i="21" s="1"/>
  <c r="NY34" i="21"/>
  <c r="NY42" i="21" s="1"/>
  <c r="VV34" i="21"/>
  <c r="VV42" i="21" s="1"/>
  <c r="ZJ32" i="21"/>
  <c r="ZJ34" i="21" s="1"/>
  <c r="ZJ42" i="21" s="1"/>
  <c r="MR37" i="21"/>
  <c r="TN37" i="21"/>
  <c r="AAF37" i="21"/>
  <c r="XD28" i="21"/>
  <c r="BK29" i="21"/>
  <c r="BI29" i="21" s="1"/>
  <c r="CN29" i="21"/>
  <c r="DI29" i="21"/>
  <c r="HB29" i="21"/>
  <c r="GZ29" i="21" s="1"/>
  <c r="CY37" i="21"/>
  <c r="CY40" i="21"/>
  <c r="NC40" i="21"/>
  <c r="NC37" i="21"/>
  <c r="NC47" i="21" s="1"/>
  <c r="PM40" i="21"/>
  <c r="PM37" i="21"/>
  <c r="RZ40" i="21"/>
  <c r="RZ37" i="21"/>
  <c r="UQ40" i="21"/>
  <c r="UQ37" i="21"/>
  <c r="VU40" i="21"/>
  <c r="VU37" i="21"/>
  <c r="XQ37" i="21"/>
  <c r="XQ40" i="21"/>
  <c r="EC34" i="21"/>
  <c r="EC42" i="21" s="1"/>
  <c r="HA32" i="21"/>
  <c r="HA34" i="21" s="1"/>
  <c r="HA42" i="21" s="1"/>
  <c r="HC34" i="21"/>
  <c r="HC42" i="21" s="1"/>
  <c r="KM34" i="21"/>
  <c r="KM42" i="21" s="1"/>
  <c r="OC34" i="21"/>
  <c r="OC42" i="21" s="1"/>
  <c r="OB32" i="21"/>
  <c r="ST34" i="21"/>
  <c r="ST42" i="21" s="1"/>
  <c r="XG34" i="21"/>
  <c r="XG42" i="21" s="1"/>
  <c r="XZ34" i="21"/>
  <c r="XZ42" i="21" s="1"/>
  <c r="FJ34" i="21"/>
  <c r="FJ42" i="21" s="1"/>
  <c r="VD28" i="21"/>
  <c r="LC29" i="21"/>
  <c r="LH29" i="21"/>
  <c r="TD29" i="21"/>
  <c r="YX29" i="21"/>
  <c r="ZX29" i="21"/>
  <c r="AI37" i="21"/>
  <c r="AI40" i="21"/>
  <c r="BG40" i="21"/>
  <c r="BG37" i="21"/>
  <c r="DQ37" i="21"/>
  <c r="DQ47" i="21" s="1"/>
  <c r="DQ40" i="21"/>
  <c r="FW37" i="21"/>
  <c r="FW47" i="21" s="1"/>
  <c r="FW40" i="21"/>
  <c r="GU40" i="21"/>
  <c r="GU37" i="21"/>
  <c r="HK40" i="21"/>
  <c r="HU37" i="21"/>
  <c r="HU40" i="21"/>
  <c r="JI37" i="21"/>
  <c r="JI47" i="21" s="1"/>
  <c r="JI40" i="21"/>
  <c r="OG37" i="21"/>
  <c r="OG47" i="21" s="1"/>
  <c r="OG40" i="21"/>
  <c r="OW40" i="21"/>
  <c r="OW37" i="21"/>
  <c r="QW37" i="21"/>
  <c r="QW47" i="21" s="1"/>
  <c r="QW40" i="21"/>
  <c r="TA37" i="21"/>
  <c r="TA40" i="21"/>
  <c r="VW40" i="21"/>
  <c r="VW37" i="21"/>
  <c r="YJ40" i="21"/>
  <c r="YJ37" i="21"/>
  <c r="AAS37" i="21"/>
  <c r="AAS40" i="21"/>
  <c r="EG34" i="21"/>
  <c r="EG42" i="21" s="1"/>
  <c r="EF32" i="21"/>
  <c r="HE34" i="21"/>
  <c r="HE42" i="21" s="1"/>
  <c r="HD32" i="21"/>
  <c r="JJ32" i="21"/>
  <c r="JK34" i="21"/>
  <c r="JK42" i="21" s="1"/>
  <c r="LO34" i="21"/>
  <c r="LO42" i="21" s="1"/>
  <c r="LN32" i="21"/>
  <c r="MT32" i="21"/>
  <c r="SE34" i="21"/>
  <c r="SE42" i="21" s="1"/>
  <c r="WU34" i="21"/>
  <c r="WU42" i="21" s="1"/>
  <c r="XK34" i="21"/>
  <c r="XK42" i="21" s="1"/>
  <c r="XJ32" i="21"/>
  <c r="G40" i="21"/>
  <c r="G37" i="21"/>
  <c r="DX40" i="21"/>
  <c r="DX37" i="21"/>
  <c r="DX47" i="21" s="1"/>
  <c r="EX37" i="21"/>
  <c r="EX40" i="21"/>
  <c r="FV37" i="21"/>
  <c r="FV47" i="21" s="1"/>
  <c r="FV40" i="21"/>
  <c r="HL40" i="21"/>
  <c r="HT37" i="21"/>
  <c r="HT40" i="21"/>
  <c r="JB40" i="21"/>
  <c r="JB37" i="21"/>
  <c r="JB47" i="21" s="1"/>
  <c r="KP40" i="21"/>
  <c r="KP37" i="21"/>
  <c r="KX40" i="21"/>
  <c r="KX37" i="21"/>
  <c r="OH37" i="21"/>
  <c r="OH47" i="21" s="1"/>
  <c r="OH40" i="21"/>
  <c r="OP40" i="21"/>
  <c r="OP37" i="21"/>
  <c r="OX37" i="21"/>
  <c r="OX40" i="21"/>
  <c r="PN37" i="21"/>
  <c r="PN40" i="21"/>
  <c r="QP40" i="21"/>
  <c r="QP37" i="21"/>
  <c r="TB37" i="21"/>
  <c r="TB40" i="21"/>
  <c r="UP37" i="21"/>
  <c r="UP40" i="21"/>
  <c r="XH40" i="21"/>
  <c r="XH37" i="21"/>
  <c r="YN37" i="21"/>
  <c r="YN40" i="21"/>
  <c r="AAJ40" i="21"/>
  <c r="AAJ37" i="21"/>
  <c r="HN37" i="21"/>
  <c r="TP37" i="21"/>
  <c r="XB37" i="21"/>
  <c r="IM40" i="21"/>
  <c r="RI40" i="21"/>
  <c r="E29" i="21"/>
  <c r="AV29" i="21"/>
  <c r="QG29" i="21"/>
  <c r="XU29" i="21"/>
  <c r="XS29" i="21" s="1"/>
  <c r="Q40" i="21"/>
  <c r="AB40" i="21"/>
  <c r="AB37" i="21"/>
  <c r="AT40" i="21"/>
  <c r="AT37" i="21"/>
  <c r="AT47" i="21" s="1"/>
  <c r="CL40" i="21"/>
  <c r="CL37" i="21"/>
  <c r="CL47" i="21" s="1"/>
  <c r="DR40" i="21"/>
  <c r="DR37" i="21"/>
  <c r="DR47" i="21" s="1"/>
  <c r="FP40" i="21"/>
  <c r="FP37" i="21"/>
  <c r="IL40" i="21"/>
  <c r="IL37" i="21"/>
  <c r="ND40" i="21"/>
  <c r="ND37" i="21"/>
  <c r="ND47" i="21" s="1"/>
  <c r="TL40" i="21"/>
  <c r="TL37" i="21"/>
  <c r="UR40" i="21"/>
  <c r="UR37" i="21"/>
  <c r="YP40" i="21"/>
  <c r="YP37" i="21"/>
  <c r="YP47" i="21" s="1"/>
  <c r="AAD40" i="21"/>
  <c r="AAD37" i="21"/>
  <c r="AAL40" i="21"/>
  <c r="AAL37" i="21"/>
  <c r="AAT37" i="21" s="1"/>
  <c r="HV32" i="21"/>
  <c r="IH32" i="21"/>
  <c r="QR32" i="21"/>
  <c r="VX32" i="21"/>
  <c r="VX33" i="21"/>
  <c r="M37" i="21"/>
  <c r="KF40" i="21"/>
  <c r="AC40" i="21"/>
  <c r="AC37" i="21"/>
  <c r="AU40" i="21"/>
  <c r="AU37" i="21"/>
  <c r="BC40" i="21"/>
  <c r="BC37" i="21"/>
  <c r="BS37" i="21"/>
  <c r="BS40" i="21"/>
  <c r="CM40" i="21"/>
  <c r="CM37" i="21"/>
  <c r="CM47" i="21" s="1"/>
  <c r="DS40" i="21"/>
  <c r="DS37" i="21"/>
  <c r="DS47" i="21" s="1"/>
  <c r="FQ40" i="21"/>
  <c r="FQ37" i="21"/>
  <c r="GY40" i="21"/>
  <c r="GY37" i="21"/>
  <c r="JU40" i="21"/>
  <c r="JU37" i="21"/>
  <c r="LA40" i="21"/>
  <c r="LA37" i="21"/>
  <c r="NE37" i="21"/>
  <c r="NE47" i="21" s="1"/>
  <c r="NE40" i="21"/>
  <c r="SG40" i="21"/>
  <c r="SG37" i="21"/>
  <c r="SG47" i="21" s="1"/>
  <c r="SO40" i="21"/>
  <c r="SO37" i="21"/>
  <c r="US40" i="21"/>
  <c r="US37" i="21"/>
  <c r="VQ40" i="21"/>
  <c r="VQ37" i="21"/>
  <c r="VQ38" i="21" s="1"/>
  <c r="XC40" i="21"/>
  <c r="XC37" i="21"/>
  <c r="XK40" i="21"/>
  <c r="YI40" i="21"/>
  <c r="YI37" i="21"/>
  <c r="YI47" i="21" s="1"/>
  <c r="YY40" i="21"/>
  <c r="YY37" i="21"/>
  <c r="AAE37" i="21"/>
  <c r="AAE40" i="21"/>
  <c r="AAM37" i="21"/>
  <c r="AAM40" i="21"/>
  <c r="FL33" i="21"/>
  <c r="O37" i="21"/>
  <c r="EL37" i="21"/>
  <c r="EL47" i="21" s="1"/>
  <c r="SN37" i="21"/>
  <c r="I40" i="21"/>
  <c r="EO34" i="21"/>
  <c r="EO42" i="21" s="1"/>
  <c r="Q37" i="21"/>
  <c r="GT37" i="21"/>
  <c r="GT47" i="21" s="1"/>
  <c r="MB37" i="21"/>
  <c r="WB37" i="21"/>
  <c r="HI40" i="21"/>
  <c r="BM40" i="21"/>
  <c r="BM37" i="21"/>
  <c r="CW40" i="21"/>
  <c r="CW37" i="21"/>
  <c r="CW47" i="21" s="1"/>
  <c r="EK37" i="21"/>
  <c r="EK47" i="21" s="1"/>
  <c r="EK40" i="21"/>
  <c r="GS40" i="21"/>
  <c r="GS37" i="21"/>
  <c r="GS47" i="21" s="1"/>
  <c r="IG40" i="21"/>
  <c r="IG37" i="21"/>
  <c r="JO40" i="21"/>
  <c r="JO37" i="21"/>
  <c r="KU37" i="21"/>
  <c r="KU40" i="21"/>
  <c r="MA40" i="21"/>
  <c r="MA37" i="21"/>
  <c r="LS38" i="21" s="1"/>
  <c r="MQ40" i="21"/>
  <c r="MQ37" i="21"/>
  <c r="NG37" i="21"/>
  <c r="NG40" i="21"/>
  <c r="QE40" i="21"/>
  <c r="QE37" i="21"/>
  <c r="RC40" i="21"/>
  <c r="RC37" i="21"/>
  <c r="SA40" i="21"/>
  <c r="SA37" i="21"/>
  <c r="SI40" i="21"/>
  <c r="SI37" i="21"/>
  <c r="SI47" i="21" s="1"/>
  <c r="SY40" i="21"/>
  <c r="SY37" i="21"/>
  <c r="TO40" i="21"/>
  <c r="TO37" i="21"/>
  <c r="VK40" i="21"/>
  <c r="VK37" i="21"/>
  <c r="VS40" i="21"/>
  <c r="VS37" i="21"/>
  <c r="WI40" i="21"/>
  <c r="WI37" i="21"/>
  <c r="WW40" i="21"/>
  <c r="WW37" i="21"/>
  <c r="XM40" i="21"/>
  <c r="XM37" i="21"/>
  <c r="YK40" i="21"/>
  <c r="YK37" i="21"/>
  <c r="YK47" i="21" s="1"/>
  <c r="ZA40" i="21"/>
  <c r="ZA37" i="21"/>
  <c r="AAG40" i="21"/>
  <c r="AAG37" i="21"/>
  <c r="AAO40" i="21"/>
  <c r="AAO37" i="21"/>
  <c r="OJ32" i="21"/>
  <c r="SP32" i="21"/>
  <c r="DF37" i="21"/>
  <c r="RH37" i="21"/>
  <c r="SZ37" i="21"/>
  <c r="ZZ37" i="21"/>
  <c r="CG40" i="21"/>
  <c r="HO40" i="21"/>
  <c r="TM40" i="21"/>
  <c r="ZW40" i="21"/>
  <c r="U40" i="21"/>
  <c r="U37" i="21"/>
  <c r="CX40" i="21"/>
  <c r="CX37" i="21"/>
  <c r="ED40" i="21"/>
  <c r="ED37" i="21"/>
  <c r="GB40" i="21"/>
  <c r="GB37" i="21"/>
  <c r="GB38" i="21" s="1"/>
  <c r="F65" i="11" s="1"/>
  <c r="JH37" i="21"/>
  <c r="JH47" i="21" s="1"/>
  <c r="JH40" i="21"/>
  <c r="KN40" i="21"/>
  <c r="KN37" i="21"/>
  <c r="KN47" i="21" s="1"/>
  <c r="LT37" i="21"/>
  <c r="LT40" i="21"/>
  <c r="QV40" i="21"/>
  <c r="QV37" i="21"/>
  <c r="QV47" i="21" s="1"/>
  <c r="UN40" i="21"/>
  <c r="UN37" i="21"/>
  <c r="ZB40" i="21"/>
  <c r="ZB37" i="21"/>
  <c r="AH37" i="21"/>
  <c r="KV37" i="21"/>
  <c r="PV37" i="21"/>
  <c r="YH37" i="21"/>
  <c r="YH47" i="21" s="1"/>
  <c r="LS40" i="21"/>
  <c r="HV34" i="21" l="1"/>
  <c r="HV42" i="21" s="1"/>
  <c r="FD40" i="21"/>
  <c r="O38" i="21"/>
  <c r="G38" i="21"/>
  <c r="NB29" i="21"/>
  <c r="OA40" i="21"/>
  <c r="AM37" i="21"/>
  <c r="NU30" i="21"/>
  <c r="NU40" i="21" s="1"/>
  <c r="NB32" i="21"/>
  <c r="NB34" i="21" s="1"/>
  <c r="NB42" i="21" s="1"/>
  <c r="NH34" i="21"/>
  <c r="NH42" i="21" s="1"/>
  <c r="NM30" i="21"/>
  <c r="NM37" i="21" s="1"/>
  <c r="LE41" i="21"/>
  <c r="NT27" i="21"/>
  <c r="NS27" i="21" s="1"/>
  <c r="NY30" i="21"/>
  <c r="NY40" i="21" s="1"/>
  <c r="VS38" i="21"/>
  <c r="F12" i="10"/>
  <c r="F11" i="10" s="1"/>
  <c r="TC38" i="21"/>
  <c r="TC47" i="21" s="1"/>
  <c r="AK30" i="21"/>
  <c r="AK40" i="21" s="1"/>
  <c r="WW45" i="21"/>
  <c r="WV45" i="21" s="1"/>
  <c r="WV47" i="21" s="1"/>
  <c r="TB38" i="21"/>
  <c r="TB47" i="21" s="1"/>
  <c r="NB28" i="21"/>
  <c r="NB15" i="21"/>
  <c r="NB13" i="21"/>
  <c r="NB16" i="21"/>
  <c r="NN37" i="21"/>
  <c r="HO38" i="21"/>
  <c r="HO47" i="21" s="1"/>
  <c r="LU38" i="21"/>
  <c r="LU47" i="21" s="1"/>
  <c r="NO37" i="21"/>
  <c r="NZ30" i="21"/>
  <c r="NZ40" i="21" s="1"/>
  <c r="NI40" i="21"/>
  <c r="OQ38" i="21"/>
  <c r="OQ47" i="21" s="1"/>
  <c r="NH41" i="21"/>
  <c r="QF12" i="21"/>
  <c r="I52" i="9"/>
  <c r="HL37" i="21"/>
  <c r="QF14" i="21"/>
  <c r="ZX27" i="21"/>
  <c r="ZL27" i="21" s="1"/>
  <c r="ZJ27" i="21" s="1"/>
  <c r="NT21" i="21"/>
  <c r="NB22" i="21"/>
  <c r="NB19" i="21"/>
  <c r="NB25" i="21"/>
  <c r="NB23" i="21"/>
  <c r="NB14" i="21"/>
  <c r="RM41" i="21"/>
  <c r="LT38" i="21"/>
  <c r="LT47" i="21" s="1"/>
  <c r="XS14" i="21"/>
  <c r="XS30" i="21" s="1"/>
  <c r="OO38" i="21"/>
  <c r="OO47" i="21" s="1"/>
  <c r="LE30" i="21"/>
  <c r="LE40" i="21" s="1"/>
  <c r="HY41" i="21"/>
  <c r="AAU37" i="21"/>
  <c r="DK41" i="21"/>
  <c r="AAB41" i="21"/>
  <c r="BM38" i="21"/>
  <c r="BM46" i="21" s="1"/>
  <c r="AAB30" i="21"/>
  <c r="PD41" i="21"/>
  <c r="NI37" i="21"/>
  <c r="FI34" i="21"/>
  <c r="FI42" i="21" s="1"/>
  <c r="KP38" i="21"/>
  <c r="QF17" i="21"/>
  <c r="DI13" i="21"/>
  <c r="DI41" i="21" s="1"/>
  <c r="JN38" i="21"/>
  <c r="JN47" i="21" s="1"/>
  <c r="GB47" i="21"/>
  <c r="PV38" i="21"/>
  <c r="PV47" i="21" s="1"/>
  <c r="YX20" i="21"/>
  <c r="RM30" i="21"/>
  <c r="IL38" i="21"/>
  <c r="F69" i="11"/>
  <c r="GC47" i="21"/>
  <c r="C32" i="15"/>
  <c r="RB38" i="21"/>
  <c r="HY30" i="21"/>
  <c r="HY37" i="21" s="1"/>
  <c r="DK30" i="21"/>
  <c r="DK37" i="21" s="1"/>
  <c r="XU30" i="21"/>
  <c r="XU40" i="21" s="1"/>
  <c r="IM38" i="21"/>
  <c r="IM47" i="21" s="1"/>
  <c r="E51" i="21"/>
  <c r="NS41" i="21"/>
  <c r="JO38" i="21"/>
  <c r="JO47" i="21" s="1"/>
  <c r="FF16" i="21"/>
  <c r="QF20" i="21"/>
  <c r="LB24" i="21"/>
  <c r="LB22" i="21"/>
  <c r="OZ12" i="21"/>
  <c r="XC45" i="21"/>
  <c r="XB45" i="21" s="1"/>
  <c r="XB47" i="21" s="1"/>
  <c r="OZ13" i="21"/>
  <c r="NP28" i="21"/>
  <c r="ZL23" i="21"/>
  <c r="ZJ23" i="21" s="1"/>
  <c r="OZ26" i="21"/>
  <c r="ZX18" i="21"/>
  <c r="ZV18" i="21" s="1"/>
  <c r="QF28" i="21"/>
  <c r="OZ14" i="21"/>
  <c r="NH30" i="21"/>
  <c r="NB24" i="21"/>
  <c r="NB27" i="21"/>
  <c r="WR34" i="21"/>
  <c r="WR42" i="21" s="1"/>
  <c r="NB26" i="21"/>
  <c r="ZV20" i="21"/>
  <c r="ZL20" i="21"/>
  <c r="ZJ20" i="21" s="1"/>
  <c r="MD15" i="21"/>
  <c r="QF24" i="21"/>
  <c r="FF14" i="21"/>
  <c r="LB29" i="21"/>
  <c r="JV28" i="21"/>
  <c r="LN34" i="21"/>
  <c r="LN42" i="21" s="1"/>
  <c r="HV18" i="21"/>
  <c r="RJ17" i="21"/>
  <c r="OZ28" i="21"/>
  <c r="NP15" i="21"/>
  <c r="QF22" i="21"/>
  <c r="FF27" i="21"/>
  <c r="AP34" i="21"/>
  <c r="AP42" i="21" s="1"/>
  <c r="FF13" i="21"/>
  <c r="FF20" i="21"/>
  <c r="MD16" i="21"/>
  <c r="RJ27" i="21"/>
  <c r="BH15" i="21"/>
  <c r="YG14" i="21"/>
  <c r="WK14" i="21" s="1"/>
  <c r="YL41" i="21"/>
  <c r="YG15" i="21"/>
  <c r="WK15" i="21" s="1"/>
  <c r="RV41" i="21"/>
  <c r="AJ34" i="21"/>
  <c r="AJ42" i="21" s="1"/>
  <c r="YG18" i="21"/>
  <c r="WK18" i="21" s="1"/>
  <c r="NP20" i="21"/>
  <c r="VD34" i="21"/>
  <c r="VD42" i="21" s="1"/>
  <c r="RJ22" i="21"/>
  <c r="JV18" i="21"/>
  <c r="HV14" i="21"/>
  <c r="RJ16" i="21"/>
  <c r="YG16" i="21"/>
  <c r="WK16" i="21" s="1"/>
  <c r="NP18" i="21"/>
  <c r="JV22" i="21"/>
  <c r="JV21" i="21"/>
  <c r="RJ21" i="21"/>
  <c r="LB21" i="21"/>
  <c r="FR34" i="21"/>
  <c r="FR42" i="21" s="1"/>
  <c r="LB13" i="21"/>
  <c r="FF23" i="21"/>
  <c r="JV25" i="21"/>
  <c r="LB28" i="21"/>
  <c r="KB41" i="21"/>
  <c r="NP16" i="21"/>
  <c r="JV20" i="21"/>
  <c r="LB18" i="21"/>
  <c r="MD18" i="21"/>
  <c r="MD28" i="21"/>
  <c r="PC41" i="21"/>
  <c r="NP21" i="21"/>
  <c r="FF25" i="21"/>
  <c r="BC38" i="21"/>
  <c r="BC47" i="21" s="1"/>
  <c r="RJ12" i="21"/>
  <c r="FF29" i="21"/>
  <c r="NP26" i="21"/>
  <c r="FF26" i="21"/>
  <c r="JV16" i="21"/>
  <c r="JV13" i="21"/>
  <c r="QF29" i="21"/>
  <c r="EY38" i="21"/>
  <c r="EY47" i="21" s="1"/>
  <c r="LB15" i="21"/>
  <c r="OZ24" i="21"/>
  <c r="HV29" i="21"/>
  <c r="RV34" i="21"/>
  <c r="RV42" i="21" s="1"/>
  <c r="DH15" i="21"/>
  <c r="CY38" i="21"/>
  <c r="CY47" i="21" s="1"/>
  <c r="LB27" i="21"/>
  <c r="ML41" i="21"/>
  <c r="PD30" i="21"/>
  <c r="PD40" i="21" s="1"/>
  <c r="HV19" i="21"/>
  <c r="YG17" i="21"/>
  <c r="WK17" i="21" s="1"/>
  <c r="HV21" i="21"/>
  <c r="EF34" i="21"/>
  <c r="EF42" i="21" s="1"/>
  <c r="QF26" i="21"/>
  <c r="FF22" i="21"/>
  <c r="MD19" i="21"/>
  <c r="HV28" i="21"/>
  <c r="HV17" i="21"/>
  <c r="OZ18" i="21"/>
  <c r="YX41" i="21"/>
  <c r="ZD34" i="21"/>
  <c r="ZD42" i="21" s="1"/>
  <c r="LB16" i="21"/>
  <c r="RJ24" i="21"/>
  <c r="QF27" i="21"/>
  <c r="ZD21" i="21"/>
  <c r="ZD15" i="21"/>
  <c r="MD14" i="21"/>
  <c r="TR14" i="21"/>
  <c r="OZ25" i="21"/>
  <c r="TR29" i="21"/>
  <c r="JJ34" i="21"/>
  <c r="JJ42" i="21" s="1"/>
  <c r="LB23" i="21"/>
  <c r="FF15" i="21"/>
  <c r="MD13" i="21"/>
  <c r="DZ41" i="21"/>
  <c r="JV15" i="21"/>
  <c r="RJ26" i="21"/>
  <c r="GN41" i="21"/>
  <c r="MG41" i="21"/>
  <c r="ZI41" i="21"/>
  <c r="ZD16" i="21"/>
  <c r="LB25" i="21"/>
  <c r="JW41" i="21"/>
  <c r="NR41" i="21"/>
  <c r="OZ19" i="21"/>
  <c r="RJ25" i="21"/>
  <c r="JV24" i="21"/>
  <c r="HX41" i="21"/>
  <c r="RJ23" i="21"/>
  <c r="OZ17" i="21"/>
  <c r="RJ19" i="21"/>
  <c r="FF28" i="21"/>
  <c r="IB41" i="21"/>
  <c r="EZ41" i="21"/>
  <c r="MD29" i="21"/>
  <c r="FL41" i="21"/>
  <c r="RJ29" i="21"/>
  <c r="JV29" i="21"/>
  <c r="YG25" i="21"/>
  <c r="WK25" i="21" s="1"/>
  <c r="HV16" i="21"/>
  <c r="QX34" i="21"/>
  <c r="QX42" i="21" s="1"/>
  <c r="NP24" i="21"/>
  <c r="OZ20" i="21"/>
  <c r="ME41" i="21"/>
  <c r="JV23" i="21"/>
  <c r="QF21" i="21"/>
  <c r="HV15" i="21"/>
  <c r="OZ16" i="21"/>
  <c r="OZ22" i="21"/>
  <c r="NP13" i="21"/>
  <c r="JV12" i="21"/>
  <c r="NP14" i="21"/>
  <c r="OR41" i="21"/>
  <c r="CH41" i="21"/>
  <c r="RP41" i="21"/>
  <c r="TR21" i="21"/>
  <c r="QX41" i="21"/>
  <c r="DL34" i="21"/>
  <c r="DL42" i="21" s="1"/>
  <c r="HV24" i="21"/>
  <c r="DL41" i="21"/>
  <c r="MD26" i="21"/>
  <c r="LD41" i="21"/>
  <c r="TW41" i="21"/>
  <c r="TR16" i="21"/>
  <c r="LB19" i="21"/>
  <c r="QF15" i="21"/>
  <c r="WX41" i="21"/>
  <c r="JV26" i="21"/>
  <c r="RJ14" i="21"/>
  <c r="ZD24" i="21"/>
  <c r="JV27" i="21"/>
  <c r="TR13" i="21"/>
  <c r="YG27" i="21"/>
  <c r="WK27" i="21" s="1"/>
  <c r="YG20" i="21"/>
  <c r="MD20" i="21"/>
  <c r="MF41" i="21"/>
  <c r="JV17" i="21"/>
  <c r="LB14" i="21"/>
  <c r="QL41" i="21"/>
  <c r="DH25" i="21"/>
  <c r="FF18" i="21"/>
  <c r="FH41" i="21"/>
  <c r="QF13" i="21"/>
  <c r="MD12" i="21"/>
  <c r="NP22" i="21"/>
  <c r="AV41" i="21"/>
  <c r="HV20" i="21"/>
  <c r="TR24" i="21"/>
  <c r="TR28" i="21"/>
  <c r="RJ15" i="21"/>
  <c r="LB17" i="21"/>
  <c r="NP29" i="21"/>
  <c r="HV13" i="21"/>
  <c r="MT34" i="21"/>
  <c r="MT42" i="21" s="1"/>
  <c r="OZ15" i="21"/>
  <c r="TR15" i="21"/>
  <c r="KR41" i="21"/>
  <c r="QF18" i="21"/>
  <c r="R34" i="21"/>
  <c r="R42" i="21" s="1"/>
  <c r="OZ21" i="21"/>
  <c r="JX41" i="21"/>
  <c r="MD17" i="21"/>
  <c r="TR20" i="21"/>
  <c r="FF17" i="21"/>
  <c r="NP25" i="21"/>
  <c r="TW30" i="21"/>
  <c r="NP17" i="21"/>
  <c r="MT41" i="21"/>
  <c r="EN34" i="21"/>
  <c r="EN42" i="21" s="1"/>
  <c r="DT41" i="21"/>
  <c r="HP41" i="21"/>
  <c r="YG23" i="21"/>
  <c r="WK23" i="21" s="1"/>
  <c r="WX34" i="21"/>
  <c r="WX42" i="21" s="1"/>
  <c r="XD34" i="21"/>
  <c r="XD42" i="21" s="1"/>
  <c r="FX34" i="21"/>
  <c r="FX42" i="21" s="1"/>
  <c r="MD23" i="21"/>
  <c r="DZ34" i="21"/>
  <c r="DZ42" i="21" s="1"/>
  <c r="ZI30" i="21"/>
  <c r="ZI37" i="21" s="1"/>
  <c r="EN30" i="21"/>
  <c r="TR22" i="21"/>
  <c r="LB26" i="21"/>
  <c r="IH34" i="21"/>
  <c r="IH42" i="21" s="1"/>
  <c r="IX34" i="21"/>
  <c r="IX42" i="21" s="1"/>
  <c r="SJ41" i="21"/>
  <c r="PZ41" i="21"/>
  <c r="CH34" i="21"/>
  <c r="CH42" i="21" s="1"/>
  <c r="TR19" i="21"/>
  <c r="NP27" i="21"/>
  <c r="JV19" i="21"/>
  <c r="SP34" i="21"/>
  <c r="SP42" i="21" s="1"/>
  <c r="HD34" i="21"/>
  <c r="HD42" i="21" s="1"/>
  <c r="OJ41" i="21"/>
  <c r="HX30" i="21"/>
  <c r="ZD14" i="21"/>
  <c r="YL30" i="21"/>
  <c r="YG12" i="21"/>
  <c r="WK12" i="21" s="1"/>
  <c r="XD41" i="21"/>
  <c r="TR27" i="21"/>
  <c r="MD24" i="21"/>
  <c r="JP41" i="21"/>
  <c r="TR17" i="21"/>
  <c r="EN41" i="21"/>
  <c r="IH41" i="21"/>
  <c r="MD22" i="21"/>
  <c r="TR18" i="21"/>
  <c r="YG26" i="21"/>
  <c r="WK26" i="21" s="1"/>
  <c r="DT34" i="21"/>
  <c r="DT42" i="21" s="1"/>
  <c r="TR23" i="21"/>
  <c r="ZD13" i="21"/>
  <c r="FF21" i="21"/>
  <c r="YG24" i="21"/>
  <c r="WK24" i="21" s="1"/>
  <c r="HJ34" i="21"/>
  <c r="HJ42" i="21" s="1"/>
  <c r="YG19" i="21"/>
  <c r="YG29" i="21"/>
  <c r="WK29" i="21" s="1"/>
  <c r="OB34" i="21"/>
  <c r="OB42" i="21" s="1"/>
  <c r="KR30" i="21"/>
  <c r="KR37" i="21" s="1"/>
  <c r="ET34" i="21"/>
  <c r="ET42" i="21" s="1"/>
  <c r="DZ30" i="21"/>
  <c r="YG22" i="21"/>
  <c r="WK22" i="21" s="1"/>
  <c r="HV27" i="21"/>
  <c r="ZD28" i="21"/>
  <c r="QX30" i="21"/>
  <c r="MD21" i="21"/>
  <c r="SJ34" i="21"/>
  <c r="SJ42" i="21" s="1"/>
  <c r="FR41" i="21"/>
  <c r="YG28" i="21"/>
  <c r="WK28" i="21" s="1"/>
  <c r="YG33" i="21"/>
  <c r="WK33" i="21" s="1"/>
  <c r="YG21" i="21"/>
  <c r="YG13" i="21"/>
  <c r="WK13" i="21" s="1"/>
  <c r="IB30" i="21"/>
  <c r="JW30" i="21"/>
  <c r="JW37" i="21" s="1"/>
  <c r="TR25" i="21"/>
  <c r="R41" i="21"/>
  <c r="NJ30" i="21"/>
  <c r="NJ37" i="21" s="1"/>
  <c r="NP19" i="21"/>
  <c r="DB30" i="21"/>
  <c r="DB37" i="21" s="1"/>
  <c r="PB30" i="21"/>
  <c r="PB37" i="21" s="1"/>
  <c r="IH30" i="21"/>
  <c r="NP23" i="21"/>
  <c r="JV14" i="21"/>
  <c r="FR30" i="21"/>
  <c r="FF19" i="21"/>
  <c r="KB30" i="21"/>
  <c r="CH30" i="21"/>
  <c r="NJ41" i="21"/>
  <c r="J34" i="21"/>
  <c r="J42" i="21" s="1"/>
  <c r="CN41" i="21"/>
  <c r="FF24" i="21"/>
  <c r="HB30" i="21"/>
  <c r="HB37" i="21" s="1"/>
  <c r="OJ30" i="21"/>
  <c r="ML30" i="21"/>
  <c r="TR26" i="21"/>
  <c r="ZD19" i="21"/>
  <c r="QF23" i="21"/>
  <c r="TD41" i="21"/>
  <c r="GN30" i="21"/>
  <c r="RJ28" i="21"/>
  <c r="JP30" i="21"/>
  <c r="QL30" i="21"/>
  <c r="RV30" i="21"/>
  <c r="VD30" i="21"/>
  <c r="RJ20" i="21"/>
  <c r="HK37" i="21"/>
  <c r="FL34" i="21"/>
  <c r="FL42" i="21" s="1"/>
  <c r="YR41" i="21"/>
  <c r="OB41" i="21"/>
  <c r="HP30" i="21"/>
  <c r="DL30" i="21"/>
  <c r="LB20" i="21"/>
  <c r="HV22" i="21"/>
  <c r="XD30" i="21"/>
  <c r="DH27" i="21"/>
  <c r="JJ30" i="21"/>
  <c r="EF41" i="21"/>
  <c r="FL30" i="21"/>
  <c r="EZ30" i="21"/>
  <c r="HV26" i="21"/>
  <c r="HV25" i="21"/>
  <c r="HV23" i="21"/>
  <c r="SP30" i="21"/>
  <c r="DJ19" i="21"/>
  <c r="DH19" i="21" s="1"/>
  <c r="TD30" i="21"/>
  <c r="TD37" i="21" s="1"/>
  <c r="XK37" i="21"/>
  <c r="SP41" i="21"/>
  <c r="EF30" i="21"/>
  <c r="RJ13" i="21"/>
  <c r="RJ18" i="21"/>
  <c r="AV30" i="21"/>
  <c r="HB41" i="21"/>
  <c r="JX30" i="21"/>
  <c r="DB41" i="21"/>
  <c r="RM37" i="21"/>
  <c r="SZ47" i="21"/>
  <c r="SZ38" i="21"/>
  <c r="RC47" i="21"/>
  <c r="RC38" i="21"/>
  <c r="OL40" i="21"/>
  <c r="OL37" i="21"/>
  <c r="KI37" i="21"/>
  <c r="KI40" i="21"/>
  <c r="FO37" i="21"/>
  <c r="FO40" i="21"/>
  <c r="PG40" i="21"/>
  <c r="PG37" i="21"/>
  <c r="UM40" i="21"/>
  <c r="UM37" i="21"/>
  <c r="QZ40" i="21"/>
  <c r="QZ37" i="21"/>
  <c r="EP40" i="21"/>
  <c r="EP37" i="21"/>
  <c r="VZ40" i="21"/>
  <c r="VZ37" i="21"/>
  <c r="TZ40" i="21"/>
  <c r="TZ37" i="21"/>
  <c r="QU40" i="21"/>
  <c r="QU37" i="21"/>
  <c r="MI37" i="21"/>
  <c r="MI40" i="21"/>
  <c r="FI41" i="21"/>
  <c r="FI30" i="21"/>
  <c r="K40" i="21"/>
  <c r="K37" i="21"/>
  <c r="LJ40" i="21"/>
  <c r="LJ37" i="21"/>
  <c r="EV40" i="21"/>
  <c r="EV37" i="21"/>
  <c r="J41" i="21"/>
  <c r="J30" i="21"/>
  <c r="PI37" i="21"/>
  <c r="PI40" i="21"/>
  <c r="LW37" i="21"/>
  <c r="LW40" i="21"/>
  <c r="EI37" i="21"/>
  <c r="EI40" i="21"/>
  <c r="XJ40" i="21"/>
  <c r="CE37" i="21"/>
  <c r="CE40" i="21"/>
  <c r="SB41" i="21"/>
  <c r="H40" i="21"/>
  <c r="H37" i="21"/>
  <c r="KT40" i="21"/>
  <c r="KT37" i="21"/>
  <c r="WG40" i="21"/>
  <c r="WG37" i="21"/>
  <c r="VC52" i="21" s="1"/>
  <c r="VC53" i="21" s="1"/>
  <c r="SK40" i="21"/>
  <c r="SK37" i="21"/>
  <c r="ZV14" i="21"/>
  <c r="ZL14" i="21"/>
  <c r="ZJ14" i="21" s="1"/>
  <c r="TU41" i="21"/>
  <c r="TU30" i="21"/>
  <c r="IX41" i="21"/>
  <c r="IX30" i="21"/>
  <c r="BQ40" i="21"/>
  <c r="BQ37" i="21"/>
  <c r="CQ40" i="21"/>
  <c r="WT40" i="21"/>
  <c r="WT37" i="21"/>
  <c r="SR40" i="21"/>
  <c r="SR37" i="21"/>
  <c r="QM40" i="21"/>
  <c r="QM37" i="21"/>
  <c r="OE40" i="21"/>
  <c r="OE37" i="21"/>
  <c r="MK37" i="21"/>
  <c r="MK40" i="21"/>
  <c r="KC40" i="21"/>
  <c r="KC37" i="21"/>
  <c r="IA37" i="21"/>
  <c r="IA40" i="21"/>
  <c r="EO37" i="21"/>
  <c r="EO40" i="21"/>
  <c r="XZ40" i="21"/>
  <c r="XZ37" i="21"/>
  <c r="LD30" i="21"/>
  <c r="VX34" i="21"/>
  <c r="VX42" i="21" s="1"/>
  <c r="HN38" i="21"/>
  <c r="HN47" i="21" s="1"/>
  <c r="ZL29" i="21"/>
  <c r="ZJ29" i="21" s="1"/>
  <c r="ZV29" i="21"/>
  <c r="FF32" i="21"/>
  <c r="FF34" i="21" s="1"/>
  <c r="FF42" i="21" s="1"/>
  <c r="FG34" i="21"/>
  <c r="FG42" i="21" s="1"/>
  <c r="WC47" i="21"/>
  <c r="WB45" i="21"/>
  <c r="WB47" i="21" s="1"/>
  <c r="KO47" i="21"/>
  <c r="KO38" i="21"/>
  <c r="YX21" i="21"/>
  <c r="ZX21" i="21"/>
  <c r="DI20" i="21"/>
  <c r="ZP41" i="21"/>
  <c r="ZP30" i="21"/>
  <c r="XN41" i="21"/>
  <c r="XT12" i="21"/>
  <c r="SL40" i="21"/>
  <c r="SL37" i="21"/>
  <c r="QS40" i="21"/>
  <c r="MG30" i="21"/>
  <c r="HW41" i="21"/>
  <c r="HW30" i="21"/>
  <c r="HV12" i="21"/>
  <c r="BJ41" i="21"/>
  <c r="BJ30" i="21"/>
  <c r="AL40" i="21"/>
  <c r="AL37" i="21"/>
  <c r="YD40" i="21"/>
  <c r="YD37" i="21"/>
  <c r="NX40" i="21"/>
  <c r="NX37" i="21"/>
  <c r="JL40" i="21"/>
  <c r="JL37" i="21"/>
  <c r="ET41" i="21"/>
  <c r="ET30" i="21"/>
  <c r="MM37" i="21"/>
  <c r="MM40" i="21"/>
  <c r="FM37" i="21"/>
  <c r="FM40" i="21"/>
  <c r="ZK37" i="21"/>
  <c r="ZK40" i="21"/>
  <c r="WX30" i="21"/>
  <c r="PF40" i="21"/>
  <c r="PF37" i="21"/>
  <c r="GP40" i="21"/>
  <c r="XG40" i="21"/>
  <c r="XG37" i="21"/>
  <c r="TG40" i="21"/>
  <c r="TG37" i="21"/>
  <c r="OF37" i="21"/>
  <c r="OF40" i="21"/>
  <c r="HR37" i="21"/>
  <c r="HR40" i="21"/>
  <c r="PK40" i="21"/>
  <c r="PK37" i="21"/>
  <c r="HZ40" i="21"/>
  <c r="HZ37" i="21"/>
  <c r="UJ40" i="21"/>
  <c r="UJ37" i="21"/>
  <c r="YW37" i="21"/>
  <c r="YW40" i="21"/>
  <c r="PB41" i="21"/>
  <c r="KA37" i="21"/>
  <c r="KA40" i="21"/>
  <c r="HM37" i="21"/>
  <c r="HM40" i="21"/>
  <c r="EW37" i="21"/>
  <c r="EW40" i="21"/>
  <c r="CO37" i="21"/>
  <c r="CO40" i="21"/>
  <c r="UG37" i="21"/>
  <c r="UG40" i="21"/>
  <c r="QJ40" i="21"/>
  <c r="QJ37" i="21"/>
  <c r="UL40" i="21"/>
  <c r="UL37" i="21"/>
  <c r="GV40" i="21"/>
  <c r="GV37" i="21"/>
  <c r="E30" i="21"/>
  <c r="OB30" i="21"/>
  <c r="AW40" i="21"/>
  <c r="AW37" i="21"/>
  <c r="TA47" i="21"/>
  <c r="TA38" i="21"/>
  <c r="JY41" i="21"/>
  <c r="JY30" i="21"/>
  <c r="AZ41" i="21"/>
  <c r="AZ30" i="21"/>
  <c r="EG40" i="21"/>
  <c r="EG37" i="21"/>
  <c r="UE40" i="21"/>
  <c r="UE37" i="21"/>
  <c r="TV41" i="21"/>
  <c r="TV30" i="21"/>
  <c r="DD40" i="21"/>
  <c r="DD37" i="21"/>
  <c r="QN40" i="21"/>
  <c r="QN37" i="21"/>
  <c r="EC40" i="21"/>
  <c r="EC37" i="21"/>
  <c r="EB40" i="21"/>
  <c r="EB37" i="21"/>
  <c r="WS37" i="21"/>
  <c r="WS40" i="21"/>
  <c r="L37" i="21"/>
  <c r="L40" i="21"/>
  <c r="ZV22" i="21"/>
  <c r="ZL22" i="21"/>
  <c r="ZJ22" i="21" s="1"/>
  <c r="ZL24" i="21"/>
  <c r="ZJ24" i="21" s="1"/>
  <c r="ZV24" i="21"/>
  <c r="UF30" i="21"/>
  <c r="UF41" i="21"/>
  <c r="RY40" i="21"/>
  <c r="RY37" i="21"/>
  <c r="QI41" i="21"/>
  <c r="QI30" i="21"/>
  <c r="LV41" i="21"/>
  <c r="JM40" i="21"/>
  <c r="JM37" i="21"/>
  <c r="EU37" i="21"/>
  <c r="EU40" i="21"/>
  <c r="CU40" i="21"/>
  <c r="CU37" i="21"/>
  <c r="AX40" i="21"/>
  <c r="AX37" i="21"/>
  <c r="F40" i="21"/>
  <c r="F37" i="21"/>
  <c r="ZO40" i="21"/>
  <c r="ZO37" i="21"/>
  <c r="MY40" i="21"/>
  <c r="MY37" i="21"/>
  <c r="IZ40" i="21"/>
  <c r="IZ37" i="21"/>
  <c r="RW40" i="21"/>
  <c r="RW37" i="21"/>
  <c r="LG37" i="21"/>
  <c r="LG40" i="21"/>
  <c r="TS41" i="21"/>
  <c r="TS30" i="21"/>
  <c r="TR12" i="21"/>
  <c r="MX40" i="21"/>
  <c r="MX37" i="21"/>
  <c r="XE40" i="21"/>
  <c r="XE37" i="21"/>
  <c r="EA37" i="21"/>
  <c r="EA40" i="21"/>
  <c r="WU37" i="21"/>
  <c r="WU40" i="21"/>
  <c r="SS37" i="21"/>
  <c r="SS40" i="21"/>
  <c r="NV41" i="21"/>
  <c r="NV30" i="21"/>
  <c r="LF40" i="21"/>
  <c r="LF37" i="21"/>
  <c r="HD41" i="21"/>
  <c r="HD30" i="21"/>
  <c r="BE40" i="21"/>
  <c r="BE37" i="21"/>
  <c r="WA40" i="21"/>
  <c r="WA37" i="21"/>
  <c r="YA40" i="21"/>
  <c r="YA37" i="21"/>
  <c r="VP40" i="21"/>
  <c r="VP37" i="21"/>
  <c r="UB40" i="21"/>
  <c r="UB37" i="21"/>
  <c r="AG37" i="21"/>
  <c r="AG40" i="21"/>
  <c r="XY40" i="21"/>
  <c r="XY37" i="21"/>
  <c r="JQ40" i="21"/>
  <c r="JQ37" i="21"/>
  <c r="EJ40" i="21"/>
  <c r="EJ37" i="21"/>
  <c r="CD41" i="21"/>
  <c r="CD30" i="21"/>
  <c r="TK40" i="21"/>
  <c r="TK37" i="21"/>
  <c r="PA30" i="21"/>
  <c r="ZN40" i="21"/>
  <c r="ZN37" i="21"/>
  <c r="ST40" i="21"/>
  <c r="ST37" i="21"/>
  <c r="LQ40" i="21"/>
  <c r="LQ37" i="21"/>
  <c r="EQ40" i="21"/>
  <c r="EQ37" i="21"/>
  <c r="TY41" i="21"/>
  <c r="TY30" i="21"/>
  <c r="VD41" i="21"/>
  <c r="RP30" i="21"/>
  <c r="KQ47" i="21"/>
  <c r="KQ38" i="21"/>
  <c r="OP38" i="21"/>
  <c r="OP47" i="21" s="1"/>
  <c r="HG37" i="21"/>
  <c r="HG40" i="21"/>
  <c r="OK40" i="21"/>
  <c r="OK37" i="21"/>
  <c r="VV37" i="21"/>
  <c r="VV40" i="21"/>
  <c r="GQ40" i="21"/>
  <c r="QC40" i="21"/>
  <c r="QC37" i="21"/>
  <c r="JS37" i="21"/>
  <c r="JS40" i="21"/>
  <c r="VN40" i="21"/>
  <c r="VN37" i="21"/>
  <c r="SC37" i="21"/>
  <c r="SC40" i="21"/>
  <c r="KJ40" i="21"/>
  <c r="KJ37" i="21"/>
  <c r="JZ40" i="21"/>
  <c r="JZ37" i="21"/>
  <c r="ZL16" i="21"/>
  <c r="ZV16" i="21"/>
  <c r="XJ34" i="21"/>
  <c r="XJ42" i="21" s="1"/>
  <c r="AAP40" i="21"/>
  <c r="AAP37" i="21"/>
  <c r="AAL38" i="21" s="1"/>
  <c r="AAL46" i="21" s="1"/>
  <c r="TX41" i="21"/>
  <c r="TX30" i="21"/>
  <c r="PU37" i="21"/>
  <c r="NQ41" i="21"/>
  <c r="NQ30" i="21"/>
  <c r="NP12" i="21"/>
  <c r="LI37" i="21"/>
  <c r="LI40" i="21"/>
  <c r="GX40" i="21"/>
  <c r="GX37" i="21"/>
  <c r="RX40" i="21"/>
  <c r="RX37" i="21"/>
  <c r="MN40" i="21"/>
  <c r="MN37" i="21"/>
  <c r="ID40" i="21"/>
  <c r="ID37" i="21"/>
  <c r="CJ37" i="21"/>
  <c r="CJ40" i="21"/>
  <c r="XL40" i="21"/>
  <c r="XL37" i="21"/>
  <c r="TI40" i="21"/>
  <c r="TI37" i="21"/>
  <c r="QR41" i="21"/>
  <c r="QR30" i="21"/>
  <c r="CT40" i="21"/>
  <c r="ZM37" i="21"/>
  <c r="ZM40" i="21"/>
  <c r="UK40" i="21"/>
  <c r="UK37" i="21"/>
  <c r="NL40" i="21"/>
  <c r="NL37" i="21"/>
  <c r="GR40" i="21"/>
  <c r="GR37" i="21"/>
  <c r="DP37" i="21"/>
  <c r="DP40" i="21"/>
  <c r="FA40" i="21"/>
  <c r="FA37" i="21"/>
  <c r="RS40" i="21"/>
  <c r="RS37" i="21"/>
  <c r="PL37" i="21"/>
  <c r="PL40" i="21"/>
  <c r="NK37" i="21"/>
  <c r="NK40" i="21"/>
  <c r="LO37" i="21"/>
  <c r="LO40" i="21"/>
  <c r="JG37" i="21"/>
  <c r="JG40" i="21"/>
  <c r="FU37" i="21"/>
  <c r="FU40" i="21"/>
  <c r="DE40" i="21"/>
  <c r="DE37" i="21"/>
  <c r="TE40" i="21"/>
  <c r="TE37" i="21"/>
  <c r="FT40" i="21"/>
  <c r="FT37" i="21"/>
  <c r="RQ40" i="21"/>
  <c r="RQ37" i="21"/>
  <c r="OC40" i="21"/>
  <c r="OC37" i="21"/>
  <c r="LK40" i="21"/>
  <c r="LK37" i="21"/>
  <c r="GO40" i="21"/>
  <c r="BB37" i="21"/>
  <c r="BB40" i="21"/>
  <c r="ZQ40" i="21"/>
  <c r="ZQ37" i="21"/>
  <c r="PA41" i="21"/>
  <c r="JD41" i="21"/>
  <c r="JD30" i="21"/>
  <c r="CB37" i="21"/>
  <c r="CB40" i="21"/>
  <c r="SW40" i="21"/>
  <c r="SW37" i="21"/>
  <c r="NR30" i="21"/>
  <c r="HJ40" i="21"/>
  <c r="BA40" i="21"/>
  <c r="ZF30" i="21"/>
  <c r="UD40" i="21"/>
  <c r="UD37" i="21"/>
  <c r="NW40" i="21"/>
  <c r="NW37" i="21"/>
  <c r="FC37" i="21"/>
  <c r="FC40" i="21"/>
  <c r="UA40" i="21"/>
  <c r="UA37" i="21"/>
  <c r="JF40" i="21"/>
  <c r="JF37" i="21"/>
  <c r="JJ41" i="21"/>
  <c r="PW38" i="21"/>
  <c r="PW47" i="21" s="1"/>
  <c r="ZV26" i="21"/>
  <c r="ZL26" i="21"/>
  <c r="ZJ26" i="21" s="1"/>
  <c r="WZ40" i="21"/>
  <c r="WZ37" i="21"/>
  <c r="MU37" i="21"/>
  <c r="MU40" i="21"/>
  <c r="BP41" i="21"/>
  <c r="BP30" i="21"/>
  <c r="SE37" i="21"/>
  <c r="SE40" i="21"/>
  <c r="HQ37" i="21"/>
  <c r="HQ40" i="21"/>
  <c r="IJ40" i="21"/>
  <c r="IJ37" i="21"/>
  <c r="IJ38" i="21" s="1"/>
  <c r="ON40" i="21"/>
  <c r="ON37" i="21"/>
  <c r="DW40" i="21"/>
  <c r="DW37" i="21"/>
  <c r="OM40" i="21"/>
  <c r="VT40" i="21"/>
  <c r="VT37" i="21"/>
  <c r="YN38" i="21"/>
  <c r="YN47" i="21" s="1"/>
  <c r="EX38" i="21"/>
  <c r="EX47" i="21" s="1"/>
  <c r="YJ38" i="21"/>
  <c r="YJ47" i="21" s="1"/>
  <c r="HA15" i="21"/>
  <c r="HA41" i="21" s="1"/>
  <c r="DJ26" i="21"/>
  <c r="DH26" i="21" s="1"/>
  <c r="DJ14" i="21"/>
  <c r="DH14" i="21" s="1"/>
  <c r="ZV25" i="21"/>
  <c r="ZL25" i="21"/>
  <c r="ZJ25" i="21" s="1"/>
  <c r="GZ24" i="21"/>
  <c r="GZ30" i="21" s="1"/>
  <c r="YE40" i="21"/>
  <c r="YE37" i="21"/>
  <c r="VX41" i="21"/>
  <c r="VX30" i="21"/>
  <c r="TJ37" i="21"/>
  <c r="TJ40" i="21"/>
  <c r="RO37" i="21"/>
  <c r="RO40" i="21"/>
  <c r="MZ40" i="21"/>
  <c r="MZ37" i="21"/>
  <c r="JA40" i="21"/>
  <c r="JA37" i="21"/>
  <c r="EH37" i="21"/>
  <c r="EH40" i="21"/>
  <c r="CK37" i="21"/>
  <c r="CK40" i="21"/>
  <c r="LR40" i="21"/>
  <c r="LR37" i="21"/>
  <c r="GW37" i="21"/>
  <c r="GW40" i="21"/>
  <c r="JK37" i="21"/>
  <c r="JK40" i="21"/>
  <c r="BR37" i="21"/>
  <c r="BR40" i="21"/>
  <c r="KS37" i="21"/>
  <c r="KS40" i="21"/>
  <c r="CI37" i="21"/>
  <c r="CI40" i="21"/>
  <c r="LY40" i="21"/>
  <c r="LY37" i="21"/>
  <c r="BD40" i="21"/>
  <c r="BD37" i="21"/>
  <c r="SF40" i="21"/>
  <c r="SF37" i="21"/>
  <c r="PE40" i="21"/>
  <c r="PE37" i="21"/>
  <c r="KD40" i="21"/>
  <c r="KD37" i="21"/>
  <c r="AS37" i="21"/>
  <c r="AS40" i="21"/>
  <c r="AR37" i="21"/>
  <c r="AR40" i="21"/>
  <c r="UI37" i="21"/>
  <c r="UI40" i="21"/>
  <c r="CP40" i="21"/>
  <c r="CP37" i="21"/>
  <c r="XS41" i="21"/>
  <c r="TT41" i="21"/>
  <c r="TT30" i="21"/>
  <c r="XP40" i="21"/>
  <c r="XP37" i="21"/>
  <c r="JE40" i="21"/>
  <c r="DM40" i="21"/>
  <c r="DM37" i="21"/>
  <c r="VL40" i="21"/>
  <c r="VL37" i="21"/>
  <c r="SM37" i="21"/>
  <c r="SM40" i="21"/>
  <c r="NA40" i="21"/>
  <c r="NA37" i="21"/>
  <c r="YC40" i="21"/>
  <c r="YC37" i="21"/>
  <c r="QO40" i="21"/>
  <c r="QO37" i="21"/>
  <c r="KE40" i="21"/>
  <c r="KE37" i="21"/>
  <c r="BN40" i="21"/>
  <c r="BN37" i="21"/>
  <c r="XA37" i="21"/>
  <c r="XA40" i="21"/>
  <c r="ZF41" i="21"/>
  <c r="BH12" i="21"/>
  <c r="RK30" i="21"/>
  <c r="ZH41" i="21"/>
  <c r="FG41" i="21"/>
  <c r="FG30" i="21"/>
  <c r="FF12" i="21"/>
  <c r="RN40" i="21"/>
  <c r="RN37" i="21"/>
  <c r="S40" i="21"/>
  <c r="S37" i="21"/>
  <c r="BF40" i="21"/>
  <c r="BF37" i="21"/>
  <c r="LZ40" i="21"/>
  <c r="LZ37" i="21"/>
  <c r="QK40" i="21"/>
  <c r="QK37" i="21"/>
  <c r="E41" i="21"/>
  <c r="BK30" i="21"/>
  <c r="HE40" i="21"/>
  <c r="HE37" i="21"/>
  <c r="MJ40" i="21"/>
  <c r="MJ37" i="21"/>
  <c r="XM38" i="21"/>
  <c r="XM47" i="21" s="1"/>
  <c r="YM38" i="21"/>
  <c r="YM47" i="21" s="1"/>
  <c r="ZX41" i="21"/>
  <c r="ZV13" i="21"/>
  <c r="ZL13" i="21"/>
  <c r="VJ40" i="21"/>
  <c r="VJ37" i="21"/>
  <c r="PH41" i="21"/>
  <c r="PH30" i="21"/>
  <c r="KW37" i="21"/>
  <c r="KW40" i="21"/>
  <c r="GA40" i="21"/>
  <c r="GA37" i="21"/>
  <c r="RD41" i="21"/>
  <c r="RD30" i="21"/>
  <c r="HF40" i="21"/>
  <c r="HF37" i="21"/>
  <c r="BI41" i="21"/>
  <c r="BI30" i="21"/>
  <c r="WY37" i="21"/>
  <c r="WY40" i="21"/>
  <c r="SU37" i="21"/>
  <c r="SU40" i="21"/>
  <c r="BT40" i="21"/>
  <c r="QG41" i="21"/>
  <c r="TH40" i="21"/>
  <c r="TH37" i="21"/>
  <c r="ZE41" i="21"/>
  <c r="ZE30" i="21"/>
  <c r="ZD12" i="21"/>
  <c r="UC37" i="21"/>
  <c r="UC40" i="21"/>
  <c r="FB40" i="21"/>
  <c r="FB37" i="21"/>
  <c r="CR40" i="21"/>
  <c r="DO40" i="21"/>
  <c r="DO37" i="21"/>
  <c r="ZU40" i="21"/>
  <c r="ZU37" i="21"/>
  <c r="XF40" i="21"/>
  <c r="XF37" i="21"/>
  <c r="TF40" i="21"/>
  <c r="TF37" i="21"/>
  <c r="QY37" i="21"/>
  <c r="QY40" i="21"/>
  <c r="OS40" i="21"/>
  <c r="OS37" i="21"/>
  <c r="MV40" i="21"/>
  <c r="MV37" i="21"/>
  <c r="KM40" i="21"/>
  <c r="KM37" i="21"/>
  <c r="IK37" i="21"/>
  <c r="IK40" i="21"/>
  <c r="FK40" i="21"/>
  <c r="FK37" i="21"/>
  <c r="CF40" i="21"/>
  <c r="CF37" i="21"/>
  <c r="AAQ40" i="21"/>
  <c r="AAQ37" i="21"/>
  <c r="AAM38" i="21" s="1"/>
  <c r="AAM46" i="21" s="1"/>
  <c r="OD40" i="21"/>
  <c r="OD37" i="21"/>
  <c r="DN40" i="21"/>
  <c r="DN37" i="21"/>
  <c r="YX19" i="21"/>
  <c r="ZX19" i="21"/>
  <c r="UH40" i="21"/>
  <c r="UH37" i="21"/>
  <c r="RG40" i="21"/>
  <c r="RG37" i="21"/>
  <c r="PJ40" i="21"/>
  <c r="PJ37" i="21"/>
  <c r="LC41" i="21"/>
  <c r="LC30" i="21"/>
  <c r="LB12" i="21"/>
  <c r="FS40" i="21"/>
  <c r="FS37" i="21"/>
  <c r="Z37" i="21"/>
  <c r="Z40" i="21"/>
  <c r="V40" i="21"/>
  <c r="QT40" i="21"/>
  <c r="QT37" i="21"/>
  <c r="MP40" i="21"/>
  <c r="MP37" i="21"/>
  <c r="FH30" i="21"/>
  <c r="SJ30" i="21"/>
  <c r="ME30" i="21"/>
  <c r="CS40" i="21"/>
  <c r="FJ40" i="21"/>
  <c r="FJ37" i="21"/>
  <c r="HC30" i="21"/>
  <c r="RK41" i="21"/>
  <c r="SY38" i="21"/>
  <c r="SY47" i="21" s="1"/>
  <c r="AAC41" i="21"/>
  <c r="AAC30" i="21"/>
  <c r="YQ41" i="21"/>
  <c r="YQ30" i="21"/>
  <c r="KP47" i="21"/>
  <c r="RB47" i="21"/>
  <c r="E34" i="21"/>
  <c r="KN38" i="21"/>
  <c r="CX38" i="21"/>
  <c r="CX47" i="21" s="1"/>
  <c r="E52" i="21"/>
  <c r="GU38" i="21"/>
  <c r="GU47" i="21" s="1"/>
  <c r="YQ34" i="21"/>
  <c r="YQ42" i="21" s="1"/>
  <c r="YG32" i="21"/>
  <c r="WK32" i="21" s="1"/>
  <c r="WK34" i="21" s="1"/>
  <c r="SX38" i="21"/>
  <c r="SX47" i="21" s="1"/>
  <c r="ZV28" i="21"/>
  <c r="ZL28" i="21"/>
  <c r="ZJ28" i="21" s="1"/>
  <c r="ZV15" i="21"/>
  <c r="ZL15" i="21"/>
  <c r="ZJ15" i="21" s="1"/>
  <c r="YZ30" i="21"/>
  <c r="AAH40" i="21"/>
  <c r="AAH37" i="21"/>
  <c r="AAD38" i="21" s="1"/>
  <c r="AAD46" i="21" s="1"/>
  <c r="XW40" i="21"/>
  <c r="XW37" i="21"/>
  <c r="SV40" i="21"/>
  <c r="SV37" i="21"/>
  <c r="RE40" i="21"/>
  <c r="RE37" i="21"/>
  <c r="MO40" i="21"/>
  <c r="MO37" i="21"/>
  <c r="IE40" i="21"/>
  <c r="IE37" i="21"/>
  <c r="DV40" i="21"/>
  <c r="DV37" i="21"/>
  <c r="BZ40" i="21"/>
  <c r="BZ37" i="21"/>
  <c r="QH41" i="21"/>
  <c r="YT40" i="21"/>
  <c r="YT37" i="21"/>
  <c r="OV40" i="21"/>
  <c r="OV37" i="21"/>
  <c r="LH41" i="21"/>
  <c r="LH30" i="21"/>
  <c r="FN37" i="21"/>
  <c r="FN40" i="21"/>
  <c r="HS37" i="21"/>
  <c r="HS40" i="21"/>
  <c r="YS40" i="21"/>
  <c r="YS37" i="21"/>
  <c r="RA40" i="21"/>
  <c r="RA37" i="21"/>
  <c r="IC37" i="21"/>
  <c r="IC40" i="21"/>
  <c r="SQ40" i="21"/>
  <c r="SQ37" i="21"/>
  <c r="JR40" i="21"/>
  <c r="JR37" i="21"/>
  <c r="VR37" i="21"/>
  <c r="E12" i="10" s="1"/>
  <c r="VR40" i="21"/>
  <c r="RL41" i="21"/>
  <c r="RL30" i="21"/>
  <c r="OT40" i="21"/>
  <c r="OT37" i="21"/>
  <c r="AJ41" i="21"/>
  <c r="AJ30" i="21"/>
  <c r="ZT40" i="21"/>
  <c r="ZT37" i="21"/>
  <c r="RR40" i="21"/>
  <c r="RR37" i="21"/>
  <c r="AD40" i="21"/>
  <c r="ZR40" i="21"/>
  <c r="ZR37" i="21"/>
  <c r="WR41" i="21"/>
  <c r="WR30" i="21"/>
  <c r="II37" i="21"/>
  <c r="II38" i="21" s="1"/>
  <c r="E425" i="11" s="1"/>
  <c r="II40" i="21"/>
  <c r="DC40" i="21"/>
  <c r="DC37" i="21"/>
  <c r="RF40" i="21"/>
  <c r="RF37" i="21"/>
  <c r="MH41" i="21"/>
  <c r="MH30" i="21"/>
  <c r="GZ41" i="21"/>
  <c r="WF40" i="21"/>
  <c r="WF37" i="21"/>
  <c r="IY40" i="21"/>
  <c r="IY37" i="21"/>
  <c r="BL40" i="21"/>
  <c r="BL37" i="21"/>
  <c r="AAI40" i="21"/>
  <c r="AAI37" i="21"/>
  <c r="AAE38" i="21" s="1"/>
  <c r="AAE46" i="21" s="1"/>
  <c r="VY37" i="21"/>
  <c r="VY40" i="21"/>
  <c r="CN30" i="21"/>
  <c r="DH12" i="21"/>
  <c r="LE37" i="21" l="1"/>
  <c r="F425" i="11"/>
  <c r="IL47" i="21"/>
  <c r="NU37" i="21"/>
  <c r="VF52" i="21"/>
  <c r="VF53" i="21" s="1"/>
  <c r="DK40" i="21"/>
  <c r="NM40" i="21"/>
  <c r="WK20" i="21"/>
  <c r="WK19" i="21"/>
  <c r="NY37" i="21"/>
  <c r="DL37" i="21"/>
  <c r="WK21" i="21"/>
  <c r="AK37" i="21"/>
  <c r="RM40" i="21"/>
  <c r="E9" i="10"/>
  <c r="D9" i="10" s="1"/>
  <c r="WW47" i="21"/>
  <c r="DI30" i="21"/>
  <c r="DI37" i="21" s="1"/>
  <c r="AAB40" i="21"/>
  <c r="E11" i="10"/>
  <c r="H11" i="10" s="1"/>
  <c r="D12" i="10"/>
  <c r="H12" i="10"/>
  <c r="IH37" i="21"/>
  <c r="ZV27" i="21"/>
  <c r="NB41" i="21"/>
  <c r="NI38" i="21"/>
  <c r="NI47" i="21" s="1"/>
  <c r="SV38" i="21"/>
  <c r="SU38" i="21"/>
  <c r="NZ37" i="21"/>
  <c r="AAB37" i="21"/>
  <c r="HL38" i="21"/>
  <c r="NS21" i="21"/>
  <c r="NS30" i="21" s="1"/>
  <c r="NS37" i="21" s="1"/>
  <c r="NT30" i="21"/>
  <c r="HY40" i="21"/>
  <c r="XU37" i="21"/>
  <c r="E53" i="21"/>
  <c r="E428" i="11"/>
  <c r="B21" i="15"/>
  <c r="XL38" i="21"/>
  <c r="F428" i="11"/>
  <c r="C21" i="15"/>
  <c r="JM38" i="21"/>
  <c r="HA30" i="21"/>
  <c r="HA37" i="21" s="1"/>
  <c r="PB40" i="21"/>
  <c r="HJ37" i="21"/>
  <c r="YL40" i="21"/>
  <c r="DB40" i="21"/>
  <c r="ZL18" i="21"/>
  <c r="ZJ18" i="21" s="1"/>
  <c r="OZ41" i="21"/>
  <c r="XC47" i="21"/>
  <c r="RV40" i="21"/>
  <c r="NB30" i="21"/>
  <c r="NH40" i="21"/>
  <c r="NH37" i="21"/>
  <c r="NH38" i="21" s="1"/>
  <c r="NH47" i="21" s="1"/>
  <c r="PD37" i="21"/>
  <c r="MD41" i="21"/>
  <c r="EF37" i="21"/>
  <c r="KB40" i="21"/>
  <c r="HX40" i="21"/>
  <c r="VD37" i="21"/>
  <c r="CH40" i="21"/>
  <c r="VD40" i="21"/>
  <c r="GN40" i="21"/>
  <c r="XD40" i="21"/>
  <c r="ZI40" i="21"/>
  <c r="EZ40" i="21"/>
  <c r="SP37" i="21"/>
  <c r="QL40" i="21"/>
  <c r="ML40" i="21"/>
  <c r="JJ37" i="21"/>
  <c r="OJ40" i="21"/>
  <c r="JX40" i="21"/>
  <c r="IB40" i="21"/>
  <c r="QX40" i="21"/>
  <c r="HX37" i="21"/>
  <c r="DZ40" i="21"/>
  <c r="TW40" i="21"/>
  <c r="BL38" i="21"/>
  <c r="IH40" i="21"/>
  <c r="JW40" i="21"/>
  <c r="KR40" i="21"/>
  <c r="JV30" i="21"/>
  <c r="JV41" i="21"/>
  <c r="EN37" i="21"/>
  <c r="AV40" i="21"/>
  <c r="JX37" i="21"/>
  <c r="SS38" i="21"/>
  <c r="TW37" i="21"/>
  <c r="JJ40" i="21"/>
  <c r="ZX30" i="21"/>
  <c r="ZX37" i="21" s="1"/>
  <c r="CH37" i="21"/>
  <c r="HB40" i="21"/>
  <c r="FL40" i="21"/>
  <c r="RV37" i="21"/>
  <c r="QF41" i="21"/>
  <c r="EN40" i="21"/>
  <c r="DZ37" i="21"/>
  <c r="IB37" i="21"/>
  <c r="KB37" i="21"/>
  <c r="YL37" i="21"/>
  <c r="RJ41" i="21"/>
  <c r="KJ38" i="21"/>
  <c r="JK38" i="21"/>
  <c r="XD37" i="21"/>
  <c r="FR40" i="21"/>
  <c r="FR37" i="21"/>
  <c r="RJ30" i="21"/>
  <c r="RJ37" i="21" s="1"/>
  <c r="JP40" i="21"/>
  <c r="HP40" i="21"/>
  <c r="SP40" i="21"/>
  <c r="NJ40" i="21"/>
  <c r="WK41" i="21"/>
  <c r="DL40" i="21"/>
  <c r="NA38" i="21"/>
  <c r="QX37" i="21"/>
  <c r="TD40" i="21"/>
  <c r="SQ38" i="21"/>
  <c r="YG30" i="21"/>
  <c r="EZ37" i="21"/>
  <c r="ML37" i="21"/>
  <c r="EF40" i="21"/>
  <c r="YG41" i="21"/>
  <c r="XJ37" i="21"/>
  <c r="HK38" i="21"/>
  <c r="SR38" i="21"/>
  <c r="LO38" i="21"/>
  <c r="YX30" i="21"/>
  <c r="YX40" i="21" s="1"/>
  <c r="OL38" i="21"/>
  <c r="FL37" i="21"/>
  <c r="YG34" i="21"/>
  <c r="YG42" i="21" s="1"/>
  <c r="MZ38" i="21"/>
  <c r="HP37" i="21"/>
  <c r="QL37" i="21"/>
  <c r="AV37" i="21"/>
  <c r="LQ38" i="21"/>
  <c r="OK38" i="21"/>
  <c r="F38" i="21"/>
  <c r="JP37" i="21"/>
  <c r="JL38" i="21"/>
  <c r="DI40" i="21"/>
  <c r="YZ40" i="21"/>
  <c r="YZ37" i="21"/>
  <c r="TV40" i="21"/>
  <c r="TV37" i="21"/>
  <c r="JY37" i="21"/>
  <c r="JY40" i="21"/>
  <c r="XT41" i="21"/>
  <c r="E49" i="21"/>
  <c r="E42" i="21"/>
  <c r="ZJ13" i="21"/>
  <c r="ZJ41" i="21" s="1"/>
  <c r="ZL41" i="21"/>
  <c r="NR40" i="21"/>
  <c r="NR37" i="21"/>
  <c r="NP41" i="21"/>
  <c r="NP30" i="21"/>
  <c r="PA40" i="21"/>
  <c r="PA37" i="21"/>
  <c r="NV40" i="21"/>
  <c r="NV37" i="21"/>
  <c r="TR41" i="21"/>
  <c r="TR30" i="21"/>
  <c r="EU38" i="21"/>
  <c r="E50" i="21"/>
  <c r="E40" i="21"/>
  <c r="E37" i="21"/>
  <c r="E38" i="21" s="1"/>
  <c r="MG40" i="21"/>
  <c r="MG37" i="21"/>
  <c r="XR12" i="21"/>
  <c r="ZV21" i="21"/>
  <c r="ZL21" i="21"/>
  <c r="ZJ21" i="21" s="1"/>
  <c r="IX40" i="21"/>
  <c r="IX37" i="21"/>
  <c r="RL40" i="21"/>
  <c r="RL37" i="21"/>
  <c r="AJ37" i="21"/>
  <c r="AJ40" i="21"/>
  <c r="RP40" i="21"/>
  <c r="RP37" i="21"/>
  <c r="UF40" i="21"/>
  <c r="UF37" i="21"/>
  <c r="OB40" i="21"/>
  <c r="OB37" i="21"/>
  <c r="WX40" i="21"/>
  <c r="WX37" i="21"/>
  <c r="TU40" i="21"/>
  <c r="TU37" i="21"/>
  <c r="VX40" i="21"/>
  <c r="VX37" i="21"/>
  <c r="ET40" i="21"/>
  <c r="ET37" i="21"/>
  <c r="GZ40" i="21"/>
  <c r="GZ37" i="21"/>
  <c r="LH40" i="21"/>
  <c r="LH37" i="21"/>
  <c r="HC40" i="21"/>
  <c r="HC37" i="21"/>
  <c r="SJ40" i="21"/>
  <c r="SJ37" i="21"/>
  <c r="LB41" i="21"/>
  <c r="LB30" i="21"/>
  <c r="QY38" i="21"/>
  <c r="ZF40" i="21"/>
  <c r="ZF37" i="21"/>
  <c r="ZJ16" i="21"/>
  <c r="CD40" i="21"/>
  <c r="CD37" i="21"/>
  <c r="XY38" i="21"/>
  <c r="BJ40" i="21"/>
  <c r="BJ37" i="21"/>
  <c r="ZP40" i="21"/>
  <c r="ZP37" i="21"/>
  <c r="EV38" i="21"/>
  <c r="FI40" i="21"/>
  <c r="FI37" i="21"/>
  <c r="KI38" i="21"/>
  <c r="ZV41" i="21"/>
  <c r="J37" i="21"/>
  <c r="J40" i="21"/>
  <c r="ME37" i="21"/>
  <c r="ME40" i="21"/>
  <c r="LC40" i="21"/>
  <c r="LC37" i="21"/>
  <c r="ZD41" i="21"/>
  <c r="RD40" i="21"/>
  <c r="RD37" i="21"/>
  <c r="PH40" i="21"/>
  <c r="PH37" i="21"/>
  <c r="FF41" i="21"/>
  <c r="FF30" i="21"/>
  <c r="RK40" i="21"/>
  <c r="RK37" i="21"/>
  <c r="QR40" i="21"/>
  <c r="TY40" i="21"/>
  <c r="TY37" i="21"/>
  <c r="ST38" i="21"/>
  <c r="YA38" i="21"/>
  <c r="HD40" i="21"/>
  <c r="HD37" i="21"/>
  <c r="DJ30" i="21"/>
  <c r="XS37" i="21"/>
  <c r="XS40" i="21"/>
  <c r="NQ37" i="21"/>
  <c r="NQ40" i="21"/>
  <c r="CN40" i="21"/>
  <c r="ZE37" i="21"/>
  <c r="ZE40" i="21"/>
  <c r="FG37" i="21"/>
  <c r="FG40" i="21"/>
  <c r="BH41" i="21"/>
  <c r="BH30" i="21"/>
  <c r="TT40" i="21"/>
  <c r="TT37" i="21"/>
  <c r="BP40" i="21"/>
  <c r="BP37" i="21"/>
  <c r="JD40" i="21"/>
  <c r="BB38" i="21"/>
  <c r="TX40" i="21"/>
  <c r="TX37" i="21"/>
  <c r="QI37" i="21"/>
  <c r="QI40" i="21"/>
  <c r="AZ40" i="21"/>
  <c r="HV41" i="21"/>
  <c r="HV30" i="21"/>
  <c r="DJ41" i="21"/>
  <c r="WR40" i="21"/>
  <c r="WR37" i="21"/>
  <c r="TS37" i="21"/>
  <c r="TS40" i="21"/>
  <c r="DH41" i="21"/>
  <c r="DH30" i="21"/>
  <c r="AAC37" i="21"/>
  <c r="AAC40" i="21"/>
  <c r="MH40" i="21"/>
  <c r="MH37" i="21"/>
  <c r="YQ40" i="21"/>
  <c r="YQ37" i="21"/>
  <c r="FH40" i="21"/>
  <c r="FH37" i="21"/>
  <c r="ZV19" i="21"/>
  <c r="ZL19" i="21"/>
  <c r="ZJ19" i="21" s="1"/>
  <c r="BI37" i="21"/>
  <c r="BI40" i="21"/>
  <c r="BK40" i="21"/>
  <c r="BK37" i="21"/>
  <c r="HW40" i="21"/>
  <c r="HW37" i="21"/>
  <c r="LD40" i="21"/>
  <c r="LD37" i="21"/>
  <c r="QZ38" i="21"/>
  <c r="D11" i="10" l="1"/>
  <c r="G12" i="10"/>
  <c r="NS40" i="21"/>
  <c r="NT40" i="21"/>
  <c r="NT37" i="21"/>
  <c r="HA40" i="21"/>
  <c r="JJ38" i="21"/>
  <c r="JV40" i="21"/>
  <c r="JV37" i="21"/>
  <c r="NB40" i="21"/>
  <c r="NB37" i="21"/>
  <c r="YG37" i="21"/>
  <c r="ZX40" i="21"/>
  <c r="YL38" i="21"/>
  <c r="YL47" i="21" s="1"/>
  <c r="RJ40" i="21"/>
  <c r="YG40" i="21"/>
  <c r="WK30" i="21"/>
  <c r="WK37" i="21" s="1"/>
  <c r="WK38" i="21" s="1"/>
  <c r="YX37" i="21"/>
  <c r="WK51" i="21" s="1"/>
  <c r="ZV30" i="21"/>
  <c r="ZV40" i="21" s="1"/>
  <c r="DH37" i="21"/>
  <c r="DH40" i="21"/>
  <c r="E54" i="21"/>
  <c r="YQ38" i="21"/>
  <c r="YQ47" i="21" s="1"/>
  <c r="HV40" i="21"/>
  <c r="HV37" i="21"/>
  <c r="BH40" i="21"/>
  <c r="BH37" i="21"/>
  <c r="DJ40" i="21"/>
  <c r="DJ37" i="21"/>
  <c r="FF37" i="21"/>
  <c r="FF40" i="21"/>
  <c r="LB40" i="21"/>
  <c r="LB37" i="21"/>
  <c r="ZL30" i="21"/>
  <c r="NP40" i="21"/>
  <c r="NP37" i="21"/>
  <c r="TR40" i="21"/>
  <c r="TR37" i="21"/>
  <c r="ZJ30" i="21"/>
  <c r="XR41" i="21"/>
  <c r="I12" i="10" l="1"/>
  <c r="G11" i="10"/>
  <c r="I11" i="10" s="1"/>
  <c r="ZV37" i="21"/>
  <c r="WK52" i="21" s="1"/>
  <c r="WK49" i="21"/>
  <c r="WK42" i="21"/>
  <c r="WK50" i="21"/>
  <c r="WK40" i="21"/>
  <c r="ZJ40" i="21"/>
  <c r="ZJ37" i="21"/>
  <c r="WK53" i="21" s="1"/>
  <c r="ZL40" i="21"/>
  <c r="ZL37" i="21"/>
  <c r="WK54" i="21" l="1"/>
  <c r="BI37" i="20"/>
  <c r="BG37" i="20"/>
  <c r="BE37" i="20"/>
  <c r="BA37" i="20"/>
  <c r="AY37" i="20"/>
  <c r="AW37" i="20"/>
  <c r="AU37" i="20"/>
  <c r="AS37" i="20"/>
  <c r="AQ37" i="20"/>
  <c r="AO37" i="20"/>
  <c r="AM37" i="20"/>
  <c r="AK37" i="20"/>
  <c r="AI37" i="20"/>
  <c r="AG37" i="20"/>
  <c r="AC37" i="20"/>
  <c r="AA37" i="20"/>
  <c r="W37" i="20"/>
  <c r="S37" i="20"/>
  <c r="O37" i="20"/>
  <c r="M37" i="20"/>
  <c r="K37" i="20"/>
  <c r="I37" i="20"/>
  <c r="G37" i="20"/>
  <c r="E37" i="20"/>
  <c r="BI30" i="20"/>
  <c r="BI38" i="20" s="1"/>
  <c r="BG30" i="20"/>
  <c r="BG38" i="20" s="1"/>
  <c r="BC30" i="20"/>
  <c r="BC38" i="20" s="1"/>
  <c r="BA30" i="20"/>
  <c r="BA38" i="20" s="1"/>
  <c r="AY30" i="20"/>
  <c r="AY38" i="20" s="1"/>
  <c r="AW30" i="20"/>
  <c r="AW38" i="20" s="1"/>
  <c r="AU38" i="20"/>
  <c r="AS30" i="20"/>
  <c r="AS38" i="20" s="1"/>
  <c r="AQ30" i="20"/>
  <c r="AQ38" i="20" s="1"/>
  <c r="AO30" i="20"/>
  <c r="AO38" i="20" s="1"/>
  <c r="AM38" i="20"/>
  <c r="AK38" i="20"/>
  <c r="AI30" i="20"/>
  <c r="AI38" i="20" s="1"/>
  <c r="AG38" i="20"/>
  <c r="AE30" i="20"/>
  <c r="AE38" i="20" s="1"/>
  <c r="AC30" i="20"/>
  <c r="AC38" i="20" s="1"/>
  <c r="AA38" i="20"/>
  <c r="W38" i="20"/>
  <c r="S38" i="20"/>
  <c r="Q38" i="20"/>
  <c r="O38" i="20"/>
  <c r="M38" i="20"/>
  <c r="K30" i="20"/>
  <c r="K38" i="20" s="1"/>
  <c r="I30" i="20"/>
  <c r="I38" i="20" s="1"/>
  <c r="G38" i="20"/>
  <c r="E30" i="20"/>
  <c r="E38" i="20" s="1"/>
  <c r="BH29" i="20"/>
  <c r="BF29" i="20"/>
  <c r="BD29" i="20"/>
  <c r="BE29" i="20" s="1"/>
  <c r="BE30" i="20" s="1"/>
  <c r="BE38" i="20" s="1"/>
  <c r="BB29" i="20"/>
  <c r="AX29" i="20"/>
  <c r="AV29" i="20"/>
  <c r="AT29" i="20"/>
  <c r="AR29" i="20"/>
  <c r="AP29" i="20"/>
  <c r="AN29" i="20"/>
  <c r="AL29" i="20"/>
  <c r="AJ29" i="20"/>
  <c r="AH29" i="20"/>
  <c r="AF29" i="20"/>
  <c r="AD29" i="20"/>
  <c r="AB29" i="20"/>
  <c r="Z29" i="20"/>
  <c r="V29" i="20"/>
  <c r="T29" i="20"/>
  <c r="R29" i="20"/>
  <c r="P29" i="20"/>
  <c r="N29" i="20"/>
  <c r="L29" i="20"/>
  <c r="J29" i="20"/>
  <c r="H29" i="20"/>
  <c r="F29" i="20"/>
  <c r="D29" i="20"/>
  <c r="BH28" i="20"/>
  <c r="BF28" i="20"/>
  <c r="BD28" i="20"/>
  <c r="BB28" i="20"/>
  <c r="AZ28" i="20"/>
  <c r="AX28" i="20"/>
  <c r="AV28" i="20"/>
  <c r="AT28" i="20"/>
  <c r="AR28" i="20"/>
  <c r="AP28" i="20"/>
  <c r="AN28" i="20"/>
  <c r="AL28" i="20"/>
  <c r="AJ28" i="20"/>
  <c r="AH28" i="20"/>
  <c r="AF28" i="20"/>
  <c r="AD28" i="20"/>
  <c r="AB28" i="20"/>
  <c r="Z28" i="20"/>
  <c r="V28" i="20"/>
  <c r="T28" i="20"/>
  <c r="R28" i="20"/>
  <c r="P28" i="20"/>
  <c r="N28" i="20"/>
  <c r="L28" i="20"/>
  <c r="J28" i="20"/>
  <c r="H28" i="20"/>
  <c r="F28" i="20"/>
  <c r="D28" i="20"/>
  <c r="BG26" i="20"/>
  <c r="AQ26" i="20"/>
  <c r="AQ33" i="20" s="1"/>
  <c r="AO26" i="20"/>
  <c r="AI26" i="20"/>
  <c r="E26" i="20"/>
  <c r="BH25" i="20"/>
  <c r="BF25" i="20"/>
  <c r="BD25" i="20"/>
  <c r="BB25" i="20"/>
  <c r="AZ25" i="20"/>
  <c r="AX25" i="20"/>
  <c r="AV25" i="20"/>
  <c r="AT25" i="20"/>
  <c r="AR25" i="20"/>
  <c r="AP25" i="20"/>
  <c r="AN25" i="20"/>
  <c r="AL25" i="20"/>
  <c r="AJ25" i="20"/>
  <c r="AH25" i="20"/>
  <c r="AF25" i="20"/>
  <c r="AD25" i="20"/>
  <c r="Z25" i="20"/>
  <c r="V25" i="20"/>
  <c r="T25" i="20"/>
  <c r="R25" i="20"/>
  <c r="P25" i="20"/>
  <c r="N25" i="20"/>
  <c r="L25" i="20"/>
  <c r="J25" i="20"/>
  <c r="H25" i="20"/>
  <c r="F25" i="20"/>
  <c r="D25" i="20"/>
  <c r="BH24" i="20"/>
  <c r="BF24" i="20"/>
  <c r="BD24" i="20"/>
  <c r="BE24" i="20" s="1"/>
  <c r="BB24" i="20"/>
  <c r="AZ24" i="20"/>
  <c r="AX24" i="20"/>
  <c r="AV24" i="20"/>
  <c r="AT24" i="20"/>
  <c r="AR24" i="20"/>
  <c r="AP24" i="20"/>
  <c r="AN24" i="20"/>
  <c r="AL24" i="20"/>
  <c r="AJ24" i="20"/>
  <c r="AH24" i="20"/>
  <c r="AF24" i="20"/>
  <c r="AD24" i="20"/>
  <c r="Z24" i="20"/>
  <c r="V24" i="20"/>
  <c r="T24" i="20"/>
  <c r="R24" i="20"/>
  <c r="P24" i="20"/>
  <c r="N24" i="20"/>
  <c r="L24" i="20"/>
  <c r="J24" i="20"/>
  <c r="H24" i="20"/>
  <c r="F24" i="20"/>
  <c r="D24" i="20"/>
  <c r="BH23" i="20"/>
  <c r="BF23" i="20"/>
  <c r="BD23" i="20"/>
  <c r="BB23" i="20"/>
  <c r="AX23" i="20"/>
  <c r="AT23" i="20"/>
  <c r="AR23" i="20"/>
  <c r="AP23" i="20"/>
  <c r="AN23" i="20"/>
  <c r="AL23" i="20"/>
  <c r="AJ23" i="20"/>
  <c r="AH23" i="20"/>
  <c r="AF23" i="20"/>
  <c r="AD23" i="20"/>
  <c r="Z23" i="20"/>
  <c r="V23" i="20"/>
  <c r="T23" i="20"/>
  <c r="R23" i="20"/>
  <c r="P23" i="20"/>
  <c r="N23" i="20"/>
  <c r="L23" i="20"/>
  <c r="J23" i="20"/>
  <c r="H23" i="20"/>
  <c r="F23" i="20"/>
  <c r="D23" i="20"/>
  <c r="BH22" i="20"/>
  <c r="BF22" i="20"/>
  <c r="BD22" i="20"/>
  <c r="BB22" i="20"/>
  <c r="AZ22" i="20"/>
  <c r="AX22" i="20"/>
  <c r="AV22" i="20"/>
  <c r="AT22" i="20"/>
  <c r="AR22" i="20"/>
  <c r="AP22" i="20"/>
  <c r="AN22" i="20"/>
  <c r="AL22" i="20"/>
  <c r="AJ22" i="20"/>
  <c r="AH22" i="20"/>
  <c r="AF22" i="20"/>
  <c r="AD22" i="20"/>
  <c r="Z22" i="20"/>
  <c r="V22" i="20"/>
  <c r="T22" i="20"/>
  <c r="R22" i="20"/>
  <c r="P22" i="20"/>
  <c r="N22" i="20"/>
  <c r="L22" i="20"/>
  <c r="J22" i="20"/>
  <c r="H22" i="20"/>
  <c r="F22" i="20"/>
  <c r="D22" i="20"/>
  <c r="BH11" i="20"/>
  <c r="BF11" i="20"/>
  <c r="BD11" i="20"/>
  <c r="AY11" i="19"/>
  <c r="BB11" i="20"/>
  <c r="AX11" i="20"/>
  <c r="AT11" i="20"/>
  <c r="AR11" i="20"/>
  <c r="AP11" i="20"/>
  <c r="AN11" i="20"/>
  <c r="AL11" i="20"/>
  <c r="AJ11" i="20"/>
  <c r="AH11" i="20"/>
  <c r="AF11" i="20"/>
  <c r="AD11" i="20"/>
  <c r="Z11" i="20"/>
  <c r="V11" i="20"/>
  <c r="T11" i="20"/>
  <c r="R11" i="20"/>
  <c r="P11" i="20"/>
  <c r="N11" i="20"/>
  <c r="L11" i="20"/>
  <c r="J11" i="20"/>
  <c r="H11" i="20"/>
  <c r="F11" i="20"/>
  <c r="D11" i="20"/>
  <c r="BH21" i="20"/>
  <c r="BF21" i="20"/>
  <c r="BD21" i="20"/>
  <c r="BB21" i="20"/>
  <c r="AZ21" i="20"/>
  <c r="AX21" i="20"/>
  <c r="AV21" i="20"/>
  <c r="AT21" i="20"/>
  <c r="AR21" i="20"/>
  <c r="AP21" i="20"/>
  <c r="AN21" i="20"/>
  <c r="AL21" i="20"/>
  <c r="AJ21" i="20"/>
  <c r="AH21" i="20"/>
  <c r="AF21" i="20"/>
  <c r="Z21" i="20"/>
  <c r="V21" i="20"/>
  <c r="T21" i="20"/>
  <c r="R21" i="20"/>
  <c r="P21" i="20"/>
  <c r="N21" i="20"/>
  <c r="L21" i="20"/>
  <c r="J21" i="20"/>
  <c r="H21" i="20"/>
  <c r="F21" i="20"/>
  <c r="D21" i="20"/>
  <c r="BH20" i="20"/>
  <c r="BF20" i="20"/>
  <c r="BD20" i="20"/>
  <c r="BE20" i="20" s="1"/>
  <c r="BB20" i="20"/>
  <c r="AZ20" i="20"/>
  <c r="AX20" i="20"/>
  <c r="AV20" i="20"/>
  <c r="AT20" i="20"/>
  <c r="AR20" i="20"/>
  <c r="AP20" i="20"/>
  <c r="AN20" i="20"/>
  <c r="AL20" i="20"/>
  <c r="AJ20" i="20"/>
  <c r="AH20" i="20"/>
  <c r="AF20" i="20"/>
  <c r="AD20" i="20"/>
  <c r="Z20" i="20"/>
  <c r="V20" i="20"/>
  <c r="T20" i="20"/>
  <c r="R20" i="20"/>
  <c r="P20" i="20"/>
  <c r="N20" i="20"/>
  <c r="L20" i="20"/>
  <c r="J20" i="20"/>
  <c r="H20" i="20"/>
  <c r="F20" i="20"/>
  <c r="D20" i="20"/>
  <c r="BH19" i="20"/>
  <c r="BF19" i="20"/>
  <c r="BD19" i="20"/>
  <c r="BB19" i="20"/>
  <c r="AZ19" i="20"/>
  <c r="AX19" i="20"/>
  <c r="AV19" i="20"/>
  <c r="AT19" i="20"/>
  <c r="AR19" i="20"/>
  <c r="AP19" i="20"/>
  <c r="AN19" i="20"/>
  <c r="AL19" i="20"/>
  <c r="AJ19" i="20"/>
  <c r="AH19" i="20"/>
  <c r="AF19" i="20"/>
  <c r="AD19" i="20"/>
  <c r="Z19" i="20"/>
  <c r="V19" i="20"/>
  <c r="T19" i="20"/>
  <c r="R19" i="20"/>
  <c r="P19" i="20"/>
  <c r="N19" i="20"/>
  <c r="L19" i="20"/>
  <c r="H19" i="20"/>
  <c r="F19" i="20"/>
  <c r="D19" i="20"/>
  <c r="BH18" i="20"/>
  <c r="BF18" i="20"/>
  <c r="BD18" i="20"/>
  <c r="BE18" i="20" s="1"/>
  <c r="BB18" i="20"/>
  <c r="AZ18" i="20"/>
  <c r="AX18" i="20"/>
  <c r="AV18" i="20"/>
  <c r="AT18" i="20"/>
  <c r="AR18" i="20"/>
  <c r="AP18" i="20"/>
  <c r="AN18" i="20"/>
  <c r="AL18" i="20"/>
  <c r="AJ18" i="20"/>
  <c r="AH18" i="20"/>
  <c r="AF18" i="20"/>
  <c r="AD18" i="20"/>
  <c r="Z18" i="20"/>
  <c r="V18" i="20"/>
  <c r="T18" i="20"/>
  <c r="R18" i="20"/>
  <c r="P18" i="20"/>
  <c r="N18" i="20"/>
  <c r="L18" i="20"/>
  <c r="J18" i="20"/>
  <c r="H18" i="20"/>
  <c r="F18" i="20"/>
  <c r="D18" i="20"/>
  <c r="BH10" i="20"/>
  <c r="BF10" i="20"/>
  <c r="BD10" i="20"/>
  <c r="AY10" i="19"/>
  <c r="BB10" i="20"/>
  <c r="AZ10" i="20"/>
  <c r="AX10" i="20"/>
  <c r="AV10" i="20"/>
  <c r="AT10" i="20"/>
  <c r="AR10" i="20"/>
  <c r="AP10" i="20"/>
  <c r="AN10" i="20"/>
  <c r="AL10" i="20"/>
  <c r="AJ10" i="20"/>
  <c r="AH10" i="20"/>
  <c r="AF10" i="20"/>
  <c r="AD10" i="20"/>
  <c r="Z10" i="20"/>
  <c r="V10" i="20"/>
  <c r="T10" i="20"/>
  <c r="R10" i="20"/>
  <c r="P10" i="20"/>
  <c r="N10" i="20"/>
  <c r="L10" i="20"/>
  <c r="J10" i="20"/>
  <c r="H10" i="20"/>
  <c r="F10" i="20"/>
  <c r="D10" i="20"/>
  <c r="BH17" i="20"/>
  <c r="BF17" i="20"/>
  <c r="BD17" i="20"/>
  <c r="BE17" i="20" s="1"/>
  <c r="BB17" i="20"/>
  <c r="AX17" i="20"/>
  <c r="AT17" i="20"/>
  <c r="AR17" i="20"/>
  <c r="AP17" i="20"/>
  <c r="AN17" i="20"/>
  <c r="AL17" i="20"/>
  <c r="AJ17" i="20"/>
  <c r="AH17" i="20"/>
  <c r="AF17" i="20"/>
  <c r="AD17" i="20"/>
  <c r="Z17" i="20"/>
  <c r="T17" i="20"/>
  <c r="R17" i="20"/>
  <c r="P17" i="20"/>
  <c r="N17" i="20"/>
  <c r="L17" i="20"/>
  <c r="J17" i="20"/>
  <c r="H17" i="20"/>
  <c r="F17" i="20"/>
  <c r="D17" i="20"/>
  <c r="BH16" i="20"/>
  <c r="BF16" i="20"/>
  <c r="BD16" i="20"/>
  <c r="BE16" i="20" s="1"/>
  <c r="BB16" i="20"/>
  <c r="AZ16" i="20"/>
  <c r="AX16" i="20"/>
  <c r="AV16" i="20"/>
  <c r="AT16" i="20"/>
  <c r="AR16" i="20"/>
  <c r="AP16" i="20"/>
  <c r="AN16" i="20"/>
  <c r="AL16" i="20"/>
  <c r="AJ16" i="20"/>
  <c r="AH16" i="20"/>
  <c r="AF16" i="20"/>
  <c r="AD16" i="20"/>
  <c r="AB16" i="20"/>
  <c r="Z16" i="20"/>
  <c r="V16" i="20"/>
  <c r="T16" i="20"/>
  <c r="R16" i="20"/>
  <c r="P16" i="20"/>
  <c r="N16" i="20"/>
  <c r="L16" i="20"/>
  <c r="J16" i="20"/>
  <c r="H16" i="20"/>
  <c r="I16" i="20" s="1"/>
  <c r="I26" i="20" s="1"/>
  <c r="F16" i="20"/>
  <c r="D16" i="20"/>
  <c r="BH15" i="20"/>
  <c r="BF15" i="20"/>
  <c r="BD15" i="20"/>
  <c r="BB15" i="20"/>
  <c r="AZ15" i="20"/>
  <c r="AX15" i="20"/>
  <c r="AT15" i="20"/>
  <c r="AR15" i="20"/>
  <c r="AP15" i="20"/>
  <c r="AN15" i="20"/>
  <c r="AL15" i="20"/>
  <c r="AJ15" i="20"/>
  <c r="AH15" i="20"/>
  <c r="AF15" i="20"/>
  <c r="AD15" i="20"/>
  <c r="Z15" i="20"/>
  <c r="V15" i="20"/>
  <c r="T15" i="20"/>
  <c r="R15" i="20"/>
  <c r="P15" i="20"/>
  <c r="N15" i="20"/>
  <c r="L15" i="20"/>
  <c r="J15" i="20"/>
  <c r="H15" i="20"/>
  <c r="F15" i="20"/>
  <c r="D15" i="20"/>
  <c r="BH9" i="20"/>
  <c r="BF9" i="20"/>
  <c r="BD9" i="20"/>
  <c r="AY9" i="19"/>
  <c r="BB9" i="20"/>
  <c r="AZ9" i="20"/>
  <c r="AX9" i="20"/>
  <c r="AV9" i="20"/>
  <c r="AT9" i="20"/>
  <c r="AR9" i="20"/>
  <c r="AP9" i="20"/>
  <c r="AN9" i="20"/>
  <c r="AL9" i="20"/>
  <c r="AJ9" i="20"/>
  <c r="AH9" i="20"/>
  <c r="AF9" i="20"/>
  <c r="AD9" i="20"/>
  <c r="AE9" i="20" s="1"/>
  <c r="AE26" i="20" s="1"/>
  <c r="Z9" i="20"/>
  <c r="V9" i="20"/>
  <c r="T9" i="20"/>
  <c r="R9" i="20"/>
  <c r="P9" i="20"/>
  <c r="N9" i="20"/>
  <c r="L9" i="20"/>
  <c r="J9" i="20"/>
  <c r="H9" i="20"/>
  <c r="F9" i="20"/>
  <c r="D9" i="20"/>
  <c r="BH14" i="20"/>
  <c r="BF14" i="20"/>
  <c r="BD14" i="20"/>
  <c r="BB14" i="20"/>
  <c r="AX14" i="20"/>
  <c r="AV14" i="20"/>
  <c r="AT14" i="20"/>
  <c r="AR14" i="20"/>
  <c r="AP14" i="20"/>
  <c r="AN14" i="20"/>
  <c r="AL14" i="20"/>
  <c r="AJ14" i="20"/>
  <c r="AH14" i="20"/>
  <c r="AF14" i="20"/>
  <c r="AD14" i="20"/>
  <c r="Z14" i="20"/>
  <c r="V14" i="20"/>
  <c r="T14" i="20"/>
  <c r="R14" i="20"/>
  <c r="P14" i="20"/>
  <c r="N14" i="20"/>
  <c r="L14" i="20"/>
  <c r="J14" i="20"/>
  <c r="H14" i="20"/>
  <c r="F14" i="20"/>
  <c r="D14" i="20"/>
  <c r="BH13" i="20"/>
  <c r="BF13" i="20"/>
  <c r="BD13" i="20"/>
  <c r="BB13" i="20"/>
  <c r="AX13" i="20"/>
  <c r="AV13" i="20"/>
  <c r="AT13" i="20"/>
  <c r="AR13" i="20"/>
  <c r="AP13" i="20"/>
  <c r="AN13" i="20"/>
  <c r="AL13" i="20"/>
  <c r="AJ13" i="20"/>
  <c r="AH13" i="20"/>
  <c r="AF13" i="20"/>
  <c r="AD13" i="20"/>
  <c r="Z13" i="20"/>
  <c r="V13" i="20"/>
  <c r="T13" i="20"/>
  <c r="R13" i="20"/>
  <c r="P13" i="20"/>
  <c r="N13" i="20"/>
  <c r="L13" i="20"/>
  <c r="J13" i="20"/>
  <c r="H13" i="20"/>
  <c r="F13" i="20"/>
  <c r="D13" i="20"/>
  <c r="BH12" i="20"/>
  <c r="BF12" i="20"/>
  <c r="BD12" i="20"/>
  <c r="BB12" i="20"/>
  <c r="AX12" i="20"/>
  <c r="AV12" i="20"/>
  <c r="AT12" i="20"/>
  <c r="AR12" i="20"/>
  <c r="AP12" i="20"/>
  <c r="AN12" i="20"/>
  <c r="AL12" i="20"/>
  <c r="AJ12" i="20"/>
  <c r="AH12" i="20"/>
  <c r="AF12" i="20"/>
  <c r="AD12" i="20"/>
  <c r="AB12" i="20"/>
  <c r="Z12" i="20"/>
  <c r="V12" i="20"/>
  <c r="T12" i="20"/>
  <c r="R12" i="20"/>
  <c r="P12" i="20"/>
  <c r="N12" i="20"/>
  <c r="L12" i="20"/>
  <c r="J12" i="20"/>
  <c r="H12" i="20"/>
  <c r="F12" i="20"/>
  <c r="D12" i="20"/>
  <c r="BH8" i="20"/>
  <c r="BF8" i="20"/>
  <c r="BD8" i="20"/>
  <c r="BB8" i="20"/>
  <c r="AZ8" i="20"/>
  <c r="AX8" i="20"/>
  <c r="AV8" i="20"/>
  <c r="AT8" i="20"/>
  <c r="AR8" i="20"/>
  <c r="AP8" i="20"/>
  <c r="AN8" i="20"/>
  <c r="AL8" i="20"/>
  <c r="AJ8" i="20"/>
  <c r="AH8" i="20"/>
  <c r="AF8" i="20"/>
  <c r="AD8" i="20"/>
  <c r="Z8" i="20"/>
  <c r="V8" i="20"/>
  <c r="T8" i="20"/>
  <c r="R8" i="20"/>
  <c r="P8" i="20"/>
  <c r="Q8" i="20" s="1"/>
  <c r="Q26" i="20" s="1"/>
  <c r="N8" i="20"/>
  <c r="L8" i="20"/>
  <c r="J8" i="20"/>
  <c r="H8" i="20"/>
  <c r="F8" i="20"/>
  <c r="D8" i="20"/>
  <c r="BP26" i="19"/>
  <c r="BL26" i="19"/>
  <c r="BI41" i="20" s="1"/>
  <c r="BJ26" i="19"/>
  <c r="BF26" i="19"/>
  <c r="AW26" i="19"/>
  <c r="AS26" i="19"/>
  <c r="AS41" i="20" s="1"/>
  <c r="AQ26" i="19"/>
  <c r="AM26" i="19"/>
  <c r="AQ41" i="20" s="1"/>
  <c r="AK26" i="19"/>
  <c r="AG26" i="19"/>
  <c r="AM41" i="20" s="1"/>
  <c r="AE26" i="19"/>
  <c r="AA26" i="19"/>
  <c r="AK41" i="20" s="1"/>
  <c r="Y26" i="19"/>
  <c r="U26" i="19"/>
  <c r="AI41" i="20" s="1"/>
  <c r="O26" i="19"/>
  <c r="S26" i="19" s="1"/>
  <c r="BO25" i="19"/>
  <c r="BN25" i="19"/>
  <c r="BK25" i="19"/>
  <c r="BI25" i="19"/>
  <c r="BH25" i="19"/>
  <c r="BE25" i="19"/>
  <c r="BC25" i="19"/>
  <c r="BD25" i="19" s="1"/>
  <c r="BD26" i="19" s="1"/>
  <c r="AY25" i="19"/>
  <c r="AX25" i="19"/>
  <c r="AV25" i="19"/>
  <c r="AU25" i="19"/>
  <c r="AR25" i="19"/>
  <c r="AP25" i="19"/>
  <c r="AO25" i="19"/>
  <c r="AL25" i="19"/>
  <c r="AJ25" i="19"/>
  <c r="AI25" i="19"/>
  <c r="AD25" i="19"/>
  <c r="AC25" i="19"/>
  <c r="Z25" i="19"/>
  <c r="X25" i="19"/>
  <c r="W25" i="19"/>
  <c r="T25" i="19"/>
  <c r="S25" i="19"/>
  <c r="N25" i="19"/>
  <c r="R25" i="19" s="1"/>
  <c r="P25" i="19" s="1"/>
  <c r="L25" i="19"/>
  <c r="K25" i="19"/>
  <c r="H25" i="19"/>
  <c r="BO24" i="19"/>
  <c r="BN24" i="19"/>
  <c r="BK24" i="19"/>
  <c r="BI24" i="19"/>
  <c r="BH24" i="19"/>
  <c r="BE24" i="19"/>
  <c r="BC24" i="19"/>
  <c r="AY24" i="19"/>
  <c r="AX24" i="19"/>
  <c r="AV24" i="19"/>
  <c r="AU24" i="19"/>
  <c r="AR24" i="19"/>
  <c r="AP24" i="19"/>
  <c r="AO24" i="19"/>
  <c r="AL24" i="19"/>
  <c r="AJ24" i="19"/>
  <c r="AI24" i="19"/>
  <c r="AF24" i="19"/>
  <c r="AD24" i="19"/>
  <c r="AC24" i="19"/>
  <c r="Z24" i="19"/>
  <c r="X24" i="19"/>
  <c r="W24" i="19"/>
  <c r="T24" i="19"/>
  <c r="S24" i="19"/>
  <c r="G24" i="19" s="1"/>
  <c r="VA28" i="21" s="1"/>
  <c r="BF27" i="17" s="1"/>
  <c r="N24" i="19"/>
  <c r="R24" i="19" s="1"/>
  <c r="L24" i="19"/>
  <c r="K24" i="19"/>
  <c r="H24" i="19"/>
  <c r="BO23" i="19"/>
  <c r="BN23" i="19"/>
  <c r="BK23" i="19"/>
  <c r="BI23" i="19"/>
  <c r="BH23" i="19"/>
  <c r="BE23" i="19"/>
  <c r="BC23" i="19"/>
  <c r="AY23" i="19"/>
  <c r="AX23" i="19"/>
  <c r="AV23" i="19"/>
  <c r="AU23" i="19"/>
  <c r="AR23" i="19"/>
  <c r="AP23" i="19"/>
  <c r="AO23" i="19"/>
  <c r="AL23" i="19"/>
  <c r="AJ23" i="19"/>
  <c r="AI23" i="19"/>
  <c r="AF23" i="19"/>
  <c r="AD23" i="19"/>
  <c r="AC23" i="19"/>
  <c r="Z23" i="19"/>
  <c r="X23" i="19"/>
  <c r="W23" i="19"/>
  <c r="T23" i="19"/>
  <c r="S23" i="19"/>
  <c r="G23" i="19" s="1"/>
  <c r="VA27" i="21" s="1"/>
  <c r="BF26" i="17" s="1"/>
  <c r="N23" i="19"/>
  <c r="R23" i="19" s="1"/>
  <c r="L23" i="19"/>
  <c r="K23" i="19"/>
  <c r="H23" i="19"/>
  <c r="BO22" i="19"/>
  <c r="BN22" i="19"/>
  <c r="BK22" i="19"/>
  <c r="BI22" i="19"/>
  <c r="BH22" i="19"/>
  <c r="BE22" i="19"/>
  <c r="BC22" i="19"/>
  <c r="AY22" i="19"/>
  <c r="AX22" i="19"/>
  <c r="AV22" i="19"/>
  <c r="AU22" i="19"/>
  <c r="AR22" i="19"/>
  <c r="AP22" i="19"/>
  <c r="AO22" i="19"/>
  <c r="AL22" i="19"/>
  <c r="AJ22" i="19"/>
  <c r="AI22" i="19"/>
  <c r="AF22" i="19"/>
  <c r="AD22" i="19"/>
  <c r="AC22" i="19"/>
  <c r="Z22" i="19"/>
  <c r="X22" i="19"/>
  <c r="W22" i="19"/>
  <c r="T22" i="19"/>
  <c r="S22" i="19"/>
  <c r="G22" i="19" s="1"/>
  <c r="VA26" i="21" s="1"/>
  <c r="BF25" i="17" s="1"/>
  <c r="N22" i="19"/>
  <c r="R22" i="19" s="1"/>
  <c r="L22" i="19"/>
  <c r="K22" i="19"/>
  <c r="H22" i="19"/>
  <c r="BO11" i="19"/>
  <c r="BN11" i="19"/>
  <c r="BK11" i="19"/>
  <c r="BI11" i="19"/>
  <c r="BH11" i="19"/>
  <c r="BE11" i="19"/>
  <c r="BC11" i="19"/>
  <c r="AX11" i="19"/>
  <c r="AV11" i="19"/>
  <c r="AU11" i="19"/>
  <c r="AR11" i="19"/>
  <c r="AP11" i="19"/>
  <c r="AO11" i="19"/>
  <c r="AL11" i="19"/>
  <c r="AJ11" i="19"/>
  <c r="AI11" i="19"/>
  <c r="AF11" i="19"/>
  <c r="AD11" i="19"/>
  <c r="AC11" i="19"/>
  <c r="Z11" i="19"/>
  <c r="X11" i="19"/>
  <c r="W11" i="19"/>
  <c r="T11" i="19"/>
  <c r="S11" i="19"/>
  <c r="G11" i="19" s="1"/>
  <c r="VA15" i="21" s="1"/>
  <c r="BF24" i="17" s="1"/>
  <c r="N11" i="19"/>
  <c r="R11" i="19" s="1"/>
  <c r="L11" i="19"/>
  <c r="K11" i="19"/>
  <c r="H11" i="19"/>
  <c r="BO21" i="19"/>
  <c r="BN21" i="19"/>
  <c r="BK21" i="19"/>
  <c r="BI21" i="19"/>
  <c r="BH21" i="19"/>
  <c r="BE21" i="19"/>
  <c r="BC21" i="19"/>
  <c r="AY21" i="19"/>
  <c r="AX21" i="19"/>
  <c r="AV21" i="19"/>
  <c r="AU21" i="19"/>
  <c r="AR21" i="19"/>
  <c r="AP21" i="19"/>
  <c r="AO21" i="19"/>
  <c r="AL21" i="19"/>
  <c r="AJ21" i="19"/>
  <c r="AI21" i="19"/>
  <c r="AF21" i="19"/>
  <c r="AD21" i="19"/>
  <c r="AC21" i="19"/>
  <c r="Z21" i="19"/>
  <c r="X21" i="19"/>
  <c r="W21" i="19"/>
  <c r="T21" i="19"/>
  <c r="S21" i="19"/>
  <c r="G21" i="19" s="1"/>
  <c r="VA25" i="21" s="1"/>
  <c r="BF23" i="17" s="1"/>
  <c r="N21" i="19"/>
  <c r="R21" i="19" s="1"/>
  <c r="P21" i="19" s="1"/>
  <c r="L21" i="19"/>
  <c r="K21" i="19"/>
  <c r="H21" i="19"/>
  <c r="BO20" i="19"/>
  <c r="BN20" i="19"/>
  <c r="BK20" i="19"/>
  <c r="BI20" i="19"/>
  <c r="BH20" i="19"/>
  <c r="BE20" i="19"/>
  <c r="BC20" i="19"/>
  <c r="AY20" i="19"/>
  <c r="AX20" i="19"/>
  <c r="AV20" i="19"/>
  <c r="AU20" i="19"/>
  <c r="AR20" i="19"/>
  <c r="AP20" i="19"/>
  <c r="AO20" i="19"/>
  <c r="AL20" i="19"/>
  <c r="AJ20" i="19"/>
  <c r="AI20" i="19"/>
  <c r="AF20" i="19"/>
  <c r="AD20" i="19"/>
  <c r="AC20" i="19"/>
  <c r="Z20" i="19"/>
  <c r="X20" i="19"/>
  <c r="W20" i="19"/>
  <c r="T20" i="19"/>
  <c r="S20" i="19"/>
  <c r="G20" i="19" s="1"/>
  <c r="VA24" i="21" s="1"/>
  <c r="BF22" i="17" s="1"/>
  <c r="N20" i="19"/>
  <c r="R20" i="19" s="1"/>
  <c r="L20" i="19"/>
  <c r="K20" i="19"/>
  <c r="H20" i="19"/>
  <c r="BO19" i="19"/>
  <c r="BN19" i="19"/>
  <c r="BK19" i="19"/>
  <c r="BI19" i="19"/>
  <c r="BH19" i="19"/>
  <c r="BE19" i="19"/>
  <c r="BC19" i="19"/>
  <c r="AY19" i="19"/>
  <c r="AX19" i="19"/>
  <c r="AV19" i="19"/>
  <c r="AU19" i="19"/>
  <c r="AR19" i="19"/>
  <c r="AP19" i="19"/>
  <c r="AO19" i="19"/>
  <c r="AL19" i="19"/>
  <c r="AJ19" i="19"/>
  <c r="AI19" i="19"/>
  <c r="AF19" i="19"/>
  <c r="AD19" i="19"/>
  <c r="AC19" i="19"/>
  <c r="Z19" i="19"/>
  <c r="X19" i="19"/>
  <c r="W19" i="19"/>
  <c r="T19" i="19"/>
  <c r="S19" i="19"/>
  <c r="Q19" i="19" s="1"/>
  <c r="N19" i="19"/>
  <c r="R19" i="19" s="1"/>
  <c r="L19" i="19"/>
  <c r="H19" i="19"/>
  <c r="BO18" i="19"/>
  <c r="BN18" i="19"/>
  <c r="BK18" i="19"/>
  <c r="BI18" i="19"/>
  <c r="BH18" i="19"/>
  <c r="BE18" i="19"/>
  <c r="BC18" i="19"/>
  <c r="AY18" i="19"/>
  <c r="AX18" i="19"/>
  <c r="AV18" i="19"/>
  <c r="AU18" i="19"/>
  <c r="AR18" i="19"/>
  <c r="AP18" i="19"/>
  <c r="AO18" i="19"/>
  <c r="AL18" i="19"/>
  <c r="AJ18" i="19"/>
  <c r="AI18" i="19"/>
  <c r="AD18" i="19"/>
  <c r="AC18" i="19"/>
  <c r="Z18" i="19"/>
  <c r="X18" i="19"/>
  <c r="W18" i="19"/>
  <c r="T18" i="19"/>
  <c r="S18" i="19"/>
  <c r="G18" i="19" s="1"/>
  <c r="VA22" i="21" s="1"/>
  <c r="BF20" i="17" s="1"/>
  <c r="N18" i="19"/>
  <c r="R18" i="19" s="1"/>
  <c r="P18" i="19" s="1"/>
  <c r="L18" i="19"/>
  <c r="K18" i="19"/>
  <c r="H18" i="19"/>
  <c r="BO10" i="19"/>
  <c r="BN10" i="19"/>
  <c r="BK10" i="19"/>
  <c r="BI10" i="19"/>
  <c r="BH10" i="19"/>
  <c r="BE10" i="19"/>
  <c r="BC10" i="19"/>
  <c r="AX10" i="19"/>
  <c r="AV10" i="19"/>
  <c r="AU10" i="19"/>
  <c r="AR10" i="19"/>
  <c r="AP10" i="19"/>
  <c r="AO10" i="19"/>
  <c r="AL10" i="19"/>
  <c r="AJ10" i="19"/>
  <c r="AI10" i="19"/>
  <c r="AF10" i="19"/>
  <c r="AD10" i="19"/>
  <c r="AC10" i="19"/>
  <c r="Z10" i="19"/>
  <c r="X10" i="19"/>
  <c r="W10" i="19"/>
  <c r="T10" i="19"/>
  <c r="S10" i="19"/>
  <c r="G10" i="19" s="1"/>
  <c r="VA14" i="21" s="1"/>
  <c r="BF19" i="17" s="1"/>
  <c r="N10" i="19"/>
  <c r="R10" i="19" s="1"/>
  <c r="P10" i="19" s="1"/>
  <c r="L10" i="19"/>
  <c r="K10" i="19"/>
  <c r="H10" i="19"/>
  <c r="BO17" i="19"/>
  <c r="BN17" i="19"/>
  <c r="BK17" i="19"/>
  <c r="BI17" i="19"/>
  <c r="BH17" i="19"/>
  <c r="BE17" i="19"/>
  <c r="BC17" i="19"/>
  <c r="AY17" i="19"/>
  <c r="AX17" i="19"/>
  <c r="AV17" i="19"/>
  <c r="AU17" i="19"/>
  <c r="AR17" i="19"/>
  <c r="AP17" i="19"/>
  <c r="AO17" i="19"/>
  <c r="AL17" i="19"/>
  <c r="AJ17" i="19"/>
  <c r="AI17" i="19"/>
  <c r="AF17" i="19"/>
  <c r="AD17" i="19"/>
  <c r="AC17" i="19"/>
  <c r="Z17" i="19"/>
  <c r="X17" i="19"/>
  <c r="W17" i="19"/>
  <c r="T17" i="19"/>
  <c r="S17" i="19"/>
  <c r="G17" i="19" s="1"/>
  <c r="VA21" i="21" s="1"/>
  <c r="BF18" i="17" s="1"/>
  <c r="N17" i="19"/>
  <c r="R17" i="19" s="1"/>
  <c r="P17" i="19" s="1"/>
  <c r="L17" i="19"/>
  <c r="K17" i="19"/>
  <c r="H17" i="19"/>
  <c r="BO16" i="19"/>
  <c r="BN16" i="19"/>
  <c r="BK16" i="19"/>
  <c r="BI16" i="19"/>
  <c r="BH16" i="19"/>
  <c r="BE16" i="19"/>
  <c r="BC16" i="19"/>
  <c r="AY16" i="19"/>
  <c r="AX16" i="19"/>
  <c r="AV16" i="19"/>
  <c r="AU16" i="19"/>
  <c r="AR16" i="19"/>
  <c r="AP16" i="19"/>
  <c r="AO16" i="19"/>
  <c r="AL16" i="19"/>
  <c r="AJ16" i="19"/>
  <c r="AI16" i="19"/>
  <c r="AF16" i="19"/>
  <c r="AD16" i="19"/>
  <c r="AC16" i="19"/>
  <c r="Z16" i="19"/>
  <c r="X16" i="19"/>
  <c r="W16" i="19"/>
  <c r="T16" i="19"/>
  <c r="S16" i="19"/>
  <c r="G16" i="19" s="1"/>
  <c r="VA20" i="21" s="1"/>
  <c r="BF17" i="17" s="1"/>
  <c r="N16" i="19"/>
  <c r="R16" i="19" s="1"/>
  <c r="P16" i="19" s="1"/>
  <c r="L16" i="19"/>
  <c r="K16" i="19"/>
  <c r="H16" i="19"/>
  <c r="BO15" i="19"/>
  <c r="BN15" i="19"/>
  <c r="BK15" i="19"/>
  <c r="BI15" i="19"/>
  <c r="BH15" i="19"/>
  <c r="BE15" i="19"/>
  <c r="BC15" i="19"/>
  <c r="AY15" i="19"/>
  <c r="AX15" i="19"/>
  <c r="AV15" i="19"/>
  <c r="AU15" i="19"/>
  <c r="AR15" i="19"/>
  <c r="AP15" i="19"/>
  <c r="AO15" i="19"/>
  <c r="AL15" i="19"/>
  <c r="AJ15" i="19"/>
  <c r="AI15" i="19"/>
  <c r="AF15" i="19"/>
  <c r="AD15" i="19"/>
  <c r="AC15" i="19"/>
  <c r="Z15" i="19"/>
  <c r="X15" i="19"/>
  <c r="W15" i="19"/>
  <c r="T15" i="19"/>
  <c r="S15" i="19"/>
  <c r="G15" i="19" s="1"/>
  <c r="VA19" i="21" s="1"/>
  <c r="BF16" i="17" s="1"/>
  <c r="N15" i="19"/>
  <c r="R15" i="19" s="1"/>
  <c r="P15" i="19" s="1"/>
  <c r="L15" i="19"/>
  <c r="K15" i="19"/>
  <c r="H15" i="19"/>
  <c r="BO9" i="19"/>
  <c r="BN9" i="19"/>
  <c r="BK9" i="19"/>
  <c r="BI9" i="19"/>
  <c r="BH9" i="19"/>
  <c r="BE9" i="19"/>
  <c r="BC9" i="19"/>
  <c r="AX9" i="19"/>
  <c r="AV9" i="19"/>
  <c r="AU9" i="19"/>
  <c r="AR9" i="19"/>
  <c r="AP9" i="19"/>
  <c r="AO9" i="19"/>
  <c r="AL9" i="19"/>
  <c r="AJ9" i="19"/>
  <c r="AI9" i="19"/>
  <c r="AF9" i="19"/>
  <c r="AD9" i="19"/>
  <c r="AC9" i="19"/>
  <c r="Z9" i="19"/>
  <c r="X9" i="19"/>
  <c r="W9" i="19"/>
  <c r="T9" i="19"/>
  <c r="S9" i="19"/>
  <c r="G9" i="19" s="1"/>
  <c r="VA13" i="21" s="1"/>
  <c r="BF15" i="17" s="1"/>
  <c r="N9" i="19"/>
  <c r="R9" i="19" s="1"/>
  <c r="P9" i="19" s="1"/>
  <c r="L9" i="19"/>
  <c r="K9" i="19"/>
  <c r="H9" i="19"/>
  <c r="BO14" i="19"/>
  <c r="BN14" i="19"/>
  <c r="BK14" i="19"/>
  <c r="BI14" i="19"/>
  <c r="BH14" i="19"/>
  <c r="BE14" i="19"/>
  <c r="BC14" i="19"/>
  <c r="AY14" i="19"/>
  <c r="AX14" i="19"/>
  <c r="AV14" i="19"/>
  <c r="AU14" i="19"/>
  <c r="AR14" i="19"/>
  <c r="AP14" i="19"/>
  <c r="AO14" i="19"/>
  <c r="AL14" i="19"/>
  <c r="AJ14" i="19"/>
  <c r="AI14" i="19"/>
  <c r="AF14" i="19"/>
  <c r="AD14" i="19"/>
  <c r="AC14" i="19"/>
  <c r="Z14" i="19"/>
  <c r="X14" i="19"/>
  <c r="W14" i="19"/>
  <c r="T14" i="19"/>
  <c r="S14" i="19"/>
  <c r="G14" i="19" s="1"/>
  <c r="VA18" i="21" s="1"/>
  <c r="BF14" i="17" s="1"/>
  <c r="N14" i="19"/>
  <c r="R14" i="19" s="1"/>
  <c r="P14" i="19" s="1"/>
  <c r="L14" i="19"/>
  <c r="K14" i="19"/>
  <c r="H14" i="19"/>
  <c r="BO13" i="19"/>
  <c r="BN13" i="19"/>
  <c r="BK13" i="19"/>
  <c r="BI13" i="19"/>
  <c r="BH13" i="19"/>
  <c r="BE13" i="19"/>
  <c r="BC13" i="19"/>
  <c r="AY13" i="19"/>
  <c r="AX13" i="19"/>
  <c r="AV13" i="19"/>
  <c r="AU13" i="19"/>
  <c r="AR13" i="19"/>
  <c r="AP13" i="19"/>
  <c r="AO13" i="19"/>
  <c r="AL13" i="19"/>
  <c r="AJ13" i="19"/>
  <c r="AI13" i="19"/>
  <c r="AF13" i="19"/>
  <c r="AD13" i="19"/>
  <c r="AC13" i="19"/>
  <c r="Z13" i="19"/>
  <c r="X13" i="19"/>
  <c r="W13" i="19"/>
  <c r="T13" i="19"/>
  <c r="S13" i="19"/>
  <c r="G13" i="19" s="1"/>
  <c r="VA17" i="21" s="1"/>
  <c r="BF13" i="17" s="1"/>
  <c r="N13" i="19"/>
  <c r="R13" i="19" s="1"/>
  <c r="P13" i="19" s="1"/>
  <c r="L13" i="19"/>
  <c r="K13" i="19"/>
  <c r="H13" i="19"/>
  <c r="BO12" i="19"/>
  <c r="BN12" i="19"/>
  <c r="BK12" i="19"/>
  <c r="BI12" i="19"/>
  <c r="BH12" i="19"/>
  <c r="BE12" i="19"/>
  <c r="BC12" i="19"/>
  <c r="AY12" i="19"/>
  <c r="AX12" i="19"/>
  <c r="AV12" i="19"/>
  <c r="AU12" i="19"/>
  <c r="AR12" i="19"/>
  <c r="AP12" i="19"/>
  <c r="AO12" i="19"/>
  <c r="AL12" i="19"/>
  <c r="AI12" i="19"/>
  <c r="AD12" i="19"/>
  <c r="AC12" i="19"/>
  <c r="Z12" i="19"/>
  <c r="X12" i="19"/>
  <c r="W12" i="19"/>
  <c r="T12" i="19"/>
  <c r="S12" i="19"/>
  <c r="G12" i="19" s="1"/>
  <c r="VA16" i="21" s="1"/>
  <c r="BF12" i="17" s="1"/>
  <c r="N12" i="19"/>
  <c r="R12" i="19" s="1"/>
  <c r="P12" i="19" s="1"/>
  <c r="L12" i="19"/>
  <c r="K12" i="19"/>
  <c r="H12" i="19"/>
  <c r="BO8" i="19"/>
  <c r="BN8" i="19"/>
  <c r="BK8" i="19"/>
  <c r="BI8" i="19"/>
  <c r="BH8" i="19"/>
  <c r="BE8" i="19"/>
  <c r="BC8" i="19"/>
  <c r="AY8" i="19"/>
  <c r="AX8" i="19"/>
  <c r="AV8" i="19"/>
  <c r="AU8" i="19"/>
  <c r="AR8" i="19"/>
  <c r="AP8" i="19"/>
  <c r="AO8" i="19"/>
  <c r="AL8" i="19"/>
  <c r="AJ8" i="19"/>
  <c r="AI8" i="19"/>
  <c r="AF8" i="19"/>
  <c r="AD8" i="19"/>
  <c r="AC8" i="19"/>
  <c r="Z8" i="19"/>
  <c r="X8" i="19"/>
  <c r="W8" i="19"/>
  <c r="T8" i="19"/>
  <c r="S8" i="19"/>
  <c r="G8" i="19" s="1"/>
  <c r="VA12" i="21" s="1"/>
  <c r="BF11" i="17" s="1"/>
  <c r="N8" i="19"/>
  <c r="L8" i="19"/>
  <c r="K8" i="19"/>
  <c r="H8" i="19"/>
  <c r="AO33" i="18"/>
  <c r="AO32" i="18" s="1"/>
  <c r="AM33" i="18"/>
  <c r="AM32" i="18" s="1"/>
  <c r="AK33" i="18"/>
  <c r="AK32" i="18" s="1"/>
  <c r="AI33" i="18"/>
  <c r="AI32" i="18" s="1"/>
  <c r="AG33" i="18"/>
  <c r="AG32" i="18" s="1"/>
  <c r="AE33" i="18"/>
  <c r="AE32" i="18" s="1"/>
  <c r="AC33" i="18"/>
  <c r="AC32" i="18" s="1"/>
  <c r="AA33" i="18"/>
  <c r="AA32" i="18" s="1"/>
  <c r="Y33" i="18"/>
  <c r="Y32" i="18" s="1"/>
  <c r="W33" i="18"/>
  <c r="W32" i="18" s="1"/>
  <c r="U33" i="18"/>
  <c r="U32" i="18" s="1"/>
  <c r="S33" i="18"/>
  <c r="Q33" i="18"/>
  <c r="Q32" i="18" s="1"/>
  <c r="O33" i="18"/>
  <c r="O32" i="18" s="1"/>
  <c r="M33" i="18"/>
  <c r="M32" i="18" s="1"/>
  <c r="K33" i="18"/>
  <c r="K32" i="18" s="1"/>
  <c r="I33" i="18"/>
  <c r="I32" i="18" s="1"/>
  <c r="G33" i="18"/>
  <c r="G32" i="18" s="1"/>
  <c r="E33" i="18"/>
  <c r="E32" i="18" s="1"/>
  <c r="AO31" i="18"/>
  <c r="AM31" i="18"/>
  <c r="AK31" i="18"/>
  <c r="AI31" i="18"/>
  <c r="AG31" i="18"/>
  <c r="AE31" i="18"/>
  <c r="AC31" i="18"/>
  <c r="AA31" i="18"/>
  <c r="Y31" i="18"/>
  <c r="W31" i="18"/>
  <c r="S31" i="18"/>
  <c r="Q31" i="18"/>
  <c r="O31" i="18"/>
  <c r="M31" i="18"/>
  <c r="K31" i="18"/>
  <c r="I31" i="18"/>
  <c r="G31" i="18"/>
  <c r="E31" i="18"/>
  <c r="AO28" i="18"/>
  <c r="AM28" i="18"/>
  <c r="AK28" i="18"/>
  <c r="AI28" i="18"/>
  <c r="AG28" i="18"/>
  <c r="AE28" i="18"/>
  <c r="AC28" i="18"/>
  <c r="AA28" i="18"/>
  <c r="Y28" i="18"/>
  <c r="W28" i="18"/>
  <c r="Q28" i="18"/>
  <c r="O28" i="18"/>
  <c r="M28" i="18"/>
  <c r="K28" i="18"/>
  <c r="I28" i="18"/>
  <c r="G28" i="18"/>
  <c r="E28" i="18"/>
  <c r="AN27" i="18"/>
  <c r="AJ27" i="18"/>
  <c r="AH27" i="18"/>
  <c r="AD27" i="18"/>
  <c r="Z27" i="18"/>
  <c r="R27" i="18"/>
  <c r="L27" i="18"/>
  <c r="H27" i="18"/>
  <c r="F27" i="18"/>
  <c r="D27" i="18"/>
  <c r="C27" i="18"/>
  <c r="VI32" i="21" s="1"/>
  <c r="AN26" i="18"/>
  <c r="AJ26" i="18"/>
  <c r="AH26" i="18"/>
  <c r="Z26" i="18"/>
  <c r="R26" i="18"/>
  <c r="L26" i="18"/>
  <c r="H26" i="18"/>
  <c r="F26" i="18"/>
  <c r="D26" i="18"/>
  <c r="C26" i="18"/>
  <c r="VI33" i="21" s="1"/>
  <c r="VF33" i="21" s="1"/>
  <c r="VE33" i="21" s="1"/>
  <c r="AN25" i="18"/>
  <c r="AJ25" i="18"/>
  <c r="AH25" i="18"/>
  <c r="AD25" i="18"/>
  <c r="Z25" i="18"/>
  <c r="V25" i="18"/>
  <c r="R25" i="18"/>
  <c r="P25" i="18"/>
  <c r="H25" i="18"/>
  <c r="F25" i="18"/>
  <c r="D25" i="18"/>
  <c r="C25" i="18"/>
  <c r="VI29" i="21" s="1"/>
  <c r="VF29" i="21" s="1"/>
  <c r="AN24" i="18"/>
  <c r="AJ24" i="18"/>
  <c r="AH24" i="18"/>
  <c r="AD24" i="18"/>
  <c r="Z24" i="18"/>
  <c r="V24" i="18"/>
  <c r="R24" i="18"/>
  <c r="H24" i="18"/>
  <c r="F24" i="18"/>
  <c r="D24" i="18"/>
  <c r="C24" i="18"/>
  <c r="VI28" i="21" s="1"/>
  <c r="VF28" i="21" s="1"/>
  <c r="AN23" i="18"/>
  <c r="AJ23" i="18"/>
  <c r="AH23" i="18"/>
  <c r="AD23" i="18"/>
  <c r="Z23" i="18"/>
  <c r="V23" i="18"/>
  <c r="R23" i="18"/>
  <c r="L23" i="18"/>
  <c r="H23" i="18"/>
  <c r="F23" i="18"/>
  <c r="D23" i="18"/>
  <c r="C23" i="18"/>
  <c r="VI27" i="21" s="1"/>
  <c r="VF27" i="21" s="1"/>
  <c r="AN22" i="18"/>
  <c r="AJ22" i="18"/>
  <c r="AH22" i="18"/>
  <c r="AD22" i="18"/>
  <c r="Z22" i="18"/>
  <c r="V22" i="18"/>
  <c r="R22" i="18"/>
  <c r="L22" i="18"/>
  <c r="H22" i="18"/>
  <c r="F22" i="18"/>
  <c r="D22" i="18"/>
  <c r="C22" i="18"/>
  <c r="VI26" i="21" s="1"/>
  <c r="VF26" i="21" s="1"/>
  <c r="AN11" i="18"/>
  <c r="AJ11" i="18"/>
  <c r="AH11" i="18"/>
  <c r="AD11" i="18"/>
  <c r="Z11" i="18"/>
  <c r="V11" i="18"/>
  <c r="R11" i="18"/>
  <c r="L11" i="18"/>
  <c r="H11" i="18"/>
  <c r="F11" i="18"/>
  <c r="D11" i="18"/>
  <c r="C11" i="18"/>
  <c r="VI15" i="21" s="1"/>
  <c r="VF15" i="21" s="1"/>
  <c r="AN21" i="18"/>
  <c r="AJ21" i="18"/>
  <c r="AH21" i="18"/>
  <c r="AD21" i="18"/>
  <c r="Z21" i="18"/>
  <c r="V21" i="18"/>
  <c r="R21" i="18"/>
  <c r="L21" i="18"/>
  <c r="H21" i="18"/>
  <c r="F21" i="18"/>
  <c r="D21" i="18"/>
  <c r="C21" i="18"/>
  <c r="VI25" i="21" s="1"/>
  <c r="VF25" i="21" s="1"/>
  <c r="AN20" i="18"/>
  <c r="AJ20" i="18"/>
  <c r="AH20" i="18"/>
  <c r="AD20" i="18"/>
  <c r="Z20" i="18"/>
  <c r="V20" i="18"/>
  <c r="R20" i="18"/>
  <c r="H20" i="18"/>
  <c r="F20" i="18"/>
  <c r="D20" i="18"/>
  <c r="C20" i="18"/>
  <c r="VI24" i="21" s="1"/>
  <c r="VF24" i="21" s="1"/>
  <c r="AN19" i="18"/>
  <c r="AJ19" i="18"/>
  <c r="AH19" i="18"/>
  <c r="AD19" i="18"/>
  <c r="Z19" i="18"/>
  <c r="V19" i="18"/>
  <c r="R19" i="18"/>
  <c r="P19" i="18"/>
  <c r="H19" i="18"/>
  <c r="F19" i="18"/>
  <c r="D19" i="18"/>
  <c r="AN18" i="18"/>
  <c r="AJ18" i="18"/>
  <c r="AH18" i="18"/>
  <c r="AD18" i="18"/>
  <c r="Z18" i="18"/>
  <c r="V18" i="18"/>
  <c r="R18" i="18"/>
  <c r="L18" i="18"/>
  <c r="H18" i="18"/>
  <c r="F18" i="18"/>
  <c r="D18" i="18"/>
  <c r="C18" i="18"/>
  <c r="VI22" i="21" s="1"/>
  <c r="VF22" i="21" s="1"/>
  <c r="AN10" i="18"/>
  <c r="AJ10" i="18"/>
  <c r="AH10" i="18"/>
  <c r="AD10" i="18"/>
  <c r="Z10" i="18"/>
  <c r="V10" i="18"/>
  <c r="R10" i="18"/>
  <c r="H10" i="18"/>
  <c r="F10" i="18"/>
  <c r="D10" i="18"/>
  <c r="C10" i="18"/>
  <c r="VI14" i="21" s="1"/>
  <c r="VF14" i="21" s="1"/>
  <c r="AN17" i="18"/>
  <c r="AJ17" i="18"/>
  <c r="AH17" i="18"/>
  <c r="AD17" i="18"/>
  <c r="Z17" i="18"/>
  <c r="V17" i="18"/>
  <c r="R17" i="18"/>
  <c r="L17" i="18"/>
  <c r="H17" i="18"/>
  <c r="F17" i="18"/>
  <c r="D17" i="18"/>
  <c r="C17" i="18"/>
  <c r="VI21" i="21" s="1"/>
  <c r="VF21" i="21" s="1"/>
  <c r="AN16" i="18"/>
  <c r="AJ16" i="18"/>
  <c r="AH16" i="18"/>
  <c r="AD16" i="18"/>
  <c r="Z16" i="18"/>
  <c r="V16" i="18"/>
  <c r="R16" i="18"/>
  <c r="P16" i="18"/>
  <c r="H16" i="18"/>
  <c r="F16" i="18"/>
  <c r="D16" i="18"/>
  <c r="C16" i="18"/>
  <c r="VI20" i="21" s="1"/>
  <c r="VF20" i="21" s="1"/>
  <c r="AN15" i="18"/>
  <c r="AJ15" i="18"/>
  <c r="AH15" i="18"/>
  <c r="AD15" i="18"/>
  <c r="Z15" i="18"/>
  <c r="V15" i="18"/>
  <c r="R15" i="18"/>
  <c r="H15" i="18"/>
  <c r="F15" i="18"/>
  <c r="D15" i="18"/>
  <c r="C15" i="18"/>
  <c r="VI19" i="21" s="1"/>
  <c r="VF19" i="21" s="1"/>
  <c r="AN9" i="18"/>
  <c r="AJ9" i="18"/>
  <c r="AH9" i="18"/>
  <c r="AD9" i="18"/>
  <c r="Z9" i="18"/>
  <c r="V9" i="18"/>
  <c r="R9" i="18"/>
  <c r="L9" i="18"/>
  <c r="H9" i="18"/>
  <c r="F9" i="18"/>
  <c r="D9" i="18"/>
  <c r="C9" i="18"/>
  <c r="AN14" i="18"/>
  <c r="AJ14" i="18"/>
  <c r="AH14" i="18"/>
  <c r="AD14" i="18"/>
  <c r="Z14" i="18"/>
  <c r="V14" i="18"/>
  <c r="R14" i="18"/>
  <c r="L14" i="18"/>
  <c r="H14" i="18"/>
  <c r="F14" i="18"/>
  <c r="D14" i="18"/>
  <c r="C14" i="18"/>
  <c r="VI18" i="21" s="1"/>
  <c r="VF18" i="21" s="1"/>
  <c r="AN13" i="18"/>
  <c r="AJ13" i="18"/>
  <c r="AH13" i="18"/>
  <c r="AD13" i="18"/>
  <c r="Z13" i="18"/>
  <c r="V13" i="18"/>
  <c r="R13" i="18"/>
  <c r="P13" i="18"/>
  <c r="L13" i="18"/>
  <c r="H13" i="18"/>
  <c r="F13" i="18"/>
  <c r="D13" i="18"/>
  <c r="C13" i="18"/>
  <c r="VI17" i="21" s="1"/>
  <c r="VF17" i="21" s="1"/>
  <c r="AN12" i="18"/>
  <c r="AJ12" i="18"/>
  <c r="AH12" i="18"/>
  <c r="AD12" i="18"/>
  <c r="Z12" i="18"/>
  <c r="V12" i="18"/>
  <c r="R12" i="18"/>
  <c r="P12" i="18"/>
  <c r="H12" i="18"/>
  <c r="F12" i="18"/>
  <c r="D12" i="18"/>
  <c r="C12" i="18"/>
  <c r="VI16" i="21" s="1"/>
  <c r="VF16" i="21" s="1"/>
  <c r="AN8" i="18"/>
  <c r="AJ8" i="18"/>
  <c r="AH8" i="18"/>
  <c r="AD8" i="18"/>
  <c r="Z8" i="18"/>
  <c r="V8" i="18"/>
  <c r="R8" i="18"/>
  <c r="H8" i="18"/>
  <c r="F8" i="18"/>
  <c r="D8" i="18"/>
  <c r="C8" i="18"/>
  <c r="VI12" i="21" s="1"/>
  <c r="G79" i="17"/>
  <c r="H78" i="17"/>
  <c r="L78" i="17"/>
  <c r="J78" i="17"/>
  <c r="E78" i="17"/>
  <c r="O77" i="17"/>
  <c r="H77" i="17" s="1"/>
  <c r="N77" i="17"/>
  <c r="F77" i="17" s="1"/>
  <c r="L77" i="17"/>
  <c r="K77" i="17"/>
  <c r="J77" i="17"/>
  <c r="I77" i="17"/>
  <c r="E77" i="17"/>
  <c r="D77" i="17"/>
  <c r="AR68" i="17"/>
  <c r="AR67" i="17"/>
  <c r="N66" i="17"/>
  <c r="AR64" i="17"/>
  <c r="N64" i="17"/>
  <c r="AR63" i="17"/>
  <c r="N63" i="17"/>
  <c r="AR60" i="17"/>
  <c r="N60" i="17"/>
  <c r="AR59" i="17"/>
  <c r="N59" i="17"/>
  <c r="AR58" i="17"/>
  <c r="AR57" i="17"/>
  <c r="AR56" i="17"/>
  <c r="N56" i="17"/>
  <c r="AR55" i="17"/>
  <c r="N55" i="17"/>
  <c r="AR54" i="17"/>
  <c r="N54" i="17"/>
  <c r="AR53" i="17"/>
  <c r="AR52" i="17"/>
  <c r="N52" i="17"/>
  <c r="AR51" i="17"/>
  <c r="N51" i="17"/>
  <c r="AR50" i="17"/>
  <c r="N50" i="17"/>
  <c r="AR49" i="17"/>
  <c r="N49" i="17"/>
  <c r="AR48" i="17"/>
  <c r="N48" i="17"/>
  <c r="AR47" i="17"/>
  <c r="N47" i="17"/>
  <c r="AR46" i="17"/>
  <c r="N46" i="17"/>
  <c r="AR45" i="17"/>
  <c r="AR44" i="17"/>
  <c r="N44" i="17"/>
  <c r="BG40" i="17"/>
  <c r="BC40" i="17"/>
  <c r="AW40" i="17"/>
  <c r="AQ40" i="17"/>
  <c r="AK40" i="17"/>
  <c r="AE40" i="17"/>
  <c r="AC40" i="17"/>
  <c r="Y40" i="17"/>
  <c r="S40" i="17"/>
  <c r="M40" i="17"/>
  <c r="G40" i="17"/>
  <c r="BI33" i="17"/>
  <c r="BH33" i="17"/>
  <c r="BH41" i="17" s="1"/>
  <c r="BG33" i="17"/>
  <c r="BG41" i="17" s="1"/>
  <c r="BF33" i="17"/>
  <c r="BF41" i="17" s="1"/>
  <c r="BE33" i="17"/>
  <c r="BE41" i="17" s="1"/>
  <c r="BD33" i="17"/>
  <c r="BD41" i="17" s="1"/>
  <c r="BC33" i="17"/>
  <c r="BB33" i="17"/>
  <c r="BB41" i="17" s="1"/>
  <c r="BA33" i="17"/>
  <c r="BA41" i="17" s="1"/>
  <c r="AZ33" i="17"/>
  <c r="AZ41" i="17" s="1"/>
  <c r="AY33" i="17"/>
  <c r="AY41" i="17" s="1"/>
  <c r="AX33" i="17"/>
  <c r="AX41" i="17" s="1"/>
  <c r="AW33" i="17"/>
  <c r="AW41" i="17" s="1"/>
  <c r="AV33" i="17"/>
  <c r="AV41" i="17" s="1"/>
  <c r="AU33" i="17"/>
  <c r="AU41" i="17" s="1"/>
  <c r="AT33" i="17"/>
  <c r="AT41" i="17" s="1"/>
  <c r="AS33" i="17"/>
  <c r="AS41" i="17" s="1"/>
  <c r="AR33" i="17"/>
  <c r="AR41" i="17" s="1"/>
  <c r="AQ33" i="17"/>
  <c r="AQ41" i="17" s="1"/>
  <c r="AK33" i="17"/>
  <c r="AK41" i="17" s="1"/>
  <c r="AE33" i="17"/>
  <c r="AD33" i="17"/>
  <c r="AD41" i="17" s="1"/>
  <c r="AC33" i="17"/>
  <c r="AC41" i="17" s="1"/>
  <c r="AB33" i="17"/>
  <c r="AA33" i="17"/>
  <c r="AA41" i="17" s="1"/>
  <c r="Z33" i="17"/>
  <c r="Z41" i="17" s="1"/>
  <c r="Y33" i="17"/>
  <c r="Y41" i="17" s="1"/>
  <c r="X33" i="17"/>
  <c r="X41" i="17" s="1"/>
  <c r="W33" i="17"/>
  <c r="W41" i="17" s="1"/>
  <c r="V33" i="17"/>
  <c r="U33" i="17"/>
  <c r="U41" i="17" s="1"/>
  <c r="T33" i="17"/>
  <c r="T41" i="17" s="1"/>
  <c r="S33" i="17"/>
  <c r="S41" i="17" s="1"/>
  <c r="R33" i="17"/>
  <c r="R41" i="17" s="1"/>
  <c r="Q33" i="17"/>
  <c r="Q41" i="17" s="1"/>
  <c r="P33" i="17"/>
  <c r="P41" i="17" s="1"/>
  <c r="O33" i="17"/>
  <c r="O41" i="17" s="1"/>
  <c r="N33" i="17"/>
  <c r="N41" i="17" s="1"/>
  <c r="G33" i="17"/>
  <c r="G41" i="17" s="1"/>
  <c r="AJ32" i="17"/>
  <c r="AG32" i="17"/>
  <c r="M32" i="17"/>
  <c r="AJ31" i="17"/>
  <c r="AG31" i="17"/>
  <c r="M31" i="17"/>
  <c r="BI29" i="17"/>
  <c r="BG29" i="17"/>
  <c r="BC29" i="17"/>
  <c r="AW29" i="17"/>
  <c r="AQ29" i="17"/>
  <c r="AK29" i="17"/>
  <c r="AE29" i="17"/>
  <c r="AC29" i="17"/>
  <c r="Y29" i="17"/>
  <c r="S29" i="17"/>
  <c r="M29" i="17"/>
  <c r="G29" i="17"/>
  <c r="BH28" i="17"/>
  <c r="BE28" i="17"/>
  <c r="AV28" i="17"/>
  <c r="AS28" i="17"/>
  <c r="AJ28" i="17"/>
  <c r="AG28" i="17"/>
  <c r="AD28" i="17"/>
  <c r="AA28" i="17"/>
  <c r="Q28" i="17"/>
  <c r="BH27" i="17"/>
  <c r="BE27" i="17"/>
  <c r="AV27" i="17"/>
  <c r="AS27" i="17"/>
  <c r="AJ27" i="17"/>
  <c r="AG27" i="17"/>
  <c r="AD27" i="17"/>
  <c r="AA27" i="17"/>
  <c r="R27" i="17"/>
  <c r="Q27" i="17"/>
  <c r="O27" i="17"/>
  <c r="C27" i="17"/>
  <c r="BH26" i="17"/>
  <c r="BE26" i="17"/>
  <c r="AV26" i="17"/>
  <c r="AS26" i="17"/>
  <c r="AJ26" i="17"/>
  <c r="AG26" i="17"/>
  <c r="AD26" i="17"/>
  <c r="AA26" i="17"/>
  <c r="Q26" i="17"/>
  <c r="BH25" i="17"/>
  <c r="BE25" i="17"/>
  <c r="AV25" i="17"/>
  <c r="AS25" i="17"/>
  <c r="AJ25" i="17"/>
  <c r="AG25" i="17"/>
  <c r="AD25" i="17"/>
  <c r="AA25" i="17"/>
  <c r="Q25" i="17"/>
  <c r="BH24" i="17"/>
  <c r="BE24" i="17"/>
  <c r="AV24" i="17"/>
  <c r="AU24" i="17"/>
  <c r="AS24" i="17"/>
  <c r="AJ24" i="17"/>
  <c r="AG24" i="17"/>
  <c r="AD24" i="17"/>
  <c r="AA24" i="17"/>
  <c r="R24" i="17"/>
  <c r="Q24" i="17"/>
  <c r="O24" i="17"/>
  <c r="BH23" i="17"/>
  <c r="BE23" i="17"/>
  <c r="AV23" i="17"/>
  <c r="AS23" i="17"/>
  <c r="AJ23" i="17"/>
  <c r="AG23" i="17"/>
  <c r="AD23" i="17"/>
  <c r="AA23" i="17"/>
  <c r="Q23" i="17"/>
  <c r="BH22" i="17"/>
  <c r="BE22" i="17"/>
  <c r="AV22" i="17"/>
  <c r="AS22" i="17"/>
  <c r="AJ22" i="17"/>
  <c r="AG22" i="17"/>
  <c r="AD22" i="17"/>
  <c r="AA22" i="17"/>
  <c r="R22" i="17"/>
  <c r="Q22" i="17"/>
  <c r="O22" i="17"/>
  <c r="C22" i="17"/>
  <c r="BH21" i="17"/>
  <c r="BE21" i="17"/>
  <c r="AV21" i="17"/>
  <c r="AS21" i="17"/>
  <c r="AJ21" i="17"/>
  <c r="AG21" i="17"/>
  <c r="AD21" i="17"/>
  <c r="AA21" i="17"/>
  <c r="Q21" i="17"/>
  <c r="BH20" i="17"/>
  <c r="BE20" i="17"/>
  <c r="AV20" i="17"/>
  <c r="AS20" i="17"/>
  <c r="AJ20" i="17"/>
  <c r="AG20" i="17"/>
  <c r="AD20" i="17"/>
  <c r="AA20" i="17"/>
  <c r="Q20" i="17"/>
  <c r="O20" i="17"/>
  <c r="C20" i="17"/>
  <c r="BH19" i="17"/>
  <c r="BE19" i="17"/>
  <c r="AV19" i="17"/>
  <c r="AU19" i="17"/>
  <c r="AS19" i="17"/>
  <c r="AJ19" i="17"/>
  <c r="AG19" i="17"/>
  <c r="AD19" i="17"/>
  <c r="AA19" i="17"/>
  <c r="R19" i="17"/>
  <c r="Q19" i="17"/>
  <c r="O19" i="17"/>
  <c r="C19" i="17"/>
  <c r="BH18" i="17"/>
  <c r="BE18" i="17"/>
  <c r="AV18" i="17"/>
  <c r="AS18" i="17"/>
  <c r="AJ18" i="17"/>
  <c r="AG18" i="17"/>
  <c r="AD18" i="17"/>
  <c r="AA18" i="17"/>
  <c r="R18" i="17"/>
  <c r="Q18" i="17"/>
  <c r="O18" i="17"/>
  <c r="BH17" i="17"/>
  <c r="BE17" i="17"/>
  <c r="AV17" i="17"/>
  <c r="AS17" i="17"/>
  <c r="AJ17" i="17"/>
  <c r="AG17" i="17"/>
  <c r="AD17" i="17"/>
  <c r="AA17" i="17"/>
  <c r="Q17" i="17"/>
  <c r="BH16" i="17"/>
  <c r="BE16" i="17"/>
  <c r="AV16" i="17"/>
  <c r="AS16" i="17"/>
  <c r="AJ16" i="17"/>
  <c r="AG16" i="17"/>
  <c r="AD16" i="17"/>
  <c r="AA16" i="17"/>
  <c r="R16" i="17"/>
  <c r="Q16" i="17"/>
  <c r="O16" i="17"/>
  <c r="C16" i="17"/>
  <c r="BH15" i="17"/>
  <c r="BE15" i="17"/>
  <c r="AV15" i="17"/>
  <c r="AU15" i="17"/>
  <c r="AS15" i="17"/>
  <c r="AJ15" i="17"/>
  <c r="AG15" i="17"/>
  <c r="AD15" i="17"/>
  <c r="AA15" i="17"/>
  <c r="R15" i="17"/>
  <c r="Q15" i="17"/>
  <c r="O15" i="17"/>
  <c r="BH14" i="17"/>
  <c r="BE14" i="17"/>
  <c r="AV14" i="17"/>
  <c r="AS14" i="17"/>
  <c r="AJ14" i="17"/>
  <c r="AG14" i="17"/>
  <c r="AD14" i="17"/>
  <c r="AA14" i="17"/>
  <c r="Q14" i="17"/>
  <c r="BH13" i="17"/>
  <c r="BE13" i="17"/>
  <c r="AV13" i="17"/>
  <c r="AS13" i="17"/>
  <c r="AJ13" i="17"/>
  <c r="AG13" i="17"/>
  <c r="Q13" i="17"/>
  <c r="BH12" i="17"/>
  <c r="BE12" i="17"/>
  <c r="AV12" i="17"/>
  <c r="AS12" i="17"/>
  <c r="AJ12" i="17"/>
  <c r="AG12" i="17"/>
  <c r="AA12" i="17"/>
  <c r="Q12" i="17"/>
  <c r="BH11" i="17"/>
  <c r="BE11" i="17"/>
  <c r="AV11" i="17"/>
  <c r="AU11" i="17"/>
  <c r="AS11" i="17"/>
  <c r="AJ11" i="17"/>
  <c r="AG11" i="17"/>
  <c r="AD11" i="17"/>
  <c r="AA11" i="17"/>
  <c r="R11" i="17"/>
  <c r="Q11" i="17"/>
  <c r="O11" i="17"/>
  <c r="C11" i="17"/>
  <c r="E3" i="17"/>
  <c r="F2" i="19" s="1"/>
  <c r="I2" i="20" s="1"/>
  <c r="DJ35" i="16"/>
  <c r="DI35" i="16"/>
  <c r="DJ34" i="16"/>
  <c r="DI34" i="16"/>
  <c r="DG32" i="16"/>
  <c r="DF32" i="16"/>
  <c r="DE32" i="16"/>
  <c r="DD32" i="16"/>
  <c r="DC32" i="16"/>
  <c r="DB32" i="16"/>
  <c r="CW32" i="16"/>
  <c r="CV32" i="16"/>
  <c r="CU32" i="16"/>
  <c r="CT32" i="16"/>
  <c r="CS32" i="16"/>
  <c r="CR32" i="16"/>
  <c r="CQ32" i="16"/>
  <c r="CP32" i="16"/>
  <c r="CO32" i="16"/>
  <c r="CN32" i="16"/>
  <c r="CM32" i="16"/>
  <c r="CL32" i="16"/>
  <c r="CK32" i="16"/>
  <c r="CJ32" i="16"/>
  <c r="CG32" i="16"/>
  <c r="LA31" i="5" s="1"/>
  <c r="LB31" i="5" s="1"/>
  <c r="CF32" i="16"/>
  <c r="KW31" i="5" s="1"/>
  <c r="KX31" i="5" s="1"/>
  <c r="CE32" i="16"/>
  <c r="KS31" i="5" s="1"/>
  <c r="CD32" i="16"/>
  <c r="KO31" i="5" s="1"/>
  <c r="CC32" i="16"/>
  <c r="KK31" i="5" s="1"/>
  <c r="KL31" i="5" s="1"/>
  <c r="CB32" i="16"/>
  <c r="KG31" i="5" s="1"/>
  <c r="KH31" i="5" s="1"/>
  <c r="CA32" i="16"/>
  <c r="KC31" i="5" s="1"/>
  <c r="KD31" i="5" s="1"/>
  <c r="BZ32" i="16"/>
  <c r="JY31" i="5" s="1"/>
  <c r="JZ31" i="5" s="1"/>
  <c r="BY32" i="16"/>
  <c r="JU31" i="5" s="1"/>
  <c r="JV31" i="5" s="1"/>
  <c r="BX32" i="16"/>
  <c r="JQ31" i="5" s="1"/>
  <c r="JR31" i="5" s="1"/>
  <c r="BW32" i="16"/>
  <c r="JM31" i="5" s="1"/>
  <c r="JN31" i="5" s="1"/>
  <c r="BV32" i="16"/>
  <c r="JI31" i="5" s="1"/>
  <c r="BU32" i="16"/>
  <c r="BT32" i="16"/>
  <c r="JA31" i="5" s="1"/>
  <c r="BS32" i="16"/>
  <c r="IW31" i="5" s="1"/>
  <c r="IX31" i="5" s="1"/>
  <c r="BR32" i="16"/>
  <c r="IS31" i="5" s="1"/>
  <c r="IT31" i="5" s="1"/>
  <c r="BO32" i="16"/>
  <c r="IO31" i="5" s="1"/>
  <c r="IP31" i="5" s="1"/>
  <c r="BN32" i="16"/>
  <c r="IK31" i="5" s="1"/>
  <c r="IL31" i="5" s="1"/>
  <c r="BM32" i="16"/>
  <c r="IG31" i="5" s="1"/>
  <c r="IH31" i="5" s="1"/>
  <c r="BL32" i="16"/>
  <c r="IC31" i="5" s="1"/>
  <c r="ID31" i="5" s="1"/>
  <c r="BK32" i="16"/>
  <c r="HY31" i="5" s="1"/>
  <c r="HZ31" i="5" s="1"/>
  <c r="BJ32" i="16"/>
  <c r="HU31" i="5" s="1"/>
  <c r="HV31" i="5" s="1"/>
  <c r="BI32" i="16"/>
  <c r="HQ31" i="5" s="1"/>
  <c r="HR31" i="5" s="1"/>
  <c r="BH32" i="16"/>
  <c r="HM31" i="5" s="1"/>
  <c r="HN31" i="5" s="1"/>
  <c r="BG32" i="16"/>
  <c r="HI31" i="5" s="1"/>
  <c r="HJ31" i="5" s="1"/>
  <c r="BF32" i="16"/>
  <c r="HE31" i="5" s="1"/>
  <c r="HF31" i="5" s="1"/>
  <c r="BE32" i="16"/>
  <c r="HA31" i="5" s="1"/>
  <c r="HB31" i="5" s="1"/>
  <c r="BD32" i="16"/>
  <c r="GW31" i="5" s="1"/>
  <c r="GX31" i="5" s="1"/>
  <c r="BC32" i="16"/>
  <c r="GS31" i="5" s="1"/>
  <c r="GT31" i="5" s="1"/>
  <c r="BB32" i="16"/>
  <c r="GO31" i="5" s="1"/>
  <c r="GP31" i="5" s="1"/>
  <c r="BA32" i="16"/>
  <c r="GK31" i="5" s="1"/>
  <c r="GL31" i="5" s="1"/>
  <c r="AY32" i="16"/>
  <c r="GC31" i="5" s="1"/>
  <c r="GE31" i="5" s="1"/>
  <c r="AX32" i="16"/>
  <c r="FY31" i="5" s="1"/>
  <c r="GA31" i="5" s="1"/>
  <c r="AW32" i="16"/>
  <c r="FU31" i="5" s="1"/>
  <c r="FV31" i="5" s="1"/>
  <c r="AV32" i="16"/>
  <c r="FQ31" i="5" s="1"/>
  <c r="FR31" i="5" s="1"/>
  <c r="AU32" i="16"/>
  <c r="FM31" i="5" s="1"/>
  <c r="FN31" i="5" s="1"/>
  <c r="AT32" i="16"/>
  <c r="FI31" i="5" s="1"/>
  <c r="FJ31" i="5" s="1"/>
  <c r="AS32" i="16"/>
  <c r="FE31" i="5" s="1"/>
  <c r="FF31" i="5" s="1"/>
  <c r="AR32" i="16"/>
  <c r="FA31" i="5" s="1"/>
  <c r="FB31" i="5" s="1"/>
  <c r="EW31" i="5"/>
  <c r="EX31" i="5" s="1"/>
  <c r="ES31" i="5"/>
  <c r="ET31" i="5" s="1"/>
  <c r="AO32" i="16"/>
  <c r="AN32" i="16"/>
  <c r="AM32" i="16"/>
  <c r="EG31" i="5" s="1"/>
  <c r="EH31" i="5" s="1"/>
  <c r="AL32" i="16"/>
  <c r="EC31" i="5" s="1"/>
  <c r="ED31" i="5" s="1"/>
  <c r="AK32" i="16"/>
  <c r="DY31" i="5" s="1"/>
  <c r="DZ31" i="5" s="1"/>
  <c r="AG32" i="16"/>
  <c r="DI31" i="5" s="1"/>
  <c r="DJ31" i="5" s="1"/>
  <c r="AF32" i="16"/>
  <c r="DE31" i="5" s="1"/>
  <c r="DF31" i="5" s="1"/>
  <c r="AE32" i="16"/>
  <c r="DA31" i="5" s="1"/>
  <c r="DB31" i="5" s="1"/>
  <c r="AD32" i="16"/>
  <c r="CW31" i="5" s="1"/>
  <c r="CX31" i="5" s="1"/>
  <c r="AC32" i="16"/>
  <c r="CS31" i="5" s="1"/>
  <c r="CT31" i="5" s="1"/>
  <c r="AB32" i="16"/>
  <c r="CO31" i="5" s="1"/>
  <c r="CP31" i="5" s="1"/>
  <c r="AA32" i="16"/>
  <c r="Z32" i="16"/>
  <c r="CG31" i="5" s="1"/>
  <c r="CH31" i="5" s="1"/>
  <c r="Y32" i="16"/>
  <c r="CC31" i="5" s="1"/>
  <c r="CD31" i="5" s="1"/>
  <c r="X32" i="16"/>
  <c r="BY31" i="5" s="1"/>
  <c r="BZ31" i="5" s="1"/>
  <c r="W32" i="16"/>
  <c r="BU31" i="5" s="1"/>
  <c r="BV31" i="5" s="1"/>
  <c r="V32" i="16"/>
  <c r="U32" i="16"/>
  <c r="S32" i="16"/>
  <c r="BE31" i="5" s="1"/>
  <c r="BF31" i="5" s="1"/>
  <c r="Q32" i="16"/>
  <c r="P32" i="16"/>
  <c r="AS31" i="5" s="1"/>
  <c r="AT31" i="5" s="1"/>
  <c r="AO31" i="5"/>
  <c r="AP31" i="5" s="1"/>
  <c r="AK31" i="5"/>
  <c r="AL31" i="5" s="1"/>
  <c r="G32" i="16"/>
  <c r="F32" i="16"/>
  <c r="DG31" i="16"/>
  <c r="DF31" i="16"/>
  <c r="DE31" i="16"/>
  <c r="DD31" i="16"/>
  <c r="DC31" i="16"/>
  <c r="DB31" i="16"/>
  <c r="CW31" i="16"/>
  <c r="CV31" i="16"/>
  <c r="CU31" i="16"/>
  <c r="CT31" i="16"/>
  <c r="CS31" i="16"/>
  <c r="CR31" i="16"/>
  <c r="CQ31" i="16"/>
  <c r="CP31" i="16"/>
  <c r="CO31" i="16"/>
  <c r="CN31" i="16"/>
  <c r="CM31" i="16"/>
  <c r="CL31" i="16"/>
  <c r="CK31" i="16"/>
  <c r="CJ31" i="16"/>
  <c r="CG31" i="16"/>
  <c r="LA30" i="5" s="1"/>
  <c r="CF31" i="16"/>
  <c r="KW30" i="5" s="1"/>
  <c r="CE31" i="16"/>
  <c r="KS30" i="5" s="1"/>
  <c r="CD31" i="16"/>
  <c r="KO30" i="5" s="1"/>
  <c r="CC31" i="16"/>
  <c r="CB31" i="16"/>
  <c r="KG30" i="5" s="1"/>
  <c r="CA31" i="16"/>
  <c r="KC30" i="5" s="1"/>
  <c r="BZ31" i="16"/>
  <c r="BY31" i="16"/>
  <c r="JU30" i="5" s="1"/>
  <c r="JV30" i="5" s="1"/>
  <c r="BX31" i="16"/>
  <c r="JQ30" i="5" s="1"/>
  <c r="BW31" i="16"/>
  <c r="JM30" i="5" s="1"/>
  <c r="BV31" i="16"/>
  <c r="JI30" i="5" s="1"/>
  <c r="JJ30" i="5" s="1"/>
  <c r="BU31" i="16"/>
  <c r="BT31" i="16"/>
  <c r="JA30" i="5" s="1"/>
  <c r="BS31" i="16"/>
  <c r="IW30" i="5" s="1"/>
  <c r="IX30" i="5" s="1"/>
  <c r="BR31" i="16"/>
  <c r="BO31" i="16"/>
  <c r="IO30" i="5" s="1"/>
  <c r="BN31" i="16"/>
  <c r="IK30" i="5" s="1"/>
  <c r="IL30" i="5" s="1"/>
  <c r="BM31" i="16"/>
  <c r="IG30" i="5" s="1"/>
  <c r="IH30" i="5" s="1"/>
  <c r="BL31" i="16"/>
  <c r="IC30" i="5" s="1"/>
  <c r="BK31" i="16"/>
  <c r="BJ31" i="16"/>
  <c r="HU30" i="5" s="1"/>
  <c r="HV30" i="5" s="1"/>
  <c r="BI31" i="16"/>
  <c r="HQ30" i="5" s="1"/>
  <c r="BH31" i="16"/>
  <c r="BG31" i="16"/>
  <c r="HI30" i="5" s="1"/>
  <c r="BF31" i="16"/>
  <c r="HE30" i="5" s="1"/>
  <c r="HF30" i="5" s="1"/>
  <c r="BE31" i="16"/>
  <c r="HA30" i="5" s="1"/>
  <c r="HB30" i="5" s="1"/>
  <c r="BD31" i="16"/>
  <c r="GW30" i="5" s="1"/>
  <c r="BC31" i="16"/>
  <c r="BB31" i="16"/>
  <c r="GO30" i="5" s="1"/>
  <c r="BA31" i="16"/>
  <c r="GK30" i="5" s="1"/>
  <c r="GL30" i="5" s="1"/>
  <c r="AY31" i="16"/>
  <c r="GC30" i="5" s="1"/>
  <c r="AX31" i="16"/>
  <c r="FY30" i="5" s="1"/>
  <c r="AW31" i="16"/>
  <c r="EO30" i="5" s="1"/>
  <c r="EP30" i="5" s="1"/>
  <c r="AV31" i="16"/>
  <c r="FQ30" i="5" s="1"/>
  <c r="AU31" i="16"/>
  <c r="AT31" i="16"/>
  <c r="FI30" i="5" s="1"/>
  <c r="AS31" i="16"/>
  <c r="FE30" i="5" s="1"/>
  <c r="AR31" i="16"/>
  <c r="EW30" i="5"/>
  <c r="EX30" i="5" s="1"/>
  <c r="ES30" i="5"/>
  <c r="ET30" i="5" s="1"/>
  <c r="AO31" i="16"/>
  <c r="AN31" i="16"/>
  <c r="AM31" i="16"/>
  <c r="AL31" i="16"/>
  <c r="EC30" i="5" s="1"/>
  <c r="AK31" i="16"/>
  <c r="DY30" i="5" s="1"/>
  <c r="DZ30" i="5" s="1"/>
  <c r="AJ31" i="16"/>
  <c r="DQ30" i="5"/>
  <c r="AG31" i="16"/>
  <c r="DI30" i="5" s="1"/>
  <c r="AF31" i="16"/>
  <c r="DE30" i="5" s="1"/>
  <c r="AE31" i="16"/>
  <c r="DA30" i="5" s="1"/>
  <c r="AD31" i="16"/>
  <c r="CW30" i="5" s="1"/>
  <c r="AC31" i="16"/>
  <c r="CS30" i="5" s="1"/>
  <c r="AB31" i="16"/>
  <c r="AA31" i="16"/>
  <c r="CK30" i="5" s="1"/>
  <c r="Z31" i="16"/>
  <c r="CG30" i="5" s="1"/>
  <c r="CH30" i="5" s="1"/>
  <c r="Y31" i="16"/>
  <c r="X31" i="16"/>
  <c r="BY30" i="5" s="1"/>
  <c r="W31" i="16"/>
  <c r="BU30" i="5" s="1"/>
  <c r="V31" i="16"/>
  <c r="U31" i="16"/>
  <c r="BM30" i="5" s="1"/>
  <c r="BN30" i="5" s="1"/>
  <c r="T31" i="16"/>
  <c r="S31" i="16"/>
  <c r="BE30" i="5" s="1"/>
  <c r="Q31" i="16"/>
  <c r="P31" i="16"/>
  <c r="AS30" i="5" s="1"/>
  <c r="AK30" i="5"/>
  <c r="G31" i="16"/>
  <c r="E31" i="16" s="1"/>
  <c r="F31" i="16"/>
  <c r="D31" i="16" s="1"/>
  <c r="DJ30" i="16"/>
  <c r="DI30" i="16"/>
  <c r="DG28" i="16"/>
  <c r="DF28" i="16"/>
  <c r="DE28" i="16"/>
  <c r="DD28" i="16"/>
  <c r="DC28" i="16"/>
  <c r="DB28" i="16"/>
  <c r="CW28" i="16"/>
  <c r="CV28" i="16"/>
  <c r="CU28" i="16"/>
  <c r="CT28" i="16"/>
  <c r="CS28" i="16"/>
  <c r="CR28" i="16"/>
  <c r="CQ28" i="16"/>
  <c r="CP28" i="16"/>
  <c r="CO28" i="16"/>
  <c r="CN28" i="16"/>
  <c r="CM28" i="16"/>
  <c r="CL28" i="16"/>
  <c r="CJ28" i="16"/>
  <c r="CG28" i="16"/>
  <c r="LA27" i="5" s="1"/>
  <c r="CF28" i="16"/>
  <c r="KW27" i="5" s="1"/>
  <c r="CE28" i="16"/>
  <c r="KS27" i="5" s="1"/>
  <c r="CD28" i="16"/>
  <c r="KO27" i="5" s="1"/>
  <c r="CC28" i="16"/>
  <c r="KK27" i="5" s="1"/>
  <c r="CB28" i="16"/>
  <c r="KG27" i="5" s="1"/>
  <c r="CA28" i="16"/>
  <c r="KC27" i="5" s="1"/>
  <c r="KD27" i="5" s="1"/>
  <c r="BZ28" i="16"/>
  <c r="JY27" i="5" s="1"/>
  <c r="JZ27" i="5" s="1"/>
  <c r="BY28" i="16"/>
  <c r="JU27" i="5" s="1"/>
  <c r="JV27" i="5" s="1"/>
  <c r="BX28" i="16"/>
  <c r="JQ27" i="5" s="1"/>
  <c r="JR27" i="5" s="1"/>
  <c r="BW28" i="16"/>
  <c r="JM27" i="5" s="1"/>
  <c r="JN27" i="5" s="1"/>
  <c r="BV28" i="16"/>
  <c r="JI27" i="5" s="1"/>
  <c r="JJ27" i="5" s="1"/>
  <c r="BU28" i="16"/>
  <c r="JE27" i="5" s="1"/>
  <c r="BT28" i="16"/>
  <c r="JA27" i="5" s="1"/>
  <c r="BS28" i="16"/>
  <c r="IW27" i="5" s="1"/>
  <c r="IX27" i="5" s="1"/>
  <c r="BR28" i="16"/>
  <c r="IS27" i="5" s="1"/>
  <c r="IT27" i="5" s="1"/>
  <c r="BO28" i="16"/>
  <c r="IO27" i="5" s="1"/>
  <c r="BN28" i="16"/>
  <c r="IK27" i="5" s="1"/>
  <c r="BM28" i="16"/>
  <c r="IG27" i="5" s="1"/>
  <c r="BL28" i="16"/>
  <c r="IC27" i="5" s="1"/>
  <c r="BK28" i="16"/>
  <c r="HY27" i="5" s="1"/>
  <c r="HZ27" i="5" s="1"/>
  <c r="BJ28" i="16"/>
  <c r="HU27" i="5" s="1"/>
  <c r="HV27" i="5" s="1"/>
  <c r="BI28" i="16"/>
  <c r="HQ27" i="5" s="1"/>
  <c r="BH28" i="16"/>
  <c r="HM27" i="5" s="1"/>
  <c r="BG28" i="16"/>
  <c r="HI27" i="5" s="1"/>
  <c r="HJ27" i="5" s="1"/>
  <c r="BF28" i="16"/>
  <c r="HE27" i="5" s="1"/>
  <c r="HF27" i="5" s="1"/>
  <c r="BE28" i="16"/>
  <c r="HA27" i="5" s="1"/>
  <c r="HB27" i="5" s="1"/>
  <c r="BD28" i="16"/>
  <c r="GW27" i="5" s="1"/>
  <c r="GX27" i="5" s="1"/>
  <c r="BC28" i="16"/>
  <c r="GS27" i="5" s="1"/>
  <c r="BB28" i="16"/>
  <c r="GO27" i="5" s="1"/>
  <c r="BA28" i="16"/>
  <c r="GK27" i="5" s="1"/>
  <c r="GL27" i="5" s="1"/>
  <c r="AY28" i="16"/>
  <c r="GC27" i="5" s="1"/>
  <c r="GE27" i="5" s="1"/>
  <c r="AX28" i="16"/>
  <c r="FY27" i="5" s="1"/>
  <c r="GA27" i="5" s="1"/>
  <c r="AW28" i="16"/>
  <c r="FU27" i="5" s="1"/>
  <c r="AV28" i="16"/>
  <c r="FQ27" i="5" s="1"/>
  <c r="AU28" i="16"/>
  <c r="FM27" i="5" s="1"/>
  <c r="AT28" i="16"/>
  <c r="FI27" i="5" s="1"/>
  <c r="AS28" i="16"/>
  <c r="FE27" i="5" s="1"/>
  <c r="FF27" i="5" s="1"/>
  <c r="AR28" i="16"/>
  <c r="FA27" i="5" s="1"/>
  <c r="FB27" i="5" s="1"/>
  <c r="AO28" i="16"/>
  <c r="EO27" i="5" s="1"/>
  <c r="ER27" i="5" s="1"/>
  <c r="AN28" i="16"/>
  <c r="EK27" i="5" s="1"/>
  <c r="EN27" i="5" s="1"/>
  <c r="AM28" i="16"/>
  <c r="EG27" i="5" s="1"/>
  <c r="EH27" i="5" s="1"/>
  <c r="AL28" i="16"/>
  <c r="EC27" i="5" s="1"/>
  <c r="ED27" i="5" s="1"/>
  <c r="AK28" i="16"/>
  <c r="AJ28" i="16"/>
  <c r="DU27" i="5" s="1"/>
  <c r="DV27" i="5" s="1"/>
  <c r="DM27" i="5"/>
  <c r="DN27" i="5" s="1"/>
  <c r="AG28" i="16"/>
  <c r="DI27" i="5" s="1"/>
  <c r="DJ27" i="5" s="1"/>
  <c r="AF28" i="16"/>
  <c r="DE27" i="5" s="1"/>
  <c r="DF27" i="5" s="1"/>
  <c r="AE28" i="16"/>
  <c r="AD28" i="16"/>
  <c r="CW27" i="5" s="1"/>
  <c r="AC28" i="16"/>
  <c r="CS27" i="5" s="1"/>
  <c r="CT27" i="5" s="1"/>
  <c r="AB28" i="16"/>
  <c r="CO27" i="5" s="1"/>
  <c r="CP27" i="5" s="1"/>
  <c r="AA28" i="16"/>
  <c r="Z28" i="16"/>
  <c r="CG27" i="5" s="1"/>
  <c r="CH27" i="5" s="1"/>
  <c r="Y28" i="16"/>
  <c r="CC27" i="5" s="1"/>
  <c r="CD27" i="5" s="1"/>
  <c r="X28" i="16"/>
  <c r="BY27" i="5" s="1"/>
  <c r="BZ27" i="5" s="1"/>
  <c r="W28" i="16"/>
  <c r="BU27" i="5" s="1"/>
  <c r="BV27" i="5" s="1"/>
  <c r="V28" i="16"/>
  <c r="U28" i="16"/>
  <c r="BM27" i="5" s="1"/>
  <c r="BN27" i="5" s="1"/>
  <c r="T28" i="16"/>
  <c r="BI27" i="5" s="1"/>
  <c r="BJ27" i="5" s="1"/>
  <c r="S28" i="16"/>
  <c r="R28" i="16"/>
  <c r="BA27" i="5" s="1"/>
  <c r="Q28" i="16"/>
  <c r="AW27" i="5" s="1"/>
  <c r="P28" i="16"/>
  <c r="AS27" i="5" s="1"/>
  <c r="AK27" i="5"/>
  <c r="AL27" i="5" s="1"/>
  <c r="G28" i="16"/>
  <c r="F28" i="16"/>
  <c r="DG27" i="16"/>
  <c r="DF27" i="16"/>
  <c r="DE27" i="16"/>
  <c r="DD27" i="16"/>
  <c r="DC27" i="16"/>
  <c r="DB27" i="16"/>
  <c r="CW27" i="16"/>
  <c r="CV27" i="16"/>
  <c r="CU27" i="16"/>
  <c r="CT27" i="16"/>
  <c r="CS27" i="16"/>
  <c r="CR27" i="16"/>
  <c r="CQ27" i="16"/>
  <c r="CP27" i="16"/>
  <c r="CO27" i="16"/>
  <c r="CN27" i="16"/>
  <c r="CM27" i="16"/>
  <c r="CL27" i="16"/>
  <c r="CJ27" i="16"/>
  <c r="CG27" i="16"/>
  <c r="LA26" i="5" s="1"/>
  <c r="CF27" i="16"/>
  <c r="KW26" i="5" s="1"/>
  <c r="CE27" i="16"/>
  <c r="KS26" i="5" s="1"/>
  <c r="CD27" i="16"/>
  <c r="KO26" i="5" s="1"/>
  <c r="CC27" i="16"/>
  <c r="KK26" i="5" s="1"/>
  <c r="CB27" i="16"/>
  <c r="KG26" i="5" s="1"/>
  <c r="CA27" i="16"/>
  <c r="BZ27" i="16"/>
  <c r="JY26" i="5" s="1"/>
  <c r="JZ26" i="5" s="1"/>
  <c r="BY27" i="16"/>
  <c r="JU26" i="5" s="1"/>
  <c r="JV26" i="5" s="1"/>
  <c r="BX27" i="16"/>
  <c r="JQ26" i="5" s="1"/>
  <c r="JR26" i="5" s="1"/>
  <c r="BW27" i="16"/>
  <c r="JM26" i="5" s="1"/>
  <c r="JN26" i="5" s="1"/>
  <c r="BV27" i="16"/>
  <c r="JI26" i="5" s="1"/>
  <c r="JJ26" i="5" s="1"/>
  <c r="BU27" i="16"/>
  <c r="JE26" i="5" s="1"/>
  <c r="BT27" i="16"/>
  <c r="JA26" i="5" s="1"/>
  <c r="BS27" i="16"/>
  <c r="BR27" i="16"/>
  <c r="IS26" i="5" s="1"/>
  <c r="IT26" i="5" s="1"/>
  <c r="BO27" i="16"/>
  <c r="IO26" i="5" s="1"/>
  <c r="BN27" i="16"/>
  <c r="IK26" i="5" s="1"/>
  <c r="BM27" i="16"/>
  <c r="IG26" i="5" s="1"/>
  <c r="BL27" i="16"/>
  <c r="IC26" i="5" s="1"/>
  <c r="BK27" i="16"/>
  <c r="BJ27" i="16"/>
  <c r="HU26" i="5" s="1"/>
  <c r="HV26" i="5" s="1"/>
  <c r="BI27" i="16"/>
  <c r="BH27" i="16"/>
  <c r="HM26" i="5" s="1"/>
  <c r="BG27" i="16"/>
  <c r="HI26" i="5" s="1"/>
  <c r="HJ26" i="5" s="1"/>
  <c r="BF27" i="16"/>
  <c r="HE26" i="5" s="1"/>
  <c r="HF26" i="5" s="1"/>
  <c r="BE27" i="16"/>
  <c r="HA26" i="5" s="1"/>
  <c r="HB26" i="5" s="1"/>
  <c r="BD27" i="16"/>
  <c r="GW26" i="5" s="1"/>
  <c r="GX26" i="5" s="1"/>
  <c r="BC27" i="16"/>
  <c r="GS26" i="5" s="1"/>
  <c r="BB27" i="16"/>
  <c r="GO26" i="5" s="1"/>
  <c r="BA27" i="16"/>
  <c r="AY27" i="16"/>
  <c r="GC26" i="5" s="1"/>
  <c r="GE26" i="5" s="1"/>
  <c r="AX27" i="16"/>
  <c r="FY26" i="5" s="1"/>
  <c r="GA26" i="5" s="1"/>
  <c r="AW27" i="16"/>
  <c r="FU26" i="5" s="1"/>
  <c r="AV27" i="16"/>
  <c r="FQ26" i="5" s="1"/>
  <c r="AU27" i="16"/>
  <c r="FM26" i="5" s="1"/>
  <c r="AT27" i="16"/>
  <c r="FI26" i="5" s="1"/>
  <c r="AS27" i="16"/>
  <c r="AR27" i="16"/>
  <c r="FA26" i="5" s="1"/>
  <c r="FB26" i="5" s="1"/>
  <c r="AO27" i="16"/>
  <c r="AN27" i="16"/>
  <c r="EK26" i="5" s="1"/>
  <c r="EN26" i="5" s="1"/>
  <c r="AM27" i="16"/>
  <c r="EG26" i="5" s="1"/>
  <c r="EH26" i="5" s="1"/>
  <c r="AL27" i="16"/>
  <c r="EC26" i="5" s="1"/>
  <c r="ED26" i="5" s="1"/>
  <c r="AK27" i="16"/>
  <c r="DY26" i="5" s="1"/>
  <c r="DZ26" i="5" s="1"/>
  <c r="AJ27" i="16"/>
  <c r="DU26" i="5" s="1"/>
  <c r="DV26" i="5" s="1"/>
  <c r="DM26" i="5"/>
  <c r="DN26" i="5" s="1"/>
  <c r="AG27" i="16"/>
  <c r="DI26" i="5" s="1"/>
  <c r="DJ26" i="5" s="1"/>
  <c r="AF27" i="16"/>
  <c r="DE26" i="5" s="1"/>
  <c r="DF26" i="5" s="1"/>
  <c r="AE27" i="16"/>
  <c r="DA26" i="5" s="1"/>
  <c r="AD27" i="16"/>
  <c r="CW26" i="5" s="1"/>
  <c r="AC27" i="16"/>
  <c r="CS26" i="5" s="1"/>
  <c r="CT26" i="5" s="1"/>
  <c r="AB27" i="16"/>
  <c r="CO26" i="5" s="1"/>
  <c r="CP26" i="5" s="1"/>
  <c r="AA27" i="16"/>
  <c r="CK26" i="5" s="1"/>
  <c r="CL26" i="5" s="1"/>
  <c r="Z27" i="16"/>
  <c r="CG26" i="5" s="1"/>
  <c r="CH26" i="5" s="1"/>
  <c r="Y27" i="16"/>
  <c r="CC26" i="5" s="1"/>
  <c r="CD26" i="5" s="1"/>
  <c r="X27" i="16"/>
  <c r="BY26" i="5" s="1"/>
  <c r="BZ26" i="5" s="1"/>
  <c r="W27" i="16"/>
  <c r="BU26" i="5" s="1"/>
  <c r="BV26" i="5" s="1"/>
  <c r="V27" i="16"/>
  <c r="U27" i="16"/>
  <c r="BM26" i="5" s="1"/>
  <c r="BN26" i="5" s="1"/>
  <c r="T27" i="16"/>
  <c r="BI26" i="5" s="1"/>
  <c r="BJ26" i="5" s="1"/>
  <c r="S27" i="16"/>
  <c r="BE26" i="5" s="1"/>
  <c r="R27" i="16"/>
  <c r="BA26" i="5" s="1"/>
  <c r="Q27" i="16"/>
  <c r="AW26" i="5" s="1"/>
  <c r="P27" i="16"/>
  <c r="AS26" i="5" s="1"/>
  <c r="AO26" i="5"/>
  <c r="AP26" i="5" s="1"/>
  <c r="AK26" i="5"/>
  <c r="AL26" i="5" s="1"/>
  <c r="G27" i="16"/>
  <c r="E27" i="16" s="1"/>
  <c r="F27" i="16"/>
  <c r="D27" i="16" s="1"/>
  <c r="DG26" i="16"/>
  <c r="DF26" i="16"/>
  <c r="DE26" i="16"/>
  <c r="DD26" i="16"/>
  <c r="DC26" i="16"/>
  <c r="DB26" i="16"/>
  <c r="CW26" i="16"/>
  <c r="CV26" i="16"/>
  <c r="CU26" i="16"/>
  <c r="CT26" i="16"/>
  <c r="CS26" i="16"/>
  <c r="CR26" i="16"/>
  <c r="CQ26" i="16"/>
  <c r="CP26" i="16"/>
  <c r="CO26" i="16"/>
  <c r="CN26" i="16"/>
  <c r="CM26" i="16"/>
  <c r="CL26" i="16"/>
  <c r="CJ26" i="16"/>
  <c r="CG26" i="16"/>
  <c r="LA25" i="5" s="1"/>
  <c r="CF26" i="16"/>
  <c r="KW25" i="5" s="1"/>
  <c r="CE26" i="16"/>
  <c r="CD26" i="16"/>
  <c r="KO25" i="5" s="1"/>
  <c r="CC26" i="16"/>
  <c r="KK25" i="5" s="1"/>
  <c r="CB26" i="16"/>
  <c r="KG25" i="5" s="1"/>
  <c r="CA26" i="16"/>
  <c r="KC25" i="5" s="1"/>
  <c r="KD25" i="5" s="1"/>
  <c r="BZ26" i="16"/>
  <c r="JY25" i="5" s="1"/>
  <c r="JZ25" i="5" s="1"/>
  <c r="BY26" i="16"/>
  <c r="JU25" i="5" s="1"/>
  <c r="JV25" i="5" s="1"/>
  <c r="BX26" i="16"/>
  <c r="JQ25" i="5" s="1"/>
  <c r="JR25" i="5" s="1"/>
  <c r="BW26" i="16"/>
  <c r="JM25" i="5" s="1"/>
  <c r="JN25" i="5" s="1"/>
  <c r="BV26" i="16"/>
  <c r="JI25" i="5" s="1"/>
  <c r="JJ25" i="5" s="1"/>
  <c r="BU26" i="16"/>
  <c r="JE25" i="5" s="1"/>
  <c r="BT26" i="16"/>
  <c r="JA25" i="5" s="1"/>
  <c r="BS26" i="16"/>
  <c r="BR26" i="16"/>
  <c r="IS25" i="5" s="1"/>
  <c r="IT25" i="5" s="1"/>
  <c r="BO26" i="16"/>
  <c r="IO25" i="5" s="1"/>
  <c r="BN26" i="16"/>
  <c r="IK25" i="5" s="1"/>
  <c r="BM26" i="16"/>
  <c r="IG25" i="5" s="1"/>
  <c r="BL26" i="16"/>
  <c r="IC25" i="5" s="1"/>
  <c r="BK26" i="16"/>
  <c r="HY25" i="5" s="1"/>
  <c r="HZ25" i="5" s="1"/>
  <c r="BJ26" i="16"/>
  <c r="HU25" i="5" s="1"/>
  <c r="HV25" i="5" s="1"/>
  <c r="BI26" i="16"/>
  <c r="BH26" i="16"/>
  <c r="HM25" i="5" s="1"/>
  <c r="BG26" i="16"/>
  <c r="HI25" i="5" s="1"/>
  <c r="HJ25" i="5" s="1"/>
  <c r="BF26" i="16"/>
  <c r="HE25" i="5" s="1"/>
  <c r="HF25" i="5" s="1"/>
  <c r="BE26" i="16"/>
  <c r="HA25" i="5" s="1"/>
  <c r="HB25" i="5" s="1"/>
  <c r="BD26" i="16"/>
  <c r="GW25" i="5" s="1"/>
  <c r="GX25" i="5" s="1"/>
  <c r="BC26" i="16"/>
  <c r="GS25" i="5" s="1"/>
  <c r="BB26" i="16"/>
  <c r="GO25" i="5" s="1"/>
  <c r="BA26" i="16"/>
  <c r="GK25" i="5" s="1"/>
  <c r="GL25" i="5" s="1"/>
  <c r="AY26" i="16"/>
  <c r="GC25" i="5" s="1"/>
  <c r="GE25" i="5" s="1"/>
  <c r="AX26" i="16"/>
  <c r="FY25" i="5" s="1"/>
  <c r="GA25" i="5" s="1"/>
  <c r="AW26" i="16"/>
  <c r="FU25" i="5" s="1"/>
  <c r="AV26" i="16"/>
  <c r="FQ25" i="5" s="1"/>
  <c r="AU26" i="16"/>
  <c r="FM25" i="5" s="1"/>
  <c r="AT26" i="16"/>
  <c r="FI25" i="5" s="1"/>
  <c r="AS26" i="16"/>
  <c r="FE25" i="5" s="1"/>
  <c r="FF25" i="5" s="1"/>
  <c r="AR26" i="16"/>
  <c r="FA25" i="5" s="1"/>
  <c r="FB25" i="5" s="1"/>
  <c r="AO26" i="16"/>
  <c r="AN26" i="16"/>
  <c r="EK25" i="5" s="1"/>
  <c r="EN25" i="5" s="1"/>
  <c r="AM26" i="16"/>
  <c r="EG25" i="5" s="1"/>
  <c r="EH25" i="5" s="1"/>
  <c r="AL26" i="16"/>
  <c r="EC25" i="5" s="1"/>
  <c r="ED25" i="5" s="1"/>
  <c r="AK26" i="16"/>
  <c r="DY25" i="5" s="1"/>
  <c r="DZ25" i="5" s="1"/>
  <c r="AJ26" i="16"/>
  <c r="DU25" i="5" s="1"/>
  <c r="DV25" i="5" s="1"/>
  <c r="DQ25" i="5"/>
  <c r="DR25" i="5" s="1"/>
  <c r="DM25" i="5"/>
  <c r="DN25" i="5" s="1"/>
  <c r="AG26" i="16"/>
  <c r="AF26" i="16"/>
  <c r="DE25" i="5" s="1"/>
  <c r="DF25" i="5" s="1"/>
  <c r="AE26" i="16"/>
  <c r="DA25" i="5" s="1"/>
  <c r="AD26" i="16"/>
  <c r="CW25" i="5" s="1"/>
  <c r="AC26" i="16"/>
  <c r="CS25" i="5" s="1"/>
  <c r="CT25" i="5" s="1"/>
  <c r="AB26" i="16"/>
  <c r="CO25" i="5" s="1"/>
  <c r="CP25" i="5" s="1"/>
  <c r="AA26" i="16"/>
  <c r="CK25" i="5" s="1"/>
  <c r="CL25" i="5" s="1"/>
  <c r="Z26" i="16"/>
  <c r="CG25" i="5" s="1"/>
  <c r="CH25" i="5" s="1"/>
  <c r="Y26" i="16"/>
  <c r="X26" i="16"/>
  <c r="BY25" i="5" s="1"/>
  <c r="BZ25" i="5" s="1"/>
  <c r="W26" i="16"/>
  <c r="BU25" i="5" s="1"/>
  <c r="BV25" i="5" s="1"/>
  <c r="V26" i="16"/>
  <c r="U26" i="16"/>
  <c r="BM25" i="5" s="1"/>
  <c r="BN25" i="5" s="1"/>
  <c r="T26" i="16"/>
  <c r="BI25" i="5" s="1"/>
  <c r="BJ25" i="5" s="1"/>
  <c r="S26" i="16"/>
  <c r="BE25" i="5" s="1"/>
  <c r="R26" i="16"/>
  <c r="BA25" i="5" s="1"/>
  <c r="Q26" i="16"/>
  <c r="P26" i="16"/>
  <c r="AS25" i="5" s="1"/>
  <c r="AO25" i="5"/>
  <c r="AP25" i="5" s="1"/>
  <c r="AK25" i="5"/>
  <c r="AL25" i="5" s="1"/>
  <c r="G26" i="16"/>
  <c r="F26" i="16"/>
  <c r="D26" i="16" s="1"/>
  <c r="DG25" i="16"/>
  <c r="DF25" i="16"/>
  <c r="DE25" i="16"/>
  <c r="DD25" i="16"/>
  <c r="DC25" i="16"/>
  <c r="DB25" i="16"/>
  <c r="CW25" i="16"/>
  <c r="CV25" i="16"/>
  <c r="CU25" i="16"/>
  <c r="CT25" i="16"/>
  <c r="CS25" i="16"/>
  <c r="CR25" i="16"/>
  <c r="CQ25" i="16"/>
  <c r="CP25" i="16"/>
  <c r="CO25" i="16"/>
  <c r="CN25" i="16"/>
  <c r="CM25" i="16"/>
  <c r="CL25" i="16"/>
  <c r="CJ25" i="16"/>
  <c r="CG25" i="16"/>
  <c r="LA24" i="5" s="1"/>
  <c r="CF25" i="16"/>
  <c r="KW24" i="5" s="1"/>
  <c r="CE25" i="16"/>
  <c r="KS24" i="5" s="1"/>
  <c r="CD25" i="16"/>
  <c r="KO24" i="5" s="1"/>
  <c r="CC25" i="16"/>
  <c r="KK24" i="5" s="1"/>
  <c r="CB25" i="16"/>
  <c r="KG24" i="5" s="1"/>
  <c r="CA25" i="16"/>
  <c r="KC24" i="5" s="1"/>
  <c r="KD24" i="5" s="1"/>
  <c r="BZ25" i="16"/>
  <c r="JY24" i="5" s="1"/>
  <c r="JZ24" i="5" s="1"/>
  <c r="BY25" i="16"/>
  <c r="JU24" i="5" s="1"/>
  <c r="JV24" i="5" s="1"/>
  <c r="BX25" i="16"/>
  <c r="JQ24" i="5" s="1"/>
  <c r="JR24" i="5" s="1"/>
  <c r="BW25" i="16"/>
  <c r="JM24" i="5" s="1"/>
  <c r="JN24" i="5" s="1"/>
  <c r="BV25" i="16"/>
  <c r="JI24" i="5" s="1"/>
  <c r="JJ24" i="5" s="1"/>
  <c r="BU25" i="16"/>
  <c r="JE24" i="5" s="1"/>
  <c r="BT25" i="16"/>
  <c r="JA24" i="5" s="1"/>
  <c r="BS25" i="16"/>
  <c r="IW24" i="5" s="1"/>
  <c r="IX24" i="5" s="1"/>
  <c r="BR25" i="16"/>
  <c r="IS24" i="5" s="1"/>
  <c r="IT24" i="5" s="1"/>
  <c r="BO25" i="16"/>
  <c r="IO24" i="5" s="1"/>
  <c r="BN25" i="16"/>
  <c r="IK24" i="5" s="1"/>
  <c r="BM25" i="16"/>
  <c r="BL25" i="16"/>
  <c r="IC24" i="5" s="1"/>
  <c r="BK25" i="16"/>
  <c r="HY24" i="5" s="1"/>
  <c r="HZ24" i="5" s="1"/>
  <c r="BJ25" i="16"/>
  <c r="HU24" i="5" s="1"/>
  <c r="HV24" i="5" s="1"/>
  <c r="BI25" i="16"/>
  <c r="BH25" i="16"/>
  <c r="HM24" i="5" s="1"/>
  <c r="BG25" i="16"/>
  <c r="HI24" i="5" s="1"/>
  <c r="HJ24" i="5" s="1"/>
  <c r="BF25" i="16"/>
  <c r="HE24" i="5" s="1"/>
  <c r="HF24" i="5" s="1"/>
  <c r="BE25" i="16"/>
  <c r="HA24" i="5" s="1"/>
  <c r="HB24" i="5" s="1"/>
  <c r="BD25" i="16"/>
  <c r="GW24" i="5" s="1"/>
  <c r="GX24" i="5" s="1"/>
  <c r="BC25" i="16"/>
  <c r="GS24" i="5" s="1"/>
  <c r="BB25" i="16"/>
  <c r="GO24" i="5" s="1"/>
  <c r="BA25" i="16"/>
  <c r="GK24" i="5" s="1"/>
  <c r="GL24" i="5" s="1"/>
  <c r="AY25" i="16"/>
  <c r="GC24" i="5" s="1"/>
  <c r="GE24" i="5" s="1"/>
  <c r="AX25" i="16"/>
  <c r="FY24" i="5" s="1"/>
  <c r="GA24" i="5" s="1"/>
  <c r="AW25" i="16"/>
  <c r="FU24" i="5" s="1"/>
  <c r="AV25" i="16"/>
  <c r="FQ24" i="5" s="1"/>
  <c r="AU25" i="16"/>
  <c r="FM24" i="5" s="1"/>
  <c r="AT25" i="16"/>
  <c r="FI24" i="5" s="1"/>
  <c r="AS25" i="16"/>
  <c r="FE24" i="5" s="1"/>
  <c r="AR25" i="16"/>
  <c r="FA24" i="5" s="1"/>
  <c r="AO25" i="16"/>
  <c r="EO24" i="5" s="1"/>
  <c r="ER24" i="5" s="1"/>
  <c r="AN25" i="16"/>
  <c r="EK24" i="5" s="1"/>
  <c r="EN24" i="5" s="1"/>
  <c r="AM25" i="16"/>
  <c r="EG24" i="5" s="1"/>
  <c r="EH24" i="5" s="1"/>
  <c r="AL25" i="16"/>
  <c r="EC24" i="5" s="1"/>
  <c r="ED24" i="5" s="1"/>
  <c r="AK25" i="16"/>
  <c r="DY24" i="5" s="1"/>
  <c r="DZ24" i="5" s="1"/>
  <c r="AJ25" i="16"/>
  <c r="DU24" i="5" s="1"/>
  <c r="DV24" i="5" s="1"/>
  <c r="DQ24" i="5"/>
  <c r="DR24" i="5" s="1"/>
  <c r="DM24" i="5"/>
  <c r="DN24" i="5" s="1"/>
  <c r="AG25" i="16"/>
  <c r="DI24" i="5" s="1"/>
  <c r="DJ24" i="5" s="1"/>
  <c r="AF25" i="16"/>
  <c r="DE24" i="5" s="1"/>
  <c r="DF24" i="5" s="1"/>
  <c r="AE25" i="16"/>
  <c r="DA24" i="5" s="1"/>
  <c r="AD25" i="16"/>
  <c r="CW24" i="5" s="1"/>
  <c r="AC25" i="16"/>
  <c r="CS24" i="5" s="1"/>
  <c r="CT24" i="5" s="1"/>
  <c r="AB25" i="16"/>
  <c r="CO24" i="5" s="1"/>
  <c r="CP24" i="5" s="1"/>
  <c r="AA25" i="16"/>
  <c r="CK24" i="5" s="1"/>
  <c r="CL24" i="5" s="1"/>
  <c r="Z25" i="16"/>
  <c r="CG24" i="5" s="1"/>
  <c r="CH24" i="5" s="1"/>
  <c r="Y25" i="16"/>
  <c r="CC24" i="5" s="1"/>
  <c r="CD24" i="5" s="1"/>
  <c r="X25" i="16"/>
  <c r="BY24" i="5" s="1"/>
  <c r="BZ24" i="5" s="1"/>
  <c r="W25" i="16"/>
  <c r="BU24" i="5" s="1"/>
  <c r="BV24" i="5" s="1"/>
  <c r="V25" i="16"/>
  <c r="U25" i="16"/>
  <c r="BM24" i="5" s="1"/>
  <c r="BN24" i="5" s="1"/>
  <c r="T25" i="16"/>
  <c r="BI24" i="5" s="1"/>
  <c r="BJ24" i="5" s="1"/>
  <c r="S25" i="16"/>
  <c r="BE24" i="5" s="1"/>
  <c r="R25" i="16"/>
  <c r="BA24" i="5" s="1"/>
  <c r="Q25" i="16"/>
  <c r="AW24" i="5" s="1"/>
  <c r="P25" i="16"/>
  <c r="AS24" i="5" s="1"/>
  <c r="AK24" i="5"/>
  <c r="AL24" i="5" s="1"/>
  <c r="G25" i="16"/>
  <c r="F25" i="16"/>
  <c r="D25" i="16" s="1"/>
  <c r="DG24" i="16"/>
  <c r="DF24" i="16"/>
  <c r="DE24" i="16"/>
  <c r="DD24" i="16"/>
  <c r="DC24" i="16"/>
  <c r="DB24" i="16"/>
  <c r="CW24" i="16"/>
  <c r="CV24" i="16"/>
  <c r="CU24" i="16"/>
  <c r="CT24" i="16"/>
  <c r="CS24" i="16"/>
  <c r="CR24" i="16"/>
  <c r="CQ24" i="16"/>
  <c r="CP24" i="16"/>
  <c r="CO24" i="16"/>
  <c r="CN24" i="16"/>
  <c r="CM24" i="16"/>
  <c r="CL24" i="16"/>
  <c r="CJ24" i="16"/>
  <c r="CG24" i="16"/>
  <c r="LA23" i="5" s="1"/>
  <c r="CF24" i="16"/>
  <c r="KW23" i="5" s="1"/>
  <c r="CE24" i="16"/>
  <c r="KS23" i="5" s="1"/>
  <c r="CD24" i="16"/>
  <c r="KO23" i="5" s="1"/>
  <c r="CC24" i="16"/>
  <c r="KK23" i="5" s="1"/>
  <c r="CB24" i="16"/>
  <c r="KG23" i="5" s="1"/>
  <c r="CA24" i="16"/>
  <c r="KC23" i="5" s="1"/>
  <c r="KD23" i="5" s="1"/>
  <c r="BZ24" i="16"/>
  <c r="JY23" i="5" s="1"/>
  <c r="JZ23" i="5" s="1"/>
  <c r="BY24" i="16"/>
  <c r="JU23" i="5" s="1"/>
  <c r="JV23" i="5" s="1"/>
  <c r="BX24" i="16"/>
  <c r="JQ23" i="5" s="1"/>
  <c r="JR23" i="5" s="1"/>
  <c r="BW24" i="16"/>
  <c r="JM23" i="5" s="1"/>
  <c r="JN23" i="5" s="1"/>
  <c r="BV24" i="16"/>
  <c r="JI23" i="5" s="1"/>
  <c r="JJ23" i="5" s="1"/>
  <c r="BU24" i="16"/>
  <c r="JE23" i="5" s="1"/>
  <c r="BT24" i="16"/>
  <c r="JA23" i="5" s="1"/>
  <c r="BS24" i="16"/>
  <c r="IW23" i="5" s="1"/>
  <c r="IX23" i="5" s="1"/>
  <c r="BR24" i="16"/>
  <c r="IS23" i="5" s="1"/>
  <c r="IT23" i="5" s="1"/>
  <c r="BO24" i="16"/>
  <c r="BN24" i="16"/>
  <c r="IK23" i="5" s="1"/>
  <c r="BM24" i="16"/>
  <c r="IG23" i="5" s="1"/>
  <c r="BL24" i="16"/>
  <c r="IC23" i="5" s="1"/>
  <c r="BK24" i="16"/>
  <c r="HY23" i="5" s="1"/>
  <c r="HZ23" i="5" s="1"/>
  <c r="BJ24" i="16"/>
  <c r="HU23" i="5" s="1"/>
  <c r="HV23" i="5" s="1"/>
  <c r="BI24" i="16"/>
  <c r="BH24" i="16"/>
  <c r="HM23" i="5" s="1"/>
  <c r="BG24" i="16"/>
  <c r="HI23" i="5" s="1"/>
  <c r="HJ23" i="5" s="1"/>
  <c r="BF24" i="16"/>
  <c r="HE23" i="5" s="1"/>
  <c r="HF23" i="5" s="1"/>
  <c r="BE24" i="16"/>
  <c r="HA23" i="5" s="1"/>
  <c r="HB23" i="5" s="1"/>
  <c r="BD24" i="16"/>
  <c r="GW23" i="5" s="1"/>
  <c r="GX23" i="5" s="1"/>
  <c r="BC24" i="16"/>
  <c r="GS23" i="5" s="1"/>
  <c r="BB24" i="16"/>
  <c r="GO23" i="5" s="1"/>
  <c r="BA24" i="16"/>
  <c r="GK23" i="5" s="1"/>
  <c r="GL23" i="5" s="1"/>
  <c r="AY24" i="16"/>
  <c r="GC23" i="5" s="1"/>
  <c r="GE23" i="5" s="1"/>
  <c r="AX24" i="16"/>
  <c r="FY23" i="5" s="1"/>
  <c r="GA23" i="5" s="1"/>
  <c r="AW24" i="16"/>
  <c r="AV24" i="16"/>
  <c r="FQ23" i="5" s="1"/>
  <c r="AU24" i="16"/>
  <c r="FM23" i="5" s="1"/>
  <c r="AT24" i="16"/>
  <c r="FI23" i="5" s="1"/>
  <c r="AS24" i="16"/>
  <c r="FE23" i="5" s="1"/>
  <c r="AR24" i="16"/>
  <c r="FA23" i="5" s="1"/>
  <c r="AO24" i="16"/>
  <c r="EO23" i="5" s="1"/>
  <c r="ER23" i="5" s="1"/>
  <c r="AN24" i="16"/>
  <c r="EK23" i="5" s="1"/>
  <c r="EN23" i="5" s="1"/>
  <c r="AM24" i="16"/>
  <c r="EG23" i="5" s="1"/>
  <c r="EH23" i="5" s="1"/>
  <c r="AL24" i="16"/>
  <c r="EC23" i="5" s="1"/>
  <c r="ED23" i="5" s="1"/>
  <c r="AK24" i="16"/>
  <c r="DY23" i="5" s="1"/>
  <c r="DZ23" i="5" s="1"/>
  <c r="AJ24" i="16"/>
  <c r="DU23" i="5" s="1"/>
  <c r="DV23" i="5" s="1"/>
  <c r="DQ23" i="5"/>
  <c r="DR23" i="5" s="1"/>
  <c r="DM23" i="5"/>
  <c r="DN23" i="5" s="1"/>
  <c r="AG24" i="16"/>
  <c r="DI23" i="5" s="1"/>
  <c r="DJ23" i="5" s="1"/>
  <c r="AF24" i="16"/>
  <c r="DE23" i="5" s="1"/>
  <c r="DF23" i="5" s="1"/>
  <c r="AE24" i="16"/>
  <c r="DA23" i="5" s="1"/>
  <c r="AD24" i="16"/>
  <c r="CW23" i="5" s="1"/>
  <c r="AC24" i="16"/>
  <c r="CS23" i="5" s="1"/>
  <c r="CT23" i="5" s="1"/>
  <c r="AB24" i="16"/>
  <c r="CO23" i="5" s="1"/>
  <c r="CP23" i="5" s="1"/>
  <c r="AA24" i="16"/>
  <c r="CK23" i="5" s="1"/>
  <c r="CL23" i="5" s="1"/>
  <c r="Z24" i="16"/>
  <c r="CG23" i="5" s="1"/>
  <c r="CH23" i="5" s="1"/>
  <c r="Y24" i="16"/>
  <c r="CC23" i="5" s="1"/>
  <c r="CD23" i="5" s="1"/>
  <c r="X24" i="16"/>
  <c r="BY23" i="5" s="1"/>
  <c r="BZ23" i="5" s="1"/>
  <c r="W24" i="16"/>
  <c r="BU23" i="5" s="1"/>
  <c r="BV23" i="5" s="1"/>
  <c r="V24" i="16"/>
  <c r="U24" i="16"/>
  <c r="T24" i="16"/>
  <c r="BI23" i="5" s="1"/>
  <c r="BJ23" i="5" s="1"/>
  <c r="S24" i="16"/>
  <c r="BE23" i="5" s="1"/>
  <c r="R24" i="16"/>
  <c r="BA23" i="5" s="1"/>
  <c r="Q24" i="16"/>
  <c r="AW23" i="5" s="1"/>
  <c r="P24" i="16"/>
  <c r="AS23" i="5" s="1"/>
  <c r="AO23" i="5"/>
  <c r="AP23" i="5" s="1"/>
  <c r="AK23" i="5"/>
  <c r="AL23" i="5" s="1"/>
  <c r="G24" i="16"/>
  <c r="E24" i="16" s="1"/>
  <c r="F24" i="16"/>
  <c r="D24" i="16" s="1"/>
  <c r="DG23" i="16"/>
  <c r="DF23" i="16"/>
  <c r="DE23" i="16"/>
  <c r="DD23" i="16"/>
  <c r="DC23" i="16"/>
  <c r="DB23" i="16"/>
  <c r="CW23" i="16"/>
  <c r="CV23" i="16"/>
  <c r="CU23" i="16"/>
  <c r="CT23" i="16"/>
  <c r="CS23" i="16"/>
  <c r="CR23" i="16"/>
  <c r="CQ23" i="16"/>
  <c r="CP23" i="16"/>
  <c r="CO23" i="16"/>
  <c r="CN23" i="16"/>
  <c r="CM23" i="16"/>
  <c r="CL23" i="16"/>
  <c r="CJ23" i="16"/>
  <c r="CG23" i="16"/>
  <c r="LA22" i="5" s="1"/>
  <c r="CF23" i="16"/>
  <c r="KW22" i="5" s="1"/>
  <c r="CE23" i="16"/>
  <c r="KS22" i="5" s="1"/>
  <c r="CD23" i="16"/>
  <c r="KO22" i="5" s="1"/>
  <c r="CC23" i="16"/>
  <c r="KK22" i="5" s="1"/>
  <c r="CB23" i="16"/>
  <c r="KG22" i="5" s="1"/>
  <c r="CA23" i="16"/>
  <c r="BZ23" i="16"/>
  <c r="JY22" i="5" s="1"/>
  <c r="JZ22" i="5" s="1"/>
  <c r="BY23" i="16"/>
  <c r="JU22" i="5" s="1"/>
  <c r="JV22" i="5" s="1"/>
  <c r="BX23" i="16"/>
  <c r="JQ22" i="5" s="1"/>
  <c r="JR22" i="5" s="1"/>
  <c r="BW23" i="16"/>
  <c r="JM22" i="5" s="1"/>
  <c r="JN22" i="5" s="1"/>
  <c r="BV23" i="16"/>
  <c r="JI22" i="5" s="1"/>
  <c r="JJ22" i="5" s="1"/>
  <c r="BU23" i="16"/>
  <c r="JE22" i="5" s="1"/>
  <c r="BT23" i="16"/>
  <c r="JA22" i="5" s="1"/>
  <c r="BS23" i="16"/>
  <c r="BR23" i="16"/>
  <c r="IS22" i="5" s="1"/>
  <c r="IT22" i="5" s="1"/>
  <c r="BO23" i="16"/>
  <c r="IO22" i="5" s="1"/>
  <c r="BM23" i="16"/>
  <c r="BL23" i="16"/>
  <c r="IC22" i="5" s="1"/>
  <c r="BK23" i="16"/>
  <c r="HY22" i="5" s="1"/>
  <c r="HZ22" i="5" s="1"/>
  <c r="BJ23" i="16"/>
  <c r="HU22" i="5" s="1"/>
  <c r="HV22" i="5" s="1"/>
  <c r="BI23" i="16"/>
  <c r="HQ22" i="5" s="1"/>
  <c r="BH23" i="16"/>
  <c r="HM22" i="5" s="1"/>
  <c r="BG23" i="16"/>
  <c r="HI22" i="5" s="1"/>
  <c r="HJ22" i="5" s="1"/>
  <c r="BF23" i="16"/>
  <c r="HE22" i="5" s="1"/>
  <c r="HF22" i="5" s="1"/>
  <c r="BE23" i="16"/>
  <c r="BD23" i="16"/>
  <c r="GW22" i="5" s="1"/>
  <c r="GX22" i="5" s="1"/>
  <c r="BC23" i="16"/>
  <c r="GS22" i="5" s="1"/>
  <c r="BB23" i="16"/>
  <c r="GO22" i="5" s="1"/>
  <c r="BA23" i="16"/>
  <c r="GK22" i="5" s="1"/>
  <c r="GL22" i="5" s="1"/>
  <c r="AY23" i="16"/>
  <c r="GC22" i="5" s="1"/>
  <c r="GE22" i="5" s="1"/>
  <c r="AX23" i="16"/>
  <c r="FY22" i="5" s="1"/>
  <c r="GA22" i="5" s="1"/>
  <c r="AW23" i="16"/>
  <c r="AV23" i="16"/>
  <c r="FQ22" i="5" s="1"/>
  <c r="AU23" i="16"/>
  <c r="FM22" i="5" s="1"/>
  <c r="AT23" i="16"/>
  <c r="FI22" i="5" s="1"/>
  <c r="AS23" i="16"/>
  <c r="FE22" i="5" s="1"/>
  <c r="AR23" i="16"/>
  <c r="FA22" i="5" s="1"/>
  <c r="AO23" i="16"/>
  <c r="AN23" i="16"/>
  <c r="EK22" i="5" s="1"/>
  <c r="EN22" i="5" s="1"/>
  <c r="AM23" i="16"/>
  <c r="AL23" i="16"/>
  <c r="EC22" i="5" s="1"/>
  <c r="ED22" i="5" s="1"/>
  <c r="AK23" i="16"/>
  <c r="DY22" i="5" s="1"/>
  <c r="DZ22" i="5" s="1"/>
  <c r="AJ23" i="16"/>
  <c r="DU22" i="5" s="1"/>
  <c r="DV22" i="5" s="1"/>
  <c r="DQ22" i="5"/>
  <c r="DR22" i="5" s="1"/>
  <c r="DM22" i="5"/>
  <c r="DN22" i="5" s="1"/>
  <c r="AG23" i="16"/>
  <c r="AF23" i="16"/>
  <c r="DE22" i="5" s="1"/>
  <c r="DF22" i="5" s="1"/>
  <c r="AE23" i="16"/>
  <c r="AD23" i="16"/>
  <c r="CW22" i="5" s="1"/>
  <c r="AC23" i="16"/>
  <c r="AB23" i="16"/>
  <c r="CO22" i="5" s="1"/>
  <c r="CP22" i="5" s="1"/>
  <c r="AA23" i="16"/>
  <c r="CK22" i="5" s="1"/>
  <c r="CL22" i="5" s="1"/>
  <c r="Z23" i="16"/>
  <c r="CG22" i="5" s="1"/>
  <c r="CH22" i="5" s="1"/>
  <c r="Y23" i="16"/>
  <c r="X23" i="16"/>
  <c r="BY22" i="5" s="1"/>
  <c r="BZ22" i="5" s="1"/>
  <c r="W23" i="16"/>
  <c r="V23" i="16"/>
  <c r="U23" i="16"/>
  <c r="BM22" i="5" s="1"/>
  <c r="BN22" i="5" s="1"/>
  <c r="T23" i="16"/>
  <c r="BI22" i="5" s="1"/>
  <c r="BJ22" i="5" s="1"/>
  <c r="S23" i="16"/>
  <c r="BE22" i="5" s="1"/>
  <c r="R23" i="16"/>
  <c r="BA22" i="5" s="1"/>
  <c r="Q23" i="16"/>
  <c r="P23" i="16"/>
  <c r="AS22" i="5" s="1"/>
  <c r="AK22" i="5"/>
  <c r="AL22" i="5" s="1"/>
  <c r="G23" i="16"/>
  <c r="E23" i="16" s="1"/>
  <c r="F23" i="16"/>
  <c r="DG22" i="16"/>
  <c r="DF22" i="16"/>
  <c r="DE22" i="16"/>
  <c r="DD22" i="16"/>
  <c r="DC22" i="16"/>
  <c r="DB22" i="16"/>
  <c r="CW22" i="16"/>
  <c r="CV22" i="16"/>
  <c r="CU22" i="16"/>
  <c r="CT22" i="16"/>
  <c r="CS22" i="16"/>
  <c r="CR22" i="16"/>
  <c r="CQ22" i="16"/>
  <c r="CP22" i="16"/>
  <c r="CO22" i="16"/>
  <c r="CN22" i="16"/>
  <c r="CM22" i="16"/>
  <c r="CL22" i="16"/>
  <c r="CJ22" i="16"/>
  <c r="CG22" i="16"/>
  <c r="CF22" i="16"/>
  <c r="KW21" i="5" s="1"/>
  <c r="CE22" i="16"/>
  <c r="CD22" i="16"/>
  <c r="KO21" i="5" s="1"/>
  <c r="CC22" i="16"/>
  <c r="KK21" i="5" s="1"/>
  <c r="CB22" i="16"/>
  <c r="KG21" i="5" s="1"/>
  <c r="CA22" i="16"/>
  <c r="KC21" i="5" s="1"/>
  <c r="KD21" i="5" s="1"/>
  <c r="BZ22" i="16"/>
  <c r="JY21" i="5" s="1"/>
  <c r="JZ21" i="5" s="1"/>
  <c r="BY22" i="16"/>
  <c r="BX22" i="16"/>
  <c r="JQ21" i="5" s="1"/>
  <c r="JR21" i="5" s="1"/>
  <c r="BW22" i="16"/>
  <c r="JM21" i="5" s="1"/>
  <c r="JN21" i="5" s="1"/>
  <c r="BV22" i="16"/>
  <c r="JI21" i="5" s="1"/>
  <c r="JJ21" i="5" s="1"/>
  <c r="BU22" i="16"/>
  <c r="JE21" i="5" s="1"/>
  <c r="BT22" i="16"/>
  <c r="JA21" i="5" s="1"/>
  <c r="BS22" i="16"/>
  <c r="IW21" i="5" s="1"/>
  <c r="IX21" i="5" s="1"/>
  <c r="BR22" i="16"/>
  <c r="IS21" i="5" s="1"/>
  <c r="IT21" i="5" s="1"/>
  <c r="BO22" i="16"/>
  <c r="BN22" i="16"/>
  <c r="IK21" i="5" s="1"/>
  <c r="BM22" i="16"/>
  <c r="BL22" i="16"/>
  <c r="IC21" i="5" s="1"/>
  <c r="BK22" i="16"/>
  <c r="HY21" i="5" s="1"/>
  <c r="HZ21" i="5" s="1"/>
  <c r="BJ22" i="16"/>
  <c r="HU21" i="5" s="1"/>
  <c r="HV21" i="5" s="1"/>
  <c r="BI22" i="16"/>
  <c r="BH22" i="16"/>
  <c r="HM21" i="5" s="1"/>
  <c r="BG22" i="16"/>
  <c r="BF22" i="16"/>
  <c r="HE21" i="5" s="1"/>
  <c r="HF21" i="5" s="1"/>
  <c r="BE22" i="16"/>
  <c r="HA21" i="5" s="1"/>
  <c r="HB21" i="5" s="1"/>
  <c r="BD22" i="16"/>
  <c r="GW21" i="5" s="1"/>
  <c r="GX21" i="5" s="1"/>
  <c r="BC22" i="16"/>
  <c r="GS21" i="5" s="1"/>
  <c r="BB22" i="16"/>
  <c r="GO21" i="5" s="1"/>
  <c r="BA22" i="16"/>
  <c r="GK21" i="5" s="1"/>
  <c r="GL21" i="5" s="1"/>
  <c r="AY22" i="16"/>
  <c r="GC21" i="5" s="1"/>
  <c r="GE21" i="5" s="1"/>
  <c r="AX22" i="16"/>
  <c r="FY21" i="5" s="1"/>
  <c r="GA21" i="5" s="1"/>
  <c r="AW22" i="16"/>
  <c r="AV22" i="16"/>
  <c r="FQ21" i="5" s="1"/>
  <c r="AU22" i="16"/>
  <c r="FM21" i="5" s="1"/>
  <c r="AT22" i="16"/>
  <c r="FI21" i="5" s="1"/>
  <c r="AS22" i="16"/>
  <c r="FE21" i="5" s="1"/>
  <c r="AR22" i="16"/>
  <c r="FA21" i="5" s="1"/>
  <c r="AO22" i="16"/>
  <c r="EO21" i="5" s="1"/>
  <c r="ER21" i="5" s="1"/>
  <c r="AN22" i="16"/>
  <c r="EK21" i="5" s="1"/>
  <c r="EN21" i="5" s="1"/>
  <c r="AM22" i="16"/>
  <c r="EG21" i="5" s="1"/>
  <c r="EH21" i="5" s="1"/>
  <c r="AL22" i="16"/>
  <c r="EC21" i="5" s="1"/>
  <c r="ED21" i="5" s="1"/>
  <c r="AK22" i="16"/>
  <c r="DY21" i="5" s="1"/>
  <c r="DZ21" i="5" s="1"/>
  <c r="AJ22" i="16"/>
  <c r="DU21" i="5" s="1"/>
  <c r="DV21" i="5" s="1"/>
  <c r="DM21" i="5"/>
  <c r="DN21" i="5" s="1"/>
  <c r="AG22" i="16"/>
  <c r="DI21" i="5" s="1"/>
  <c r="DJ21" i="5" s="1"/>
  <c r="AF22" i="16"/>
  <c r="DE21" i="5" s="1"/>
  <c r="DF21" i="5" s="1"/>
  <c r="AE22" i="16"/>
  <c r="DA21" i="5" s="1"/>
  <c r="AD22" i="16"/>
  <c r="CW21" i="5" s="1"/>
  <c r="AC22" i="16"/>
  <c r="AB22" i="16"/>
  <c r="CO21" i="5" s="1"/>
  <c r="CP21" i="5" s="1"/>
  <c r="AA22" i="16"/>
  <c r="CK21" i="5" s="1"/>
  <c r="CL21" i="5" s="1"/>
  <c r="Z22" i="16"/>
  <c r="CG21" i="5" s="1"/>
  <c r="CH21" i="5" s="1"/>
  <c r="Y22" i="16"/>
  <c r="CC21" i="5" s="1"/>
  <c r="CD21" i="5" s="1"/>
  <c r="X22" i="16"/>
  <c r="BY21" i="5" s="1"/>
  <c r="BZ21" i="5" s="1"/>
  <c r="W22" i="16"/>
  <c r="BU21" i="5" s="1"/>
  <c r="BV21" i="5" s="1"/>
  <c r="V22" i="16"/>
  <c r="U22" i="16"/>
  <c r="BM21" i="5" s="1"/>
  <c r="BN21" i="5" s="1"/>
  <c r="T22" i="16"/>
  <c r="BI21" i="5" s="1"/>
  <c r="BJ21" i="5" s="1"/>
  <c r="S22" i="16"/>
  <c r="BE21" i="5" s="1"/>
  <c r="R22" i="16"/>
  <c r="BA21" i="5" s="1"/>
  <c r="Q22" i="16"/>
  <c r="AW21" i="5" s="1"/>
  <c r="P22" i="16"/>
  <c r="AS21" i="5" s="1"/>
  <c r="AO21" i="5"/>
  <c r="AP21" i="5" s="1"/>
  <c r="AK21" i="5"/>
  <c r="AL21" i="5" s="1"/>
  <c r="G22" i="16"/>
  <c r="F22" i="16"/>
  <c r="DG21" i="16"/>
  <c r="DF21" i="16"/>
  <c r="DE21" i="16"/>
  <c r="DD21" i="16"/>
  <c r="DC21" i="16"/>
  <c r="DB21" i="16"/>
  <c r="CW21" i="16"/>
  <c r="CV21" i="16"/>
  <c r="CU21" i="16"/>
  <c r="CT21" i="16"/>
  <c r="CS21" i="16"/>
  <c r="CR21" i="16"/>
  <c r="CQ21" i="16"/>
  <c r="CP21" i="16"/>
  <c r="CO21" i="16"/>
  <c r="CN21" i="16"/>
  <c r="CM21" i="16"/>
  <c r="CL21" i="16"/>
  <c r="CJ21" i="16"/>
  <c r="CG21" i="16"/>
  <c r="LA20" i="5" s="1"/>
  <c r="CF21" i="16"/>
  <c r="KW20" i="5" s="1"/>
  <c r="CE21" i="16"/>
  <c r="CD21" i="16"/>
  <c r="KO20" i="5" s="1"/>
  <c r="CC21" i="16"/>
  <c r="KK20" i="5" s="1"/>
  <c r="CB21" i="16"/>
  <c r="KG20" i="5" s="1"/>
  <c r="CA21" i="16"/>
  <c r="KC20" i="5" s="1"/>
  <c r="KD20" i="5" s="1"/>
  <c r="BZ21" i="16"/>
  <c r="JY20" i="5" s="1"/>
  <c r="JZ20" i="5" s="1"/>
  <c r="BY21" i="16"/>
  <c r="JU20" i="5" s="1"/>
  <c r="JV20" i="5" s="1"/>
  <c r="BX21" i="16"/>
  <c r="JQ20" i="5" s="1"/>
  <c r="JR20" i="5" s="1"/>
  <c r="BW21" i="16"/>
  <c r="JM20" i="5" s="1"/>
  <c r="JN20" i="5" s="1"/>
  <c r="BV21" i="16"/>
  <c r="JI20" i="5" s="1"/>
  <c r="JJ20" i="5" s="1"/>
  <c r="BU21" i="16"/>
  <c r="JE20" i="5" s="1"/>
  <c r="BT21" i="16"/>
  <c r="JA20" i="5" s="1"/>
  <c r="BS21" i="16"/>
  <c r="IW20" i="5" s="1"/>
  <c r="IX20" i="5" s="1"/>
  <c r="BR21" i="16"/>
  <c r="IS20" i="5" s="1"/>
  <c r="IT20" i="5" s="1"/>
  <c r="BO21" i="16"/>
  <c r="IO20" i="5" s="1"/>
  <c r="BN21" i="16"/>
  <c r="IK20" i="5" s="1"/>
  <c r="BM21" i="16"/>
  <c r="IG20" i="5" s="1"/>
  <c r="BL21" i="16"/>
  <c r="IC20" i="5" s="1"/>
  <c r="BK21" i="16"/>
  <c r="HY20" i="5" s="1"/>
  <c r="HZ20" i="5" s="1"/>
  <c r="BJ21" i="16"/>
  <c r="HU20" i="5" s="1"/>
  <c r="HV20" i="5" s="1"/>
  <c r="BI21" i="16"/>
  <c r="HQ20" i="5" s="1"/>
  <c r="BH21" i="16"/>
  <c r="HM20" i="5" s="1"/>
  <c r="BG21" i="16"/>
  <c r="HI20" i="5" s="1"/>
  <c r="HJ20" i="5" s="1"/>
  <c r="BF21" i="16"/>
  <c r="HE20" i="5" s="1"/>
  <c r="HF20" i="5" s="1"/>
  <c r="BE21" i="16"/>
  <c r="HA20" i="5" s="1"/>
  <c r="HB20" i="5" s="1"/>
  <c r="BD21" i="16"/>
  <c r="GW20" i="5" s="1"/>
  <c r="GX20" i="5" s="1"/>
  <c r="BC21" i="16"/>
  <c r="GS20" i="5" s="1"/>
  <c r="BB21" i="16"/>
  <c r="GO20" i="5" s="1"/>
  <c r="BA21" i="16"/>
  <c r="GK20" i="5" s="1"/>
  <c r="GL20" i="5" s="1"/>
  <c r="AY21" i="16"/>
  <c r="GC20" i="5" s="1"/>
  <c r="GE20" i="5" s="1"/>
  <c r="AX21" i="16"/>
  <c r="FY20" i="5" s="1"/>
  <c r="GA20" i="5" s="1"/>
  <c r="AW21" i="16"/>
  <c r="FU20" i="5" s="1"/>
  <c r="AV21" i="16"/>
  <c r="FQ20" i="5" s="1"/>
  <c r="AU21" i="16"/>
  <c r="FM20" i="5" s="1"/>
  <c r="AT21" i="16"/>
  <c r="FI20" i="5" s="1"/>
  <c r="AS21" i="16"/>
  <c r="FE20" i="5" s="1"/>
  <c r="AR21" i="16"/>
  <c r="FA20" i="5" s="1"/>
  <c r="AO21" i="16"/>
  <c r="EO20" i="5" s="1"/>
  <c r="ER20" i="5" s="1"/>
  <c r="AN21" i="16"/>
  <c r="EK20" i="5" s="1"/>
  <c r="EN20" i="5" s="1"/>
  <c r="AM21" i="16"/>
  <c r="AL21" i="16"/>
  <c r="EC20" i="5" s="1"/>
  <c r="ED20" i="5" s="1"/>
  <c r="AK21" i="16"/>
  <c r="AJ21" i="16"/>
  <c r="DU20" i="5" s="1"/>
  <c r="DV20" i="5" s="1"/>
  <c r="DQ20" i="5"/>
  <c r="DR20" i="5" s="1"/>
  <c r="DM20" i="5"/>
  <c r="DN20" i="5" s="1"/>
  <c r="AG21" i="16"/>
  <c r="DI20" i="5" s="1"/>
  <c r="DJ20" i="5" s="1"/>
  <c r="AF21" i="16"/>
  <c r="DE20" i="5" s="1"/>
  <c r="DF20" i="5" s="1"/>
  <c r="AE21" i="16"/>
  <c r="DA20" i="5" s="1"/>
  <c r="AD21" i="16"/>
  <c r="CW20" i="5" s="1"/>
  <c r="AC21" i="16"/>
  <c r="AB21" i="16"/>
  <c r="CO20" i="5" s="1"/>
  <c r="CP20" i="5" s="1"/>
  <c r="AA21" i="16"/>
  <c r="CK20" i="5" s="1"/>
  <c r="CL20" i="5" s="1"/>
  <c r="Z21" i="16"/>
  <c r="CG20" i="5" s="1"/>
  <c r="CH20" i="5" s="1"/>
  <c r="Y21" i="16"/>
  <c r="CC20" i="5" s="1"/>
  <c r="CD20" i="5" s="1"/>
  <c r="X21" i="16"/>
  <c r="BY20" i="5" s="1"/>
  <c r="BZ20" i="5" s="1"/>
  <c r="W21" i="16"/>
  <c r="BU20" i="5" s="1"/>
  <c r="BV20" i="5" s="1"/>
  <c r="V21" i="16"/>
  <c r="U21" i="16"/>
  <c r="T21" i="16"/>
  <c r="BI20" i="5" s="1"/>
  <c r="BJ20" i="5" s="1"/>
  <c r="S21" i="16"/>
  <c r="BE20" i="5" s="1"/>
  <c r="R21" i="16"/>
  <c r="BA20" i="5" s="1"/>
  <c r="Q21" i="16"/>
  <c r="AW20" i="5" s="1"/>
  <c r="P21" i="16"/>
  <c r="AS20" i="5" s="1"/>
  <c r="AO20" i="5"/>
  <c r="AP20" i="5" s="1"/>
  <c r="AK20" i="5"/>
  <c r="AL20" i="5" s="1"/>
  <c r="G21" i="16"/>
  <c r="E21" i="16" s="1"/>
  <c r="F21" i="16"/>
  <c r="DG20" i="16"/>
  <c r="DF20" i="16"/>
  <c r="DE20" i="16"/>
  <c r="DD20" i="16"/>
  <c r="DC20" i="16"/>
  <c r="DB20" i="16"/>
  <c r="CW20" i="16"/>
  <c r="CV20" i="16"/>
  <c r="CU20" i="16"/>
  <c r="CT20" i="16"/>
  <c r="CS20" i="16"/>
  <c r="CR20" i="16"/>
  <c r="CQ20" i="16"/>
  <c r="CP20" i="16"/>
  <c r="CO20" i="16"/>
  <c r="CN20" i="16"/>
  <c r="CM20" i="16"/>
  <c r="CL20" i="16"/>
  <c r="CJ20" i="16"/>
  <c r="CG20" i="16"/>
  <c r="LA19" i="5" s="1"/>
  <c r="CF20" i="16"/>
  <c r="KW19" i="5" s="1"/>
  <c r="CE20" i="16"/>
  <c r="CD20" i="16"/>
  <c r="KO19" i="5" s="1"/>
  <c r="CC20" i="16"/>
  <c r="KK19" i="5" s="1"/>
  <c r="CB20" i="16"/>
  <c r="KG19" i="5" s="1"/>
  <c r="CA20" i="16"/>
  <c r="KC19" i="5" s="1"/>
  <c r="KD19" i="5" s="1"/>
  <c r="BZ20" i="16"/>
  <c r="JY19" i="5" s="1"/>
  <c r="JZ19" i="5" s="1"/>
  <c r="BY20" i="16"/>
  <c r="JU19" i="5" s="1"/>
  <c r="JV19" i="5" s="1"/>
  <c r="BX20" i="16"/>
  <c r="JQ19" i="5" s="1"/>
  <c r="JR19" i="5" s="1"/>
  <c r="BW20" i="16"/>
  <c r="BV20" i="16"/>
  <c r="JI19" i="5" s="1"/>
  <c r="JJ19" i="5" s="1"/>
  <c r="BU20" i="16"/>
  <c r="JE19" i="5" s="1"/>
  <c r="BT20" i="16"/>
  <c r="JA19" i="5" s="1"/>
  <c r="BS20" i="16"/>
  <c r="IW19" i="5" s="1"/>
  <c r="IX19" i="5" s="1"/>
  <c r="BR20" i="16"/>
  <c r="IS19" i="5" s="1"/>
  <c r="IT19" i="5" s="1"/>
  <c r="BO20" i="16"/>
  <c r="IO19" i="5" s="1"/>
  <c r="BN20" i="16"/>
  <c r="IK19" i="5" s="1"/>
  <c r="BM20" i="16"/>
  <c r="BL20" i="16"/>
  <c r="IC19" i="5" s="1"/>
  <c r="BK20" i="16"/>
  <c r="HY19" i="5" s="1"/>
  <c r="HZ19" i="5" s="1"/>
  <c r="BJ20" i="16"/>
  <c r="HU19" i="5" s="1"/>
  <c r="HV19" i="5" s="1"/>
  <c r="BI20" i="16"/>
  <c r="BH20" i="16"/>
  <c r="HM19" i="5" s="1"/>
  <c r="BG20" i="16"/>
  <c r="HI19" i="5" s="1"/>
  <c r="HJ19" i="5" s="1"/>
  <c r="BF20" i="16"/>
  <c r="HE19" i="5" s="1"/>
  <c r="HF19" i="5" s="1"/>
  <c r="BE20" i="16"/>
  <c r="BD20" i="16"/>
  <c r="GW19" i="5" s="1"/>
  <c r="GX19" i="5" s="1"/>
  <c r="BC20" i="16"/>
  <c r="GS19" i="5" s="1"/>
  <c r="BB20" i="16"/>
  <c r="GO19" i="5" s="1"/>
  <c r="BA20" i="16"/>
  <c r="GK19" i="5" s="1"/>
  <c r="GL19" i="5" s="1"/>
  <c r="AY20" i="16"/>
  <c r="GC19" i="5" s="1"/>
  <c r="GE19" i="5" s="1"/>
  <c r="AX20" i="16"/>
  <c r="FY19" i="5" s="1"/>
  <c r="GA19" i="5" s="1"/>
  <c r="AW20" i="16"/>
  <c r="AV20" i="16"/>
  <c r="FQ19" i="5" s="1"/>
  <c r="AU20" i="16"/>
  <c r="FM19" i="5" s="1"/>
  <c r="AT20" i="16"/>
  <c r="FI19" i="5" s="1"/>
  <c r="AS20" i="16"/>
  <c r="FE19" i="5" s="1"/>
  <c r="AR20" i="16"/>
  <c r="FA19" i="5" s="1"/>
  <c r="AO20" i="16"/>
  <c r="EO19" i="5" s="1"/>
  <c r="ER19" i="5" s="1"/>
  <c r="AN20" i="16"/>
  <c r="EK19" i="5" s="1"/>
  <c r="EN19" i="5" s="1"/>
  <c r="AM20" i="16"/>
  <c r="EG19" i="5" s="1"/>
  <c r="EH19" i="5" s="1"/>
  <c r="AL20" i="16"/>
  <c r="EC19" i="5" s="1"/>
  <c r="ED19" i="5" s="1"/>
  <c r="AK20" i="16"/>
  <c r="DY19" i="5" s="1"/>
  <c r="DZ19" i="5" s="1"/>
  <c r="AJ20" i="16"/>
  <c r="DU19" i="5" s="1"/>
  <c r="DV19" i="5" s="1"/>
  <c r="DM19" i="5"/>
  <c r="DN19" i="5" s="1"/>
  <c r="AG20" i="16"/>
  <c r="DI19" i="5" s="1"/>
  <c r="DJ19" i="5" s="1"/>
  <c r="AF20" i="16"/>
  <c r="DE19" i="5" s="1"/>
  <c r="DF19" i="5" s="1"/>
  <c r="AE20" i="16"/>
  <c r="DA19" i="5" s="1"/>
  <c r="AD20" i="16"/>
  <c r="CW19" i="5" s="1"/>
  <c r="AC20" i="16"/>
  <c r="CS19" i="5" s="1"/>
  <c r="CT19" i="5" s="1"/>
  <c r="AB20" i="16"/>
  <c r="CO19" i="5" s="1"/>
  <c r="CP19" i="5" s="1"/>
  <c r="AA20" i="16"/>
  <c r="Z20" i="16"/>
  <c r="CG19" i="5" s="1"/>
  <c r="CH19" i="5" s="1"/>
  <c r="Y20" i="16"/>
  <c r="CC19" i="5" s="1"/>
  <c r="CD19" i="5" s="1"/>
  <c r="X20" i="16"/>
  <c r="BY19" i="5" s="1"/>
  <c r="BZ19" i="5" s="1"/>
  <c r="W20" i="16"/>
  <c r="BU19" i="5" s="1"/>
  <c r="BV19" i="5" s="1"/>
  <c r="V20" i="16"/>
  <c r="U20" i="16"/>
  <c r="BM19" i="5" s="1"/>
  <c r="BN19" i="5" s="1"/>
  <c r="T20" i="16"/>
  <c r="BI19" i="5" s="1"/>
  <c r="BJ19" i="5" s="1"/>
  <c r="S20" i="16"/>
  <c r="BE19" i="5" s="1"/>
  <c r="R20" i="16"/>
  <c r="BA19" i="5" s="1"/>
  <c r="Q20" i="16"/>
  <c r="AW19" i="5" s="1"/>
  <c r="P20" i="16"/>
  <c r="AS19" i="5" s="1"/>
  <c r="AO19" i="5"/>
  <c r="AP19" i="5" s="1"/>
  <c r="AK19" i="5"/>
  <c r="AL19" i="5" s="1"/>
  <c r="G20" i="16"/>
  <c r="E20" i="16" s="1"/>
  <c r="F20" i="16"/>
  <c r="DG19" i="16"/>
  <c r="DF19" i="16"/>
  <c r="DE19" i="16"/>
  <c r="DD19" i="16"/>
  <c r="DC19" i="16"/>
  <c r="DB19" i="16"/>
  <c r="CW19" i="16"/>
  <c r="CV19" i="16"/>
  <c r="CU19" i="16"/>
  <c r="CT19" i="16"/>
  <c r="CS19" i="16"/>
  <c r="CR19" i="16"/>
  <c r="CQ19" i="16"/>
  <c r="CP19" i="16"/>
  <c r="CO19" i="16"/>
  <c r="CN19" i="16"/>
  <c r="CM19" i="16"/>
  <c r="CL19" i="16"/>
  <c r="CJ19" i="16"/>
  <c r="CG19" i="16"/>
  <c r="LA18" i="5" s="1"/>
  <c r="CF19" i="16"/>
  <c r="KW18" i="5" s="1"/>
  <c r="CE19" i="16"/>
  <c r="CD19" i="16"/>
  <c r="KO18" i="5" s="1"/>
  <c r="CC19" i="16"/>
  <c r="KK18" i="5" s="1"/>
  <c r="CB19" i="16"/>
  <c r="KG18" i="5" s="1"/>
  <c r="CA19" i="16"/>
  <c r="KC18" i="5" s="1"/>
  <c r="KD18" i="5" s="1"/>
  <c r="BZ19" i="16"/>
  <c r="JY18" i="5" s="1"/>
  <c r="JZ18" i="5" s="1"/>
  <c r="BY19" i="16"/>
  <c r="JU18" i="5" s="1"/>
  <c r="JV18" i="5" s="1"/>
  <c r="BX19" i="16"/>
  <c r="JQ18" i="5" s="1"/>
  <c r="JR18" i="5" s="1"/>
  <c r="BW19" i="16"/>
  <c r="BV19" i="16"/>
  <c r="JI18" i="5" s="1"/>
  <c r="JJ18" i="5" s="1"/>
  <c r="BU19" i="16"/>
  <c r="JE18" i="5" s="1"/>
  <c r="BT19" i="16"/>
  <c r="JA18" i="5" s="1"/>
  <c r="BS19" i="16"/>
  <c r="IW18" i="5" s="1"/>
  <c r="IX18" i="5" s="1"/>
  <c r="BR19" i="16"/>
  <c r="IS18" i="5" s="1"/>
  <c r="IT18" i="5" s="1"/>
  <c r="BO19" i="16"/>
  <c r="IO18" i="5" s="1"/>
  <c r="BN19" i="16"/>
  <c r="IK18" i="5" s="1"/>
  <c r="BM19" i="16"/>
  <c r="BL19" i="16"/>
  <c r="IC18" i="5" s="1"/>
  <c r="BK19" i="16"/>
  <c r="HY18" i="5" s="1"/>
  <c r="HZ18" i="5" s="1"/>
  <c r="BJ19" i="16"/>
  <c r="HU18" i="5" s="1"/>
  <c r="HV18" i="5" s="1"/>
  <c r="BI19" i="16"/>
  <c r="BH19" i="16"/>
  <c r="HM18" i="5" s="1"/>
  <c r="BG19" i="16"/>
  <c r="HI18" i="5" s="1"/>
  <c r="HJ18" i="5" s="1"/>
  <c r="BF19" i="16"/>
  <c r="HE18" i="5" s="1"/>
  <c r="HF18" i="5" s="1"/>
  <c r="BE19" i="16"/>
  <c r="BD19" i="16"/>
  <c r="GW18" i="5" s="1"/>
  <c r="GX18" i="5" s="1"/>
  <c r="BC19" i="16"/>
  <c r="GS18" i="5" s="1"/>
  <c r="BB19" i="16"/>
  <c r="GO18" i="5" s="1"/>
  <c r="BA19" i="16"/>
  <c r="GK18" i="5" s="1"/>
  <c r="GL18" i="5" s="1"/>
  <c r="AY19" i="16"/>
  <c r="GC18" i="5" s="1"/>
  <c r="GE18" i="5" s="1"/>
  <c r="AX19" i="16"/>
  <c r="FY18" i="5" s="1"/>
  <c r="GA18" i="5" s="1"/>
  <c r="AW19" i="16"/>
  <c r="FU18" i="5" s="1"/>
  <c r="AV19" i="16"/>
  <c r="FQ18" i="5" s="1"/>
  <c r="AU19" i="16"/>
  <c r="FM18" i="5" s="1"/>
  <c r="AT19" i="16"/>
  <c r="FI18" i="5" s="1"/>
  <c r="AS19" i="16"/>
  <c r="FE18" i="5" s="1"/>
  <c r="AR19" i="16"/>
  <c r="FA18" i="5" s="1"/>
  <c r="AO19" i="16"/>
  <c r="EO18" i="5" s="1"/>
  <c r="ER18" i="5" s="1"/>
  <c r="AN19" i="16"/>
  <c r="EK18" i="5" s="1"/>
  <c r="EN18" i="5" s="1"/>
  <c r="AM19" i="16"/>
  <c r="EG18" i="5" s="1"/>
  <c r="EH18" i="5" s="1"/>
  <c r="AL19" i="16"/>
  <c r="EC18" i="5" s="1"/>
  <c r="ED18" i="5" s="1"/>
  <c r="AK19" i="16"/>
  <c r="DY18" i="5" s="1"/>
  <c r="DZ18" i="5" s="1"/>
  <c r="AJ19" i="16"/>
  <c r="DU18" i="5" s="1"/>
  <c r="DV18" i="5" s="1"/>
  <c r="DQ18" i="5"/>
  <c r="DR18" i="5" s="1"/>
  <c r="DM18" i="5"/>
  <c r="DN18" i="5" s="1"/>
  <c r="AG19" i="16"/>
  <c r="DI18" i="5" s="1"/>
  <c r="DJ18" i="5" s="1"/>
  <c r="AF19" i="16"/>
  <c r="DE18" i="5" s="1"/>
  <c r="DF18" i="5" s="1"/>
  <c r="AE19" i="16"/>
  <c r="DA18" i="5" s="1"/>
  <c r="AD19" i="16"/>
  <c r="CW18" i="5" s="1"/>
  <c r="AC19" i="16"/>
  <c r="CS18" i="5" s="1"/>
  <c r="CT18" i="5" s="1"/>
  <c r="AB19" i="16"/>
  <c r="CO18" i="5" s="1"/>
  <c r="CP18" i="5" s="1"/>
  <c r="AA19" i="16"/>
  <c r="CK18" i="5" s="1"/>
  <c r="CL18" i="5" s="1"/>
  <c r="Z19" i="16"/>
  <c r="CG18" i="5" s="1"/>
  <c r="CH18" i="5" s="1"/>
  <c r="Y19" i="16"/>
  <c r="CC18" i="5" s="1"/>
  <c r="CD18" i="5" s="1"/>
  <c r="X19" i="16"/>
  <c r="BY18" i="5" s="1"/>
  <c r="BZ18" i="5" s="1"/>
  <c r="W19" i="16"/>
  <c r="BU18" i="5" s="1"/>
  <c r="BV18" i="5" s="1"/>
  <c r="V19" i="16"/>
  <c r="U19" i="16"/>
  <c r="BM18" i="5" s="1"/>
  <c r="BN18" i="5" s="1"/>
  <c r="T19" i="16"/>
  <c r="BI18" i="5" s="1"/>
  <c r="BJ18" i="5" s="1"/>
  <c r="S19" i="16"/>
  <c r="BE18" i="5" s="1"/>
  <c r="R19" i="16"/>
  <c r="BA18" i="5" s="1"/>
  <c r="Q19" i="16"/>
  <c r="AW18" i="5" s="1"/>
  <c r="P19" i="16"/>
  <c r="AS18" i="5" s="1"/>
  <c r="AK18" i="5"/>
  <c r="AL18" i="5" s="1"/>
  <c r="G19" i="16"/>
  <c r="E19" i="16" s="1"/>
  <c r="F19" i="16"/>
  <c r="DG18" i="16"/>
  <c r="DF18" i="16"/>
  <c r="DE18" i="16"/>
  <c r="DD18" i="16"/>
  <c r="DC18" i="16"/>
  <c r="DB18" i="16"/>
  <c r="CW18" i="16"/>
  <c r="CV18" i="16"/>
  <c r="CU18" i="16"/>
  <c r="CT18" i="16"/>
  <c r="CS18" i="16"/>
  <c r="CR18" i="16"/>
  <c r="CQ18" i="16"/>
  <c r="CP18" i="16"/>
  <c r="CO18" i="16"/>
  <c r="CN18" i="16"/>
  <c r="CM18" i="16"/>
  <c r="CL18" i="16"/>
  <c r="CJ18" i="16"/>
  <c r="CG18" i="16"/>
  <c r="LA17" i="5" s="1"/>
  <c r="CF18" i="16"/>
  <c r="KW17" i="5" s="1"/>
  <c r="CE18" i="16"/>
  <c r="KS17" i="5" s="1"/>
  <c r="CD18" i="16"/>
  <c r="KO17" i="5" s="1"/>
  <c r="CC18" i="16"/>
  <c r="KK17" i="5" s="1"/>
  <c r="CB18" i="16"/>
  <c r="KG17" i="5" s="1"/>
  <c r="CA18" i="16"/>
  <c r="KC17" i="5" s="1"/>
  <c r="KD17" i="5" s="1"/>
  <c r="BZ18" i="16"/>
  <c r="JY17" i="5" s="1"/>
  <c r="JZ17" i="5" s="1"/>
  <c r="BY18" i="16"/>
  <c r="JU17" i="5" s="1"/>
  <c r="JV17" i="5" s="1"/>
  <c r="BX18" i="16"/>
  <c r="JQ17" i="5" s="1"/>
  <c r="JR17" i="5" s="1"/>
  <c r="BW18" i="16"/>
  <c r="JM17" i="5" s="1"/>
  <c r="JN17" i="5" s="1"/>
  <c r="BV18" i="16"/>
  <c r="JI17" i="5" s="1"/>
  <c r="JJ17" i="5" s="1"/>
  <c r="BU18" i="16"/>
  <c r="JE17" i="5" s="1"/>
  <c r="BT18" i="16"/>
  <c r="JA17" i="5" s="1"/>
  <c r="BS18" i="16"/>
  <c r="IW17" i="5" s="1"/>
  <c r="IX17" i="5" s="1"/>
  <c r="BR18" i="16"/>
  <c r="IS17" i="5" s="1"/>
  <c r="IT17" i="5" s="1"/>
  <c r="BO18" i="16"/>
  <c r="IO17" i="5" s="1"/>
  <c r="BN18" i="16"/>
  <c r="IK17" i="5" s="1"/>
  <c r="BM18" i="16"/>
  <c r="IG17" i="5" s="1"/>
  <c r="BL18" i="16"/>
  <c r="IC17" i="5" s="1"/>
  <c r="BK18" i="16"/>
  <c r="HY17" i="5" s="1"/>
  <c r="HZ17" i="5" s="1"/>
  <c r="BJ18" i="16"/>
  <c r="HU17" i="5" s="1"/>
  <c r="HV17" i="5" s="1"/>
  <c r="BI18" i="16"/>
  <c r="BH18" i="16"/>
  <c r="HM17" i="5" s="1"/>
  <c r="BG18" i="16"/>
  <c r="HI17" i="5" s="1"/>
  <c r="HJ17" i="5" s="1"/>
  <c r="BF18" i="16"/>
  <c r="HE17" i="5" s="1"/>
  <c r="HF17" i="5" s="1"/>
  <c r="BE18" i="16"/>
  <c r="HA17" i="5" s="1"/>
  <c r="HB17" i="5" s="1"/>
  <c r="BD18" i="16"/>
  <c r="GW17" i="5" s="1"/>
  <c r="GX17" i="5" s="1"/>
  <c r="BC18" i="16"/>
  <c r="GS17" i="5" s="1"/>
  <c r="BB18" i="16"/>
  <c r="GO17" i="5" s="1"/>
  <c r="BA18" i="16"/>
  <c r="GK17" i="5" s="1"/>
  <c r="GL17" i="5" s="1"/>
  <c r="AY18" i="16"/>
  <c r="GC17" i="5" s="1"/>
  <c r="GE17" i="5" s="1"/>
  <c r="AX18" i="16"/>
  <c r="FY17" i="5" s="1"/>
  <c r="GA17" i="5" s="1"/>
  <c r="AW18" i="16"/>
  <c r="FU17" i="5" s="1"/>
  <c r="AV18" i="16"/>
  <c r="FQ17" i="5" s="1"/>
  <c r="AU18" i="16"/>
  <c r="FM17" i="5" s="1"/>
  <c r="AT18" i="16"/>
  <c r="FI17" i="5" s="1"/>
  <c r="AS18" i="16"/>
  <c r="FE17" i="5" s="1"/>
  <c r="AR18" i="16"/>
  <c r="FA17" i="5" s="1"/>
  <c r="AO18" i="16"/>
  <c r="EO17" i="5" s="1"/>
  <c r="ER17" i="5" s="1"/>
  <c r="AN18" i="16"/>
  <c r="EK17" i="5" s="1"/>
  <c r="EN17" i="5" s="1"/>
  <c r="AM18" i="16"/>
  <c r="EG17" i="5" s="1"/>
  <c r="EH17" i="5" s="1"/>
  <c r="AL18" i="16"/>
  <c r="EC17" i="5" s="1"/>
  <c r="ED17" i="5" s="1"/>
  <c r="AK18" i="16"/>
  <c r="DY17" i="5" s="1"/>
  <c r="DZ17" i="5" s="1"/>
  <c r="AJ18" i="16"/>
  <c r="DU17" i="5" s="1"/>
  <c r="DV17" i="5" s="1"/>
  <c r="DM17" i="5"/>
  <c r="DN17" i="5" s="1"/>
  <c r="AG18" i="16"/>
  <c r="AF18" i="16"/>
  <c r="DE17" i="5" s="1"/>
  <c r="DF17" i="5" s="1"/>
  <c r="AE18" i="16"/>
  <c r="DA17" i="5" s="1"/>
  <c r="AD18" i="16"/>
  <c r="CW17" i="5" s="1"/>
  <c r="AC18" i="16"/>
  <c r="CS17" i="5" s="1"/>
  <c r="CT17" i="5" s="1"/>
  <c r="AB18" i="16"/>
  <c r="CO17" i="5" s="1"/>
  <c r="CP17" i="5" s="1"/>
  <c r="AA18" i="16"/>
  <c r="Z18" i="16"/>
  <c r="CG17" i="5" s="1"/>
  <c r="CH17" i="5" s="1"/>
  <c r="Y18" i="16"/>
  <c r="X18" i="16"/>
  <c r="BY17" i="5" s="1"/>
  <c r="BZ17" i="5" s="1"/>
  <c r="W18" i="16"/>
  <c r="BU17" i="5" s="1"/>
  <c r="BV17" i="5" s="1"/>
  <c r="V18" i="16"/>
  <c r="U18" i="16"/>
  <c r="BM17" i="5" s="1"/>
  <c r="BN17" i="5" s="1"/>
  <c r="T18" i="16"/>
  <c r="BI17" i="5" s="1"/>
  <c r="BJ17" i="5" s="1"/>
  <c r="S18" i="16"/>
  <c r="R18" i="16"/>
  <c r="BA17" i="5" s="1"/>
  <c r="Q18" i="16"/>
  <c r="P18" i="16"/>
  <c r="AS17" i="5" s="1"/>
  <c r="AO17" i="5"/>
  <c r="AP17" i="5" s="1"/>
  <c r="AK17" i="5"/>
  <c r="AL17" i="5" s="1"/>
  <c r="G18" i="16"/>
  <c r="F18" i="16"/>
  <c r="DG17" i="16"/>
  <c r="DF17" i="16"/>
  <c r="DE17" i="16"/>
  <c r="DD17" i="16"/>
  <c r="DC17" i="16"/>
  <c r="DB17" i="16"/>
  <c r="CW17" i="16"/>
  <c r="CV17" i="16"/>
  <c r="CU17" i="16"/>
  <c r="CT17" i="16"/>
  <c r="CS17" i="16"/>
  <c r="CR17" i="16"/>
  <c r="CQ17" i="16"/>
  <c r="CP17" i="16"/>
  <c r="CO17" i="16"/>
  <c r="CN17" i="16"/>
  <c r="CM17" i="16"/>
  <c r="CL17" i="16"/>
  <c r="CJ17" i="16"/>
  <c r="CG17" i="16"/>
  <c r="LA16" i="5" s="1"/>
  <c r="CF17" i="16"/>
  <c r="KW16" i="5" s="1"/>
  <c r="CE17" i="16"/>
  <c r="KS16" i="5" s="1"/>
  <c r="CD17" i="16"/>
  <c r="KO16" i="5" s="1"/>
  <c r="CC17" i="16"/>
  <c r="KK16" i="5" s="1"/>
  <c r="CB17" i="16"/>
  <c r="KG16" i="5" s="1"/>
  <c r="CA17" i="16"/>
  <c r="KC16" i="5" s="1"/>
  <c r="KD16" i="5" s="1"/>
  <c r="BZ17" i="16"/>
  <c r="JY16" i="5" s="1"/>
  <c r="JZ16" i="5" s="1"/>
  <c r="BY17" i="16"/>
  <c r="JU16" i="5" s="1"/>
  <c r="JV16" i="5" s="1"/>
  <c r="BX17" i="16"/>
  <c r="JQ16" i="5" s="1"/>
  <c r="JR16" i="5" s="1"/>
  <c r="BW17" i="16"/>
  <c r="JM16" i="5" s="1"/>
  <c r="JN16" i="5" s="1"/>
  <c r="BV17" i="16"/>
  <c r="JI16" i="5" s="1"/>
  <c r="JJ16" i="5" s="1"/>
  <c r="BU17" i="16"/>
  <c r="JE16" i="5" s="1"/>
  <c r="BT17" i="16"/>
  <c r="JA16" i="5" s="1"/>
  <c r="BS17" i="16"/>
  <c r="IW16" i="5" s="1"/>
  <c r="IX16" i="5" s="1"/>
  <c r="BR17" i="16"/>
  <c r="IS16" i="5" s="1"/>
  <c r="IT16" i="5" s="1"/>
  <c r="BO17" i="16"/>
  <c r="IO16" i="5" s="1"/>
  <c r="BN17" i="16"/>
  <c r="IK16" i="5" s="1"/>
  <c r="BM17" i="16"/>
  <c r="IG16" i="5" s="1"/>
  <c r="BL17" i="16"/>
  <c r="IC16" i="5" s="1"/>
  <c r="BK17" i="16"/>
  <c r="HY16" i="5" s="1"/>
  <c r="HZ16" i="5" s="1"/>
  <c r="BJ17" i="16"/>
  <c r="HU16" i="5" s="1"/>
  <c r="HV16" i="5" s="1"/>
  <c r="BI17" i="16"/>
  <c r="HQ16" i="5" s="1"/>
  <c r="BH17" i="16"/>
  <c r="HM16" i="5" s="1"/>
  <c r="BG17" i="16"/>
  <c r="HI16" i="5" s="1"/>
  <c r="HJ16" i="5" s="1"/>
  <c r="BF17" i="16"/>
  <c r="HE16" i="5" s="1"/>
  <c r="HF16" i="5" s="1"/>
  <c r="BE17" i="16"/>
  <c r="HA16" i="5" s="1"/>
  <c r="HB16" i="5" s="1"/>
  <c r="BD17" i="16"/>
  <c r="GW16" i="5" s="1"/>
  <c r="GX16" i="5" s="1"/>
  <c r="BC17" i="16"/>
  <c r="GS16" i="5" s="1"/>
  <c r="BB17" i="16"/>
  <c r="GO16" i="5" s="1"/>
  <c r="BA17" i="16"/>
  <c r="GK16" i="5" s="1"/>
  <c r="GL16" i="5" s="1"/>
  <c r="AY17" i="16"/>
  <c r="GC16" i="5" s="1"/>
  <c r="GE16" i="5" s="1"/>
  <c r="AX17" i="16"/>
  <c r="FY16" i="5" s="1"/>
  <c r="GA16" i="5" s="1"/>
  <c r="AW17" i="16"/>
  <c r="AV17" i="16"/>
  <c r="FQ16" i="5" s="1"/>
  <c r="AU17" i="16"/>
  <c r="FM16" i="5" s="1"/>
  <c r="AT17" i="16"/>
  <c r="FI16" i="5" s="1"/>
  <c r="AS17" i="16"/>
  <c r="FE16" i="5" s="1"/>
  <c r="AR17" i="16"/>
  <c r="FA16" i="5" s="1"/>
  <c r="AO17" i="16"/>
  <c r="EO16" i="5" s="1"/>
  <c r="ER16" i="5" s="1"/>
  <c r="AN17" i="16"/>
  <c r="EK16" i="5" s="1"/>
  <c r="EN16" i="5" s="1"/>
  <c r="AM17" i="16"/>
  <c r="EG16" i="5" s="1"/>
  <c r="EH16" i="5" s="1"/>
  <c r="AL17" i="16"/>
  <c r="EC16" i="5" s="1"/>
  <c r="ED16" i="5" s="1"/>
  <c r="AK17" i="16"/>
  <c r="DY16" i="5" s="1"/>
  <c r="DZ16" i="5" s="1"/>
  <c r="AJ17" i="16"/>
  <c r="DU16" i="5" s="1"/>
  <c r="DV16" i="5" s="1"/>
  <c r="DQ16" i="5"/>
  <c r="DR16" i="5" s="1"/>
  <c r="DM16" i="5"/>
  <c r="DN16" i="5" s="1"/>
  <c r="AG17" i="16"/>
  <c r="DI16" i="5" s="1"/>
  <c r="DJ16" i="5" s="1"/>
  <c r="AF17" i="16"/>
  <c r="DE16" i="5" s="1"/>
  <c r="DF16" i="5" s="1"/>
  <c r="AE17" i="16"/>
  <c r="DA16" i="5" s="1"/>
  <c r="AD17" i="16"/>
  <c r="CW16" i="5" s="1"/>
  <c r="AC17" i="16"/>
  <c r="CS16" i="5" s="1"/>
  <c r="CT16" i="5" s="1"/>
  <c r="AB17" i="16"/>
  <c r="CO16" i="5" s="1"/>
  <c r="CP16" i="5" s="1"/>
  <c r="AA17" i="16"/>
  <c r="CK16" i="5" s="1"/>
  <c r="CL16" i="5" s="1"/>
  <c r="Z17" i="16"/>
  <c r="CG16" i="5" s="1"/>
  <c r="CH16" i="5" s="1"/>
  <c r="Y17" i="16"/>
  <c r="CC16" i="5" s="1"/>
  <c r="CD16" i="5" s="1"/>
  <c r="X17" i="16"/>
  <c r="BY16" i="5" s="1"/>
  <c r="BZ16" i="5" s="1"/>
  <c r="W17" i="16"/>
  <c r="V17" i="16"/>
  <c r="U17" i="16"/>
  <c r="BM16" i="5" s="1"/>
  <c r="BN16" i="5" s="1"/>
  <c r="T17" i="16"/>
  <c r="BI16" i="5" s="1"/>
  <c r="BJ16" i="5" s="1"/>
  <c r="S17" i="16"/>
  <c r="BE16" i="5" s="1"/>
  <c r="R17" i="16"/>
  <c r="BA16" i="5" s="1"/>
  <c r="Q17" i="16"/>
  <c r="P17" i="16"/>
  <c r="AS16" i="5" s="1"/>
  <c r="AO16" i="5"/>
  <c r="AP16" i="5" s="1"/>
  <c r="AK16" i="5"/>
  <c r="AL16" i="5" s="1"/>
  <c r="G17" i="16"/>
  <c r="E17" i="16" s="1"/>
  <c r="F17" i="16"/>
  <c r="DG16" i="16"/>
  <c r="DF16" i="16"/>
  <c r="DE16" i="16"/>
  <c r="DD16" i="16"/>
  <c r="DC16" i="16"/>
  <c r="DB16" i="16"/>
  <c r="CW16" i="16"/>
  <c r="CV16" i="16"/>
  <c r="CU16" i="16"/>
  <c r="CT16" i="16"/>
  <c r="CS16" i="16"/>
  <c r="CR16" i="16"/>
  <c r="CQ16" i="16"/>
  <c r="CP16" i="16"/>
  <c r="CO16" i="16"/>
  <c r="CN16" i="16"/>
  <c r="CM16" i="16"/>
  <c r="CL16" i="16"/>
  <c r="CJ16" i="16"/>
  <c r="CG16" i="16"/>
  <c r="LA15" i="5" s="1"/>
  <c r="CF16" i="16"/>
  <c r="KW15" i="5" s="1"/>
  <c r="CE16" i="16"/>
  <c r="KS15" i="5" s="1"/>
  <c r="CD16" i="16"/>
  <c r="KO15" i="5" s="1"/>
  <c r="CC16" i="16"/>
  <c r="KK15" i="5" s="1"/>
  <c r="CB16" i="16"/>
  <c r="KG15" i="5" s="1"/>
  <c r="CA16" i="16"/>
  <c r="BZ16" i="16"/>
  <c r="JY15" i="5" s="1"/>
  <c r="JZ15" i="5" s="1"/>
  <c r="BY16" i="16"/>
  <c r="JU15" i="5" s="1"/>
  <c r="JV15" i="5" s="1"/>
  <c r="BX16" i="16"/>
  <c r="JQ15" i="5" s="1"/>
  <c r="JR15" i="5" s="1"/>
  <c r="BW16" i="16"/>
  <c r="JM15" i="5" s="1"/>
  <c r="JN15" i="5" s="1"/>
  <c r="BV16" i="16"/>
  <c r="JI15" i="5" s="1"/>
  <c r="JJ15" i="5" s="1"/>
  <c r="BU16" i="16"/>
  <c r="JE15" i="5" s="1"/>
  <c r="BT16" i="16"/>
  <c r="JA15" i="5" s="1"/>
  <c r="BS16" i="16"/>
  <c r="BR16" i="16"/>
  <c r="IS15" i="5" s="1"/>
  <c r="IT15" i="5" s="1"/>
  <c r="BO16" i="16"/>
  <c r="IO15" i="5" s="1"/>
  <c r="BM16" i="16"/>
  <c r="BL16" i="16"/>
  <c r="IC15" i="5" s="1"/>
  <c r="BK16" i="16"/>
  <c r="HY15" i="5" s="1"/>
  <c r="HZ15" i="5" s="1"/>
  <c r="BJ16" i="16"/>
  <c r="HU15" i="5" s="1"/>
  <c r="HV15" i="5" s="1"/>
  <c r="BI16" i="16"/>
  <c r="BH16" i="16"/>
  <c r="HM15" i="5" s="1"/>
  <c r="BG16" i="16"/>
  <c r="BF16" i="16"/>
  <c r="HE15" i="5" s="1"/>
  <c r="HF15" i="5" s="1"/>
  <c r="BE16" i="16"/>
  <c r="HA15" i="5" s="1"/>
  <c r="HB15" i="5" s="1"/>
  <c r="BD16" i="16"/>
  <c r="GW15" i="5" s="1"/>
  <c r="GX15" i="5" s="1"/>
  <c r="BC16" i="16"/>
  <c r="GS15" i="5" s="1"/>
  <c r="BB16" i="16"/>
  <c r="GO15" i="5" s="1"/>
  <c r="BA16" i="16"/>
  <c r="AY16" i="16"/>
  <c r="AX16" i="16"/>
  <c r="FY15" i="5" s="1"/>
  <c r="GA15" i="5" s="1"/>
  <c r="AW16" i="16"/>
  <c r="AV16" i="16"/>
  <c r="FQ15" i="5" s="1"/>
  <c r="AU16" i="16"/>
  <c r="FM15" i="5" s="1"/>
  <c r="AT16" i="16"/>
  <c r="FI15" i="5" s="1"/>
  <c r="AS16" i="16"/>
  <c r="AR16" i="16"/>
  <c r="FA15" i="5" s="1"/>
  <c r="AO16" i="16"/>
  <c r="EO15" i="5" s="1"/>
  <c r="ER15" i="5" s="1"/>
  <c r="AN16" i="16"/>
  <c r="EK15" i="5" s="1"/>
  <c r="EN15" i="5" s="1"/>
  <c r="AM16" i="16"/>
  <c r="EG15" i="5" s="1"/>
  <c r="EH15" i="5" s="1"/>
  <c r="AL16" i="16"/>
  <c r="EC15" i="5" s="1"/>
  <c r="ED15" i="5" s="1"/>
  <c r="AK16" i="16"/>
  <c r="DY15" i="5" s="1"/>
  <c r="DZ15" i="5" s="1"/>
  <c r="AJ16" i="16"/>
  <c r="DU15" i="5" s="1"/>
  <c r="DV15" i="5" s="1"/>
  <c r="DM15" i="5"/>
  <c r="DN15" i="5" s="1"/>
  <c r="AG16" i="16"/>
  <c r="DI15" i="5" s="1"/>
  <c r="DJ15" i="5" s="1"/>
  <c r="AF16" i="16"/>
  <c r="DE15" i="5" s="1"/>
  <c r="DF15" i="5" s="1"/>
  <c r="AE16" i="16"/>
  <c r="DA15" i="5" s="1"/>
  <c r="AD16" i="16"/>
  <c r="CW15" i="5" s="1"/>
  <c r="AC16" i="16"/>
  <c r="CS15" i="5" s="1"/>
  <c r="CT15" i="5" s="1"/>
  <c r="AB16" i="16"/>
  <c r="CO15" i="5" s="1"/>
  <c r="CP15" i="5" s="1"/>
  <c r="AA16" i="16"/>
  <c r="CK15" i="5" s="1"/>
  <c r="CL15" i="5" s="1"/>
  <c r="Z16" i="16"/>
  <c r="CG15" i="5" s="1"/>
  <c r="CH15" i="5" s="1"/>
  <c r="Y16" i="16"/>
  <c r="CC15" i="5" s="1"/>
  <c r="CD15" i="5" s="1"/>
  <c r="X16" i="16"/>
  <c r="BY15" i="5" s="1"/>
  <c r="BZ15" i="5" s="1"/>
  <c r="W16" i="16"/>
  <c r="BU15" i="5" s="1"/>
  <c r="BV15" i="5" s="1"/>
  <c r="V16" i="16"/>
  <c r="U16" i="16"/>
  <c r="BM15" i="5" s="1"/>
  <c r="BN15" i="5" s="1"/>
  <c r="T16" i="16"/>
  <c r="BI15" i="5" s="1"/>
  <c r="BJ15" i="5" s="1"/>
  <c r="S16" i="16"/>
  <c r="BE15" i="5" s="1"/>
  <c r="R16" i="16"/>
  <c r="BA15" i="5" s="1"/>
  <c r="Q16" i="16"/>
  <c r="P16" i="16"/>
  <c r="AS15" i="5" s="1"/>
  <c r="AO15" i="5"/>
  <c r="AP15" i="5" s="1"/>
  <c r="AK15" i="5"/>
  <c r="AL15" i="5" s="1"/>
  <c r="G16" i="16"/>
  <c r="F16" i="16"/>
  <c r="DG15" i="16"/>
  <c r="DF15" i="16"/>
  <c r="DE15" i="16"/>
  <c r="DD15" i="16"/>
  <c r="DC15" i="16"/>
  <c r="DB15" i="16"/>
  <c r="CW15" i="16"/>
  <c r="CV15" i="16"/>
  <c r="CU15" i="16"/>
  <c r="CT15" i="16"/>
  <c r="CS15" i="16"/>
  <c r="CR15" i="16"/>
  <c r="CQ15" i="16"/>
  <c r="CP15" i="16"/>
  <c r="CO15" i="16"/>
  <c r="CN15" i="16"/>
  <c r="CM15" i="16"/>
  <c r="CL15" i="16"/>
  <c r="CJ15" i="16"/>
  <c r="CG15" i="16"/>
  <c r="LA14" i="5" s="1"/>
  <c r="LB14" i="5" s="1"/>
  <c r="CF15" i="16"/>
  <c r="KW14" i="5" s="1"/>
  <c r="KX14" i="5" s="1"/>
  <c r="CE15" i="16"/>
  <c r="KS14" i="5" s="1"/>
  <c r="CD15" i="16"/>
  <c r="KO14" i="5" s="1"/>
  <c r="CC15" i="16"/>
  <c r="KK14" i="5" s="1"/>
  <c r="CB15" i="16"/>
  <c r="KG14" i="5" s="1"/>
  <c r="CA15" i="16"/>
  <c r="BZ15" i="16"/>
  <c r="JY14" i="5" s="1"/>
  <c r="JZ14" i="5" s="1"/>
  <c r="BY15" i="16"/>
  <c r="JU14" i="5" s="1"/>
  <c r="JV14" i="5" s="1"/>
  <c r="BX15" i="16"/>
  <c r="JQ14" i="5" s="1"/>
  <c r="JR14" i="5" s="1"/>
  <c r="BW15" i="16"/>
  <c r="JM14" i="5" s="1"/>
  <c r="JN14" i="5" s="1"/>
  <c r="BV15" i="16"/>
  <c r="JI14" i="5" s="1"/>
  <c r="JJ14" i="5" s="1"/>
  <c r="BU15" i="16"/>
  <c r="JE14" i="5" s="1"/>
  <c r="BT15" i="16"/>
  <c r="JA14" i="5" s="1"/>
  <c r="BS15" i="16"/>
  <c r="BR15" i="16"/>
  <c r="IS14" i="5" s="1"/>
  <c r="IT14" i="5" s="1"/>
  <c r="BO15" i="16"/>
  <c r="IO14" i="5" s="1"/>
  <c r="BM15" i="16"/>
  <c r="BL15" i="16"/>
  <c r="IC14" i="5" s="1"/>
  <c r="BK15" i="16"/>
  <c r="HY14" i="5" s="1"/>
  <c r="HZ14" i="5" s="1"/>
  <c r="BJ15" i="16"/>
  <c r="HU14" i="5" s="1"/>
  <c r="HV14" i="5" s="1"/>
  <c r="BI15" i="16"/>
  <c r="BH15" i="16"/>
  <c r="HM14" i="5" s="1"/>
  <c r="BG15" i="16"/>
  <c r="HI14" i="5" s="1"/>
  <c r="HJ14" i="5" s="1"/>
  <c r="BF15" i="16"/>
  <c r="HE14" i="5" s="1"/>
  <c r="HF14" i="5" s="1"/>
  <c r="BE15" i="16"/>
  <c r="BD15" i="16"/>
  <c r="GW14" i="5" s="1"/>
  <c r="GX14" i="5" s="1"/>
  <c r="BC15" i="16"/>
  <c r="GS14" i="5" s="1"/>
  <c r="BB15" i="16"/>
  <c r="GO14" i="5" s="1"/>
  <c r="BA15" i="16"/>
  <c r="GK14" i="5" s="1"/>
  <c r="GL14" i="5" s="1"/>
  <c r="AY15" i="16"/>
  <c r="GC14" i="5" s="1"/>
  <c r="GE14" i="5" s="1"/>
  <c r="AX15" i="16"/>
  <c r="FY14" i="5" s="1"/>
  <c r="GA14" i="5" s="1"/>
  <c r="AW15" i="16"/>
  <c r="AV15" i="16"/>
  <c r="FQ14" i="5" s="1"/>
  <c r="AU15" i="16"/>
  <c r="FM14" i="5" s="1"/>
  <c r="AT15" i="16"/>
  <c r="FI14" i="5" s="1"/>
  <c r="AS15" i="16"/>
  <c r="FE14" i="5" s="1"/>
  <c r="AR15" i="16"/>
  <c r="FA14" i="5" s="1"/>
  <c r="AO15" i="16"/>
  <c r="AN15" i="16"/>
  <c r="EK14" i="5" s="1"/>
  <c r="EN14" i="5" s="1"/>
  <c r="AM15" i="16"/>
  <c r="AL15" i="16"/>
  <c r="EC14" i="5" s="1"/>
  <c r="ED14" i="5" s="1"/>
  <c r="AK15" i="16"/>
  <c r="DY14" i="5" s="1"/>
  <c r="DZ14" i="5" s="1"/>
  <c r="AJ15" i="16"/>
  <c r="DU14" i="5" s="1"/>
  <c r="DV14" i="5" s="1"/>
  <c r="DQ14" i="5"/>
  <c r="DR14" i="5" s="1"/>
  <c r="AG15" i="16"/>
  <c r="DI14" i="5" s="1"/>
  <c r="DJ14" i="5" s="1"/>
  <c r="AF15" i="16"/>
  <c r="DE14" i="5" s="1"/>
  <c r="DF14" i="5" s="1"/>
  <c r="AE15" i="16"/>
  <c r="AD15" i="16"/>
  <c r="CW14" i="5" s="1"/>
  <c r="AC15" i="16"/>
  <c r="AB15" i="16"/>
  <c r="CO14" i="5" s="1"/>
  <c r="CP14" i="5" s="1"/>
  <c r="AA15" i="16"/>
  <c r="CK14" i="5" s="1"/>
  <c r="CL14" i="5" s="1"/>
  <c r="Z15" i="16"/>
  <c r="CG14" i="5" s="1"/>
  <c r="CH14" i="5" s="1"/>
  <c r="Y15" i="16"/>
  <c r="CC14" i="5" s="1"/>
  <c r="CD14" i="5" s="1"/>
  <c r="X15" i="16"/>
  <c r="BY14" i="5" s="1"/>
  <c r="BZ14" i="5" s="1"/>
  <c r="W15" i="16"/>
  <c r="V15" i="16"/>
  <c r="U15" i="16"/>
  <c r="T15" i="16"/>
  <c r="BI14" i="5" s="1"/>
  <c r="BJ14" i="5" s="1"/>
  <c r="S15" i="16"/>
  <c r="BE14" i="5" s="1"/>
  <c r="R15" i="16"/>
  <c r="BA14" i="5" s="1"/>
  <c r="Q15" i="16"/>
  <c r="AW14" i="5" s="1"/>
  <c r="P15" i="16"/>
  <c r="AS14" i="5" s="1"/>
  <c r="AK14" i="5"/>
  <c r="AL14" i="5" s="1"/>
  <c r="G15" i="16"/>
  <c r="E15" i="16" s="1"/>
  <c r="F15" i="16"/>
  <c r="DG14" i="16"/>
  <c r="DF14" i="16"/>
  <c r="DE14" i="16"/>
  <c r="DD14" i="16"/>
  <c r="DC14" i="16"/>
  <c r="DB14" i="16"/>
  <c r="CW14" i="16"/>
  <c r="CV14" i="16"/>
  <c r="CU14" i="16"/>
  <c r="CT14" i="16"/>
  <c r="CS14" i="16"/>
  <c r="CR14" i="16"/>
  <c r="CQ14" i="16"/>
  <c r="CP14" i="16"/>
  <c r="CO14" i="16"/>
  <c r="CN14" i="16"/>
  <c r="CM14" i="16"/>
  <c r="CL14" i="16"/>
  <c r="CJ14" i="16"/>
  <c r="CG14" i="16"/>
  <c r="LA13" i="5" s="1"/>
  <c r="CF14" i="16"/>
  <c r="KW13" i="5" s="1"/>
  <c r="CE14" i="16"/>
  <c r="CD14" i="16"/>
  <c r="KO13" i="5" s="1"/>
  <c r="CC14" i="16"/>
  <c r="CB14" i="16"/>
  <c r="KG13" i="5" s="1"/>
  <c r="CA14" i="16"/>
  <c r="KC13" i="5" s="1"/>
  <c r="KD13" i="5" s="1"/>
  <c r="BZ14" i="16"/>
  <c r="JY13" i="5" s="1"/>
  <c r="JZ13" i="5" s="1"/>
  <c r="BY14" i="16"/>
  <c r="JU13" i="5" s="1"/>
  <c r="JV13" i="5" s="1"/>
  <c r="BX14" i="16"/>
  <c r="JQ13" i="5" s="1"/>
  <c r="JR13" i="5" s="1"/>
  <c r="BW14" i="16"/>
  <c r="BV14" i="16"/>
  <c r="JI13" i="5" s="1"/>
  <c r="JJ13" i="5" s="1"/>
  <c r="BU14" i="16"/>
  <c r="JE13" i="5" s="1"/>
  <c r="BT14" i="16"/>
  <c r="JA13" i="5" s="1"/>
  <c r="BS14" i="16"/>
  <c r="IW13" i="5" s="1"/>
  <c r="IX13" i="5" s="1"/>
  <c r="BR14" i="16"/>
  <c r="IS13" i="5" s="1"/>
  <c r="IT13" i="5" s="1"/>
  <c r="BO14" i="16"/>
  <c r="IO13" i="5" s="1"/>
  <c r="BN14" i="16"/>
  <c r="IK13" i="5" s="1"/>
  <c r="BM14" i="16"/>
  <c r="BL14" i="16"/>
  <c r="IC13" i="5" s="1"/>
  <c r="BK14" i="16"/>
  <c r="HY13" i="5" s="1"/>
  <c r="HZ13" i="5" s="1"/>
  <c r="BJ14" i="16"/>
  <c r="HU13" i="5" s="1"/>
  <c r="HV13" i="5" s="1"/>
  <c r="BI14" i="16"/>
  <c r="HQ13" i="5" s="1"/>
  <c r="BH14" i="16"/>
  <c r="HM13" i="5" s="1"/>
  <c r="BG14" i="16"/>
  <c r="HI13" i="5" s="1"/>
  <c r="HJ13" i="5" s="1"/>
  <c r="BF14" i="16"/>
  <c r="HE13" i="5" s="1"/>
  <c r="HF13" i="5" s="1"/>
  <c r="BE14" i="16"/>
  <c r="BD14" i="16"/>
  <c r="GW13" i="5" s="1"/>
  <c r="GX13" i="5" s="1"/>
  <c r="BC14" i="16"/>
  <c r="GS13" i="5" s="1"/>
  <c r="BB14" i="16"/>
  <c r="GO13" i="5" s="1"/>
  <c r="BA14" i="16"/>
  <c r="GK13" i="5" s="1"/>
  <c r="GL13" i="5" s="1"/>
  <c r="AY14" i="16"/>
  <c r="GC13" i="5" s="1"/>
  <c r="GE13" i="5" s="1"/>
  <c r="AX14" i="16"/>
  <c r="FY13" i="5" s="1"/>
  <c r="GA13" i="5" s="1"/>
  <c r="AW14" i="16"/>
  <c r="AV14" i="16"/>
  <c r="FQ13" i="5" s="1"/>
  <c r="AU14" i="16"/>
  <c r="FM13" i="5" s="1"/>
  <c r="AT14" i="16"/>
  <c r="FI13" i="5" s="1"/>
  <c r="AS14" i="16"/>
  <c r="FE13" i="5" s="1"/>
  <c r="AR14" i="16"/>
  <c r="FA13" i="5" s="1"/>
  <c r="AO14" i="16"/>
  <c r="EO13" i="5" s="1"/>
  <c r="ER13" i="5" s="1"/>
  <c r="AN14" i="16"/>
  <c r="EK13" i="5" s="1"/>
  <c r="EN13" i="5" s="1"/>
  <c r="AM14" i="16"/>
  <c r="EG13" i="5" s="1"/>
  <c r="EH13" i="5" s="1"/>
  <c r="AL14" i="16"/>
  <c r="EC13" i="5" s="1"/>
  <c r="ED13" i="5" s="1"/>
  <c r="AK14" i="16"/>
  <c r="DY13" i="5" s="1"/>
  <c r="DZ13" i="5" s="1"/>
  <c r="AJ14" i="16"/>
  <c r="DU13" i="5" s="1"/>
  <c r="DV13" i="5" s="1"/>
  <c r="DM13" i="5"/>
  <c r="DN13" i="5" s="1"/>
  <c r="AG14" i="16"/>
  <c r="DI13" i="5" s="1"/>
  <c r="DJ13" i="5" s="1"/>
  <c r="AF14" i="16"/>
  <c r="DE13" i="5" s="1"/>
  <c r="DF13" i="5" s="1"/>
  <c r="AE14" i="16"/>
  <c r="DA13" i="5" s="1"/>
  <c r="AD14" i="16"/>
  <c r="CW13" i="5" s="1"/>
  <c r="AC14" i="16"/>
  <c r="CS13" i="5" s="1"/>
  <c r="CT13" i="5" s="1"/>
  <c r="AB14" i="16"/>
  <c r="CO13" i="5" s="1"/>
  <c r="CP13" i="5" s="1"/>
  <c r="AA14" i="16"/>
  <c r="CK13" i="5" s="1"/>
  <c r="CL13" i="5" s="1"/>
  <c r="Z14" i="16"/>
  <c r="CG13" i="5" s="1"/>
  <c r="CH13" i="5" s="1"/>
  <c r="Y14" i="16"/>
  <c r="CC13" i="5" s="1"/>
  <c r="CD13" i="5" s="1"/>
  <c r="X14" i="16"/>
  <c r="BY13" i="5" s="1"/>
  <c r="BZ13" i="5" s="1"/>
  <c r="W14" i="16"/>
  <c r="BU13" i="5" s="1"/>
  <c r="BV13" i="5" s="1"/>
  <c r="V14" i="16"/>
  <c r="U14" i="16"/>
  <c r="BM13" i="5" s="1"/>
  <c r="BN13" i="5" s="1"/>
  <c r="T14" i="16"/>
  <c r="BI13" i="5" s="1"/>
  <c r="BJ13" i="5" s="1"/>
  <c r="S14" i="16"/>
  <c r="BE13" i="5" s="1"/>
  <c r="R14" i="16"/>
  <c r="BA13" i="5" s="1"/>
  <c r="Q14" i="16"/>
  <c r="AW13" i="5" s="1"/>
  <c r="P14" i="16"/>
  <c r="AS13" i="5" s="1"/>
  <c r="AO13" i="5"/>
  <c r="AP13" i="5" s="1"/>
  <c r="AK13" i="5"/>
  <c r="AL13" i="5" s="1"/>
  <c r="G14" i="16"/>
  <c r="F14" i="16"/>
  <c r="DG13" i="16"/>
  <c r="DF13" i="16"/>
  <c r="DE13" i="16"/>
  <c r="DD13" i="16"/>
  <c r="DC13" i="16"/>
  <c r="DB13" i="16"/>
  <c r="CW13" i="16"/>
  <c r="CV13" i="16"/>
  <c r="CU13" i="16"/>
  <c r="CT13" i="16"/>
  <c r="CS13" i="16"/>
  <c r="CR13" i="16"/>
  <c r="CQ13" i="16"/>
  <c r="CP13" i="16"/>
  <c r="CO13" i="16"/>
  <c r="CN13" i="16"/>
  <c r="CM13" i="16"/>
  <c r="CL13" i="16"/>
  <c r="CJ13" i="16"/>
  <c r="CG13" i="16"/>
  <c r="LA12" i="5" s="1"/>
  <c r="CF13" i="16"/>
  <c r="KW12" i="5" s="1"/>
  <c r="CE13" i="16"/>
  <c r="KS12" i="5" s="1"/>
  <c r="CD13" i="16"/>
  <c r="KO12" i="5" s="1"/>
  <c r="CC13" i="16"/>
  <c r="KK12" i="5" s="1"/>
  <c r="CB13" i="16"/>
  <c r="KG12" i="5" s="1"/>
  <c r="CA13" i="16"/>
  <c r="KC12" i="5" s="1"/>
  <c r="KD12" i="5" s="1"/>
  <c r="BZ13" i="16"/>
  <c r="JY12" i="5" s="1"/>
  <c r="JZ12" i="5" s="1"/>
  <c r="BY13" i="16"/>
  <c r="JU12" i="5" s="1"/>
  <c r="JV12" i="5" s="1"/>
  <c r="BX13" i="16"/>
  <c r="JQ12" i="5" s="1"/>
  <c r="JR12" i="5" s="1"/>
  <c r="BW13" i="16"/>
  <c r="BV13" i="16"/>
  <c r="JI12" i="5" s="1"/>
  <c r="JJ12" i="5" s="1"/>
  <c r="BU13" i="16"/>
  <c r="JE12" i="5" s="1"/>
  <c r="BT13" i="16"/>
  <c r="JA12" i="5" s="1"/>
  <c r="BS13" i="16"/>
  <c r="IW12" i="5" s="1"/>
  <c r="IX12" i="5" s="1"/>
  <c r="BR13" i="16"/>
  <c r="IS12" i="5" s="1"/>
  <c r="IT12" i="5" s="1"/>
  <c r="BO13" i="16"/>
  <c r="IO12" i="5" s="1"/>
  <c r="BN13" i="16"/>
  <c r="IK12" i="5" s="1"/>
  <c r="BM13" i="16"/>
  <c r="IG12" i="5" s="1"/>
  <c r="BL13" i="16"/>
  <c r="IC12" i="5" s="1"/>
  <c r="BK13" i="16"/>
  <c r="HY12" i="5" s="1"/>
  <c r="HZ12" i="5" s="1"/>
  <c r="BJ13" i="16"/>
  <c r="HU12" i="5" s="1"/>
  <c r="HV12" i="5" s="1"/>
  <c r="BI13" i="16"/>
  <c r="HQ12" i="5" s="1"/>
  <c r="BH13" i="16"/>
  <c r="HM12" i="5" s="1"/>
  <c r="BG13" i="16"/>
  <c r="HI12" i="5" s="1"/>
  <c r="HJ12" i="5" s="1"/>
  <c r="BF13" i="16"/>
  <c r="HE12" i="5" s="1"/>
  <c r="HF12" i="5" s="1"/>
  <c r="BE13" i="16"/>
  <c r="HA12" i="5" s="1"/>
  <c r="BD13" i="16"/>
  <c r="GW12" i="5" s="1"/>
  <c r="GX12" i="5" s="1"/>
  <c r="BC13" i="16"/>
  <c r="GS12" i="5" s="1"/>
  <c r="BB13" i="16"/>
  <c r="GO12" i="5" s="1"/>
  <c r="BA13" i="16"/>
  <c r="GK12" i="5" s="1"/>
  <c r="GL12" i="5" s="1"/>
  <c r="AY13" i="16"/>
  <c r="GC12" i="5" s="1"/>
  <c r="GE12" i="5" s="1"/>
  <c r="AX13" i="16"/>
  <c r="FY12" i="5" s="1"/>
  <c r="GA12" i="5" s="1"/>
  <c r="AW13" i="16"/>
  <c r="FU12" i="5" s="1"/>
  <c r="AV13" i="16"/>
  <c r="FQ12" i="5" s="1"/>
  <c r="AU13" i="16"/>
  <c r="FM12" i="5" s="1"/>
  <c r="AT13" i="16"/>
  <c r="FI12" i="5" s="1"/>
  <c r="AS13" i="16"/>
  <c r="FE12" i="5" s="1"/>
  <c r="AR13" i="16"/>
  <c r="FA12" i="5" s="1"/>
  <c r="AO13" i="16"/>
  <c r="AN13" i="16"/>
  <c r="EK12" i="5" s="1"/>
  <c r="EN12" i="5" s="1"/>
  <c r="AM13" i="16"/>
  <c r="EG12" i="5" s="1"/>
  <c r="EH12" i="5" s="1"/>
  <c r="AL13" i="16"/>
  <c r="EC12" i="5" s="1"/>
  <c r="ED12" i="5" s="1"/>
  <c r="AK13" i="16"/>
  <c r="AJ13" i="16"/>
  <c r="DU12" i="5" s="1"/>
  <c r="DV12" i="5" s="1"/>
  <c r="DQ12" i="5"/>
  <c r="DR12" i="5" s="1"/>
  <c r="DM12" i="5"/>
  <c r="DN12" i="5" s="1"/>
  <c r="AG13" i="16"/>
  <c r="DI12" i="5" s="1"/>
  <c r="DJ12" i="5" s="1"/>
  <c r="AF13" i="16"/>
  <c r="DE12" i="5" s="1"/>
  <c r="DF12" i="5" s="1"/>
  <c r="AE13" i="16"/>
  <c r="DA12" i="5" s="1"/>
  <c r="AD13" i="16"/>
  <c r="CW12" i="5" s="1"/>
  <c r="AC13" i="16"/>
  <c r="CS12" i="5" s="1"/>
  <c r="CT12" i="5" s="1"/>
  <c r="AB13" i="16"/>
  <c r="CO12" i="5" s="1"/>
  <c r="CP12" i="5" s="1"/>
  <c r="AA13" i="16"/>
  <c r="CK12" i="5" s="1"/>
  <c r="CL12" i="5" s="1"/>
  <c r="Z13" i="16"/>
  <c r="CG12" i="5" s="1"/>
  <c r="CH12" i="5" s="1"/>
  <c r="Y13" i="16"/>
  <c r="CC12" i="5" s="1"/>
  <c r="CD12" i="5" s="1"/>
  <c r="X13" i="16"/>
  <c r="BY12" i="5" s="1"/>
  <c r="BZ12" i="5" s="1"/>
  <c r="W13" i="16"/>
  <c r="BU12" i="5" s="1"/>
  <c r="BV12" i="5" s="1"/>
  <c r="V13" i="16"/>
  <c r="U13" i="16"/>
  <c r="T13" i="16"/>
  <c r="BI12" i="5" s="1"/>
  <c r="BJ12" i="5" s="1"/>
  <c r="S13" i="16"/>
  <c r="BE12" i="5" s="1"/>
  <c r="R13" i="16"/>
  <c r="BA12" i="5" s="1"/>
  <c r="Q13" i="16"/>
  <c r="AW12" i="5" s="1"/>
  <c r="P13" i="16"/>
  <c r="AS12" i="5" s="1"/>
  <c r="AO12" i="5"/>
  <c r="AP12" i="5" s="1"/>
  <c r="AK12" i="5"/>
  <c r="AL12" i="5" s="1"/>
  <c r="G13" i="16"/>
  <c r="F13" i="16"/>
  <c r="DG12" i="16"/>
  <c r="DF12" i="16"/>
  <c r="DE12" i="16"/>
  <c r="DD12" i="16"/>
  <c r="DC12" i="16"/>
  <c r="DB12" i="16"/>
  <c r="CW12" i="16"/>
  <c r="CV12" i="16"/>
  <c r="CU12" i="16"/>
  <c r="CT12" i="16"/>
  <c r="CS12" i="16"/>
  <c r="CR12" i="16"/>
  <c r="CQ12" i="16"/>
  <c r="CP12" i="16"/>
  <c r="CO12" i="16"/>
  <c r="CN12" i="16"/>
  <c r="CM12" i="16"/>
  <c r="CL12" i="16"/>
  <c r="CJ12" i="16"/>
  <c r="CG12" i="16"/>
  <c r="LA11" i="5" s="1"/>
  <c r="CF12" i="16"/>
  <c r="KW11" i="5" s="1"/>
  <c r="CE12" i="16"/>
  <c r="KS11" i="5" s="1"/>
  <c r="CD12" i="16"/>
  <c r="KO11" i="5" s="1"/>
  <c r="CC12" i="16"/>
  <c r="KK11" i="5" s="1"/>
  <c r="CB12" i="16"/>
  <c r="KG11" i="5" s="1"/>
  <c r="CA12" i="16"/>
  <c r="KC11" i="5" s="1"/>
  <c r="KD11" i="5" s="1"/>
  <c r="BZ12" i="16"/>
  <c r="JY11" i="5" s="1"/>
  <c r="JZ11" i="5" s="1"/>
  <c r="BY12" i="16"/>
  <c r="JU11" i="5" s="1"/>
  <c r="JV11" i="5" s="1"/>
  <c r="BX12" i="16"/>
  <c r="JQ11" i="5" s="1"/>
  <c r="JR11" i="5" s="1"/>
  <c r="BW12" i="16"/>
  <c r="JM11" i="5" s="1"/>
  <c r="JN11" i="5" s="1"/>
  <c r="BV12" i="16"/>
  <c r="JI11" i="5" s="1"/>
  <c r="JJ11" i="5" s="1"/>
  <c r="BU12" i="16"/>
  <c r="JE11" i="5" s="1"/>
  <c r="BT12" i="16"/>
  <c r="JA11" i="5" s="1"/>
  <c r="BS12" i="16"/>
  <c r="IW11" i="5" s="1"/>
  <c r="IX11" i="5" s="1"/>
  <c r="BR12" i="16"/>
  <c r="IS11" i="5" s="1"/>
  <c r="IT11" i="5" s="1"/>
  <c r="BO12" i="16"/>
  <c r="IO11" i="5" s="1"/>
  <c r="BM12" i="16"/>
  <c r="IG11" i="5" s="1"/>
  <c r="BL12" i="16"/>
  <c r="IC11" i="5" s="1"/>
  <c r="BK12" i="16"/>
  <c r="HY11" i="5" s="1"/>
  <c r="HZ11" i="5" s="1"/>
  <c r="BJ12" i="16"/>
  <c r="HU11" i="5" s="1"/>
  <c r="HV11" i="5" s="1"/>
  <c r="BI12" i="16"/>
  <c r="HQ11" i="5" s="1"/>
  <c r="BH12" i="16"/>
  <c r="HM11" i="5" s="1"/>
  <c r="BG12" i="16"/>
  <c r="HI11" i="5" s="1"/>
  <c r="HJ11" i="5" s="1"/>
  <c r="BF12" i="16"/>
  <c r="HE11" i="5" s="1"/>
  <c r="HF11" i="5" s="1"/>
  <c r="BE12" i="16"/>
  <c r="HA11" i="5" s="1"/>
  <c r="BD12" i="16"/>
  <c r="GW11" i="5" s="1"/>
  <c r="GX11" i="5" s="1"/>
  <c r="BC12" i="16"/>
  <c r="GS11" i="5" s="1"/>
  <c r="BB12" i="16"/>
  <c r="GO11" i="5" s="1"/>
  <c r="BA12" i="16"/>
  <c r="GK11" i="5" s="1"/>
  <c r="GL11" i="5" s="1"/>
  <c r="AY12" i="16"/>
  <c r="GC11" i="5" s="1"/>
  <c r="GE11" i="5" s="1"/>
  <c r="AX12" i="16"/>
  <c r="FY11" i="5" s="1"/>
  <c r="GA11" i="5" s="1"/>
  <c r="AW12" i="16"/>
  <c r="FU11" i="5" s="1"/>
  <c r="AV12" i="16"/>
  <c r="FQ11" i="5" s="1"/>
  <c r="AU12" i="16"/>
  <c r="FM11" i="5" s="1"/>
  <c r="AT12" i="16"/>
  <c r="FI11" i="5" s="1"/>
  <c r="AS12" i="16"/>
  <c r="FE11" i="5" s="1"/>
  <c r="AR12" i="16"/>
  <c r="FA11" i="5" s="1"/>
  <c r="AO12" i="16"/>
  <c r="AN12" i="16"/>
  <c r="EK11" i="5" s="1"/>
  <c r="EN11" i="5" s="1"/>
  <c r="AM12" i="16"/>
  <c r="EG11" i="5" s="1"/>
  <c r="EH11" i="5" s="1"/>
  <c r="AL12" i="16"/>
  <c r="EC11" i="5" s="1"/>
  <c r="ED11" i="5" s="1"/>
  <c r="AK12" i="16"/>
  <c r="DY11" i="5" s="1"/>
  <c r="DZ11" i="5" s="1"/>
  <c r="AJ12" i="16"/>
  <c r="DU11" i="5" s="1"/>
  <c r="DV11" i="5" s="1"/>
  <c r="DM11" i="5"/>
  <c r="DN11" i="5" s="1"/>
  <c r="AG12" i="16"/>
  <c r="DI11" i="5" s="1"/>
  <c r="DJ11" i="5" s="1"/>
  <c r="AF12" i="16"/>
  <c r="DE11" i="5" s="1"/>
  <c r="DF11" i="5" s="1"/>
  <c r="AE12" i="16"/>
  <c r="DA11" i="5" s="1"/>
  <c r="AD12" i="16"/>
  <c r="CW11" i="5" s="1"/>
  <c r="AC12" i="16"/>
  <c r="CS11" i="5" s="1"/>
  <c r="CT11" i="5" s="1"/>
  <c r="AB12" i="16"/>
  <c r="CO11" i="5" s="1"/>
  <c r="CP11" i="5" s="1"/>
  <c r="AA12" i="16"/>
  <c r="Z12" i="16"/>
  <c r="CG11" i="5" s="1"/>
  <c r="CH11" i="5" s="1"/>
  <c r="Y12" i="16"/>
  <c r="CC11" i="5" s="1"/>
  <c r="CD11" i="5" s="1"/>
  <c r="X12" i="16"/>
  <c r="BY11" i="5" s="1"/>
  <c r="BZ11" i="5" s="1"/>
  <c r="W12" i="16"/>
  <c r="BU11" i="5" s="1"/>
  <c r="BV11" i="5" s="1"/>
  <c r="V12" i="16"/>
  <c r="U12" i="16"/>
  <c r="BM11" i="5" s="1"/>
  <c r="BN11" i="5" s="1"/>
  <c r="T12" i="16"/>
  <c r="BI11" i="5" s="1"/>
  <c r="BJ11" i="5" s="1"/>
  <c r="S12" i="16"/>
  <c r="R12" i="16"/>
  <c r="BA11" i="5" s="1"/>
  <c r="Q12" i="16"/>
  <c r="AW11" i="5" s="1"/>
  <c r="P12" i="16"/>
  <c r="AS11" i="5" s="1"/>
  <c r="AO11" i="5"/>
  <c r="AP11" i="5" s="1"/>
  <c r="AK11" i="5"/>
  <c r="AL11" i="5" s="1"/>
  <c r="G12" i="16"/>
  <c r="E12" i="16" s="1"/>
  <c r="F12" i="16"/>
  <c r="DG11" i="16"/>
  <c r="DF11" i="16"/>
  <c r="DE11" i="16"/>
  <c r="DD11" i="16"/>
  <c r="DC11" i="16"/>
  <c r="DB11" i="16"/>
  <c r="CW11" i="16"/>
  <c r="CV11" i="16"/>
  <c r="CU11" i="16"/>
  <c r="CT11" i="16"/>
  <c r="CS11" i="16"/>
  <c r="CR11" i="16"/>
  <c r="CQ11" i="16"/>
  <c r="CP11" i="16"/>
  <c r="CO11" i="16"/>
  <c r="CN11" i="16"/>
  <c r="CM11" i="16"/>
  <c r="CL11" i="16"/>
  <c r="CJ11" i="16"/>
  <c r="CG11" i="16"/>
  <c r="LA10" i="5" s="1"/>
  <c r="CF11" i="16"/>
  <c r="KW10" i="5" s="1"/>
  <c r="CE11" i="16"/>
  <c r="KS10" i="5" s="1"/>
  <c r="CD11" i="16"/>
  <c r="KO10" i="5" s="1"/>
  <c r="CC11" i="16"/>
  <c r="KK10" i="5" s="1"/>
  <c r="CB11" i="16"/>
  <c r="KG10" i="5" s="1"/>
  <c r="CA11" i="16"/>
  <c r="KC10" i="5" s="1"/>
  <c r="BZ11" i="16"/>
  <c r="JY10" i="5" s="1"/>
  <c r="BY11" i="16"/>
  <c r="JU10" i="5" s="1"/>
  <c r="BX11" i="16"/>
  <c r="JQ10" i="5" s="1"/>
  <c r="BW11" i="16"/>
  <c r="JM10" i="5" s="1"/>
  <c r="BV11" i="16"/>
  <c r="JI10" i="5" s="1"/>
  <c r="BU11" i="16"/>
  <c r="JE10" i="5" s="1"/>
  <c r="BT11" i="16"/>
  <c r="JA10" i="5" s="1"/>
  <c r="BS11" i="16"/>
  <c r="IW10" i="5" s="1"/>
  <c r="BR11" i="16"/>
  <c r="IS10" i="5" s="1"/>
  <c r="BO11" i="16"/>
  <c r="IO10" i="5" s="1"/>
  <c r="BN11" i="16"/>
  <c r="IK10" i="5" s="1"/>
  <c r="BM11" i="16"/>
  <c r="IG10" i="5" s="1"/>
  <c r="BL11" i="16"/>
  <c r="IC10" i="5" s="1"/>
  <c r="BK11" i="16"/>
  <c r="HY10" i="5" s="1"/>
  <c r="BJ11" i="16"/>
  <c r="HU10" i="5" s="1"/>
  <c r="BI11" i="16"/>
  <c r="HQ10" i="5" s="1"/>
  <c r="BH11" i="16"/>
  <c r="HM10" i="5" s="1"/>
  <c r="BG11" i="16"/>
  <c r="HI10" i="5" s="1"/>
  <c r="BF11" i="16"/>
  <c r="HE10" i="5" s="1"/>
  <c r="BE11" i="16"/>
  <c r="HA10" i="5" s="1"/>
  <c r="BD11" i="16"/>
  <c r="GW10" i="5" s="1"/>
  <c r="BC11" i="16"/>
  <c r="GS10" i="5" s="1"/>
  <c r="GT10" i="5" s="1"/>
  <c r="GT28" i="5" s="1"/>
  <c r="BB11" i="16"/>
  <c r="GO10" i="5" s="1"/>
  <c r="GP10" i="5" s="1"/>
  <c r="GP28" i="5" s="1"/>
  <c r="BA11" i="16"/>
  <c r="GK10" i="5" s="1"/>
  <c r="AY11" i="16"/>
  <c r="GC10" i="5" s="1"/>
  <c r="AX11" i="16"/>
  <c r="FY10" i="5" s="1"/>
  <c r="GA10" i="5" s="1"/>
  <c r="AW11" i="16"/>
  <c r="FU10" i="5" s="1"/>
  <c r="AV11" i="16"/>
  <c r="FQ10" i="5" s="1"/>
  <c r="AU11" i="16"/>
  <c r="FM10" i="5" s="1"/>
  <c r="AT11" i="16"/>
  <c r="FI10" i="5" s="1"/>
  <c r="AS11" i="16"/>
  <c r="FE10" i="5" s="1"/>
  <c r="AR11" i="16"/>
  <c r="FA10" i="5" s="1"/>
  <c r="EW10" i="5"/>
  <c r="ES10" i="5"/>
  <c r="AO11" i="16"/>
  <c r="EO10" i="5" s="1"/>
  <c r="ER10" i="5" s="1"/>
  <c r="AN11" i="16"/>
  <c r="EK10" i="5" s="1"/>
  <c r="AM11" i="16"/>
  <c r="EG10" i="5" s="1"/>
  <c r="AL11" i="16"/>
  <c r="AK11" i="16"/>
  <c r="DY10" i="5" s="1"/>
  <c r="DZ10" i="5" s="1"/>
  <c r="AJ11" i="16"/>
  <c r="DU10" i="5" s="1"/>
  <c r="DQ10" i="5"/>
  <c r="DM10" i="5"/>
  <c r="AG11" i="16"/>
  <c r="DI10" i="5" s="1"/>
  <c r="DJ10" i="5" s="1"/>
  <c r="AF11" i="16"/>
  <c r="DE10" i="5" s="1"/>
  <c r="AE11" i="16"/>
  <c r="DA10" i="5" s="1"/>
  <c r="AD11" i="16"/>
  <c r="AC11" i="16"/>
  <c r="CS10" i="5" s="1"/>
  <c r="AB11" i="16"/>
  <c r="CO10" i="5" s="1"/>
  <c r="AA11" i="16"/>
  <c r="CK10" i="5" s="1"/>
  <c r="Z11" i="16"/>
  <c r="CG10" i="5" s="1"/>
  <c r="CH10" i="5" s="1"/>
  <c r="Y11" i="16"/>
  <c r="CC10" i="5" s="1"/>
  <c r="X11" i="16"/>
  <c r="BY10" i="5" s="1"/>
  <c r="W11" i="16"/>
  <c r="V11" i="16"/>
  <c r="U11" i="16"/>
  <c r="BM10" i="5" s="1"/>
  <c r="T11" i="16"/>
  <c r="BI10" i="5" s="1"/>
  <c r="BJ10" i="5" s="1"/>
  <c r="S11" i="16"/>
  <c r="BE10" i="5" s="1"/>
  <c r="R11" i="16"/>
  <c r="BA10" i="5" s="1"/>
  <c r="Q11" i="16"/>
  <c r="AW10" i="5" s="1"/>
  <c r="P11" i="16"/>
  <c r="AS10" i="5" s="1"/>
  <c r="G11" i="16"/>
  <c r="F11" i="16"/>
  <c r="C69" i="15"/>
  <c r="B69" i="15"/>
  <c r="C60" i="15"/>
  <c r="B60" i="15"/>
  <c r="C59" i="15"/>
  <c r="B59" i="15"/>
  <c r="C58" i="15"/>
  <c r="B58" i="15"/>
  <c r="C52" i="15"/>
  <c r="B52" i="15"/>
  <c r="B51" i="15"/>
  <c r="C50" i="15"/>
  <c r="B50" i="15"/>
  <c r="C49" i="15"/>
  <c r="B49" i="15"/>
  <c r="C48" i="15"/>
  <c r="B48" i="15"/>
  <c r="C47" i="15"/>
  <c r="B47" i="15"/>
  <c r="C46" i="15"/>
  <c r="B46" i="15"/>
  <c r="C41" i="15"/>
  <c r="B41" i="15"/>
  <c r="C40" i="15"/>
  <c r="C39" i="15"/>
  <c r="B39" i="15"/>
  <c r="C38" i="15"/>
  <c r="C37" i="15"/>
  <c r="C36" i="15"/>
  <c r="B36" i="15"/>
  <c r="C35" i="15"/>
  <c r="B35" i="15"/>
  <c r="C34" i="15"/>
  <c r="C33" i="15"/>
  <c r="B33" i="15"/>
  <c r="C31" i="15"/>
  <c r="C30" i="15"/>
  <c r="B30" i="15"/>
  <c r="C29" i="15"/>
  <c r="B29" i="15"/>
  <c r="C28" i="15"/>
  <c r="B28" i="15"/>
  <c r="C27" i="15"/>
  <c r="B27" i="15"/>
  <c r="C26" i="15"/>
  <c r="B26" i="15"/>
  <c r="C25" i="15"/>
  <c r="B25" i="15"/>
  <c r="C24" i="15"/>
  <c r="B24" i="15"/>
  <c r="C23" i="15"/>
  <c r="B23" i="15"/>
  <c r="C22" i="15"/>
  <c r="B22"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I13" i="14"/>
  <c r="E13" i="14"/>
  <c r="D10" i="13"/>
  <c r="C10" i="13"/>
  <c r="B10" i="13" s="1"/>
  <c r="E10" i="13" s="1"/>
  <c r="C15" i="12"/>
  <c r="E13" i="12"/>
  <c r="D13" i="12" s="1"/>
  <c r="E12" i="12"/>
  <c r="D12" i="12" s="1"/>
  <c r="E11" i="12"/>
  <c r="D11" i="12" s="1"/>
  <c r="E10" i="12"/>
  <c r="D10" i="12" s="1"/>
  <c r="E9" i="12"/>
  <c r="D9" i="12" s="1"/>
  <c r="E8" i="12"/>
  <c r="D8" i="12" s="1"/>
  <c r="A3" i="12"/>
  <c r="F547" i="11"/>
  <c r="D547" i="11"/>
  <c r="D542" i="11"/>
  <c r="I512" i="11"/>
  <c r="H512" i="11"/>
  <c r="H509" i="11"/>
  <c r="G509" i="11"/>
  <c r="I509" i="11" s="1"/>
  <c r="D508" i="11"/>
  <c r="D510" i="11" s="1"/>
  <c r="C16" i="7" s="1"/>
  <c r="F16" i="7" s="1"/>
  <c r="H507" i="11"/>
  <c r="G507" i="11"/>
  <c r="G496" i="11" s="1"/>
  <c r="F506" i="11"/>
  <c r="E506" i="11"/>
  <c r="D506" i="11"/>
  <c r="D495" i="11" s="1"/>
  <c r="H505" i="11"/>
  <c r="G505" i="11"/>
  <c r="H504" i="11"/>
  <c r="D503" i="11"/>
  <c r="F502" i="11"/>
  <c r="F503" i="11" s="1"/>
  <c r="E502" i="11"/>
  <c r="H501" i="11"/>
  <c r="I501" i="11"/>
  <c r="D500" i="11"/>
  <c r="J499" i="11"/>
  <c r="F499" i="11"/>
  <c r="F494" i="11" s="1"/>
  <c r="E499" i="11"/>
  <c r="I498" i="11"/>
  <c r="H498" i="11"/>
  <c r="I492" i="11"/>
  <c r="H492" i="11"/>
  <c r="D491" i="11"/>
  <c r="D487" i="11" s="1"/>
  <c r="I489" i="11"/>
  <c r="H489" i="11"/>
  <c r="G488" i="11"/>
  <c r="I488" i="11" s="1"/>
  <c r="F488" i="11"/>
  <c r="E488" i="11"/>
  <c r="D488" i="11"/>
  <c r="D486" i="11"/>
  <c r="E484" i="11"/>
  <c r="H484" i="11" s="1"/>
  <c r="F483" i="11"/>
  <c r="D483" i="11"/>
  <c r="E482" i="11"/>
  <c r="H481" i="11"/>
  <c r="G481" i="11"/>
  <c r="I481" i="11" s="1"/>
  <c r="D480" i="11"/>
  <c r="H478" i="11"/>
  <c r="G478" i="11"/>
  <c r="I478" i="11" s="1"/>
  <c r="D477" i="11"/>
  <c r="F476" i="11"/>
  <c r="F477" i="11" s="1"/>
  <c r="E476" i="11"/>
  <c r="E477" i="11" s="1"/>
  <c r="H475" i="11"/>
  <c r="G475" i="11"/>
  <c r="I475" i="11" s="1"/>
  <c r="D474" i="11"/>
  <c r="J473" i="11"/>
  <c r="F473" i="11"/>
  <c r="F474" i="11" s="1"/>
  <c r="E473" i="11"/>
  <c r="E474" i="11" s="1"/>
  <c r="I472" i="11"/>
  <c r="H472" i="11"/>
  <c r="D471" i="11"/>
  <c r="F470" i="11"/>
  <c r="E470" i="11"/>
  <c r="I469" i="11"/>
  <c r="H469" i="11"/>
  <c r="D468" i="11"/>
  <c r="J467" i="11"/>
  <c r="F467" i="11"/>
  <c r="F468" i="11" s="1"/>
  <c r="E467" i="11"/>
  <c r="G467" i="11" s="1"/>
  <c r="I466" i="11"/>
  <c r="H466" i="11"/>
  <c r="F465" i="11"/>
  <c r="E465" i="11"/>
  <c r="D465" i="11"/>
  <c r="D463" i="11"/>
  <c r="I462" i="11"/>
  <c r="I461" i="11"/>
  <c r="H461" i="11"/>
  <c r="F460" i="11"/>
  <c r="F456" i="11" s="1"/>
  <c r="D460" i="11"/>
  <c r="D456" i="11" s="1"/>
  <c r="E459" i="11"/>
  <c r="E460" i="11" s="1"/>
  <c r="E456" i="11" s="1"/>
  <c r="I458" i="11"/>
  <c r="H458" i="11"/>
  <c r="G457" i="11"/>
  <c r="I457" i="11" s="1"/>
  <c r="F457" i="11"/>
  <c r="E457" i="11"/>
  <c r="D457" i="11"/>
  <c r="F455" i="11"/>
  <c r="H455" i="11" s="1"/>
  <c r="E455" i="11"/>
  <c r="D455" i="11"/>
  <c r="E453" i="11"/>
  <c r="G453" i="11" s="1"/>
  <c r="F452" i="11"/>
  <c r="D452" i="11"/>
  <c r="E451" i="11"/>
  <c r="G451" i="11" s="1"/>
  <c r="D450" i="11"/>
  <c r="H449" i="11"/>
  <c r="G449" i="11"/>
  <c r="I449" i="11" s="1"/>
  <c r="H448" i="11"/>
  <c r="F447" i="11"/>
  <c r="F450" i="11" s="1"/>
  <c r="E447" i="11"/>
  <c r="D446" i="11"/>
  <c r="H445" i="11"/>
  <c r="G445" i="11"/>
  <c r="I445" i="11" s="1"/>
  <c r="H444" i="11"/>
  <c r="J443" i="11"/>
  <c r="F443" i="11"/>
  <c r="F446" i="11" s="1"/>
  <c r="E443" i="11"/>
  <c r="E446" i="11" s="1"/>
  <c r="H442" i="11"/>
  <c r="G442" i="11"/>
  <c r="I442" i="11" s="1"/>
  <c r="D441" i="11"/>
  <c r="F440" i="11"/>
  <c r="F441" i="11" s="1"/>
  <c r="E440" i="11"/>
  <c r="E441" i="11" s="1"/>
  <c r="H439" i="11"/>
  <c r="G439" i="11"/>
  <c r="I439" i="11" s="1"/>
  <c r="D438" i="11"/>
  <c r="J437" i="11"/>
  <c r="F437" i="11"/>
  <c r="E437" i="11"/>
  <c r="E438" i="11" s="1"/>
  <c r="H436" i="11"/>
  <c r="G436" i="11"/>
  <c r="I436" i="11" s="1"/>
  <c r="D435" i="11"/>
  <c r="F434" i="11"/>
  <c r="I15" i="8" s="1"/>
  <c r="G15" i="8" s="1"/>
  <c r="E434" i="11"/>
  <c r="E435" i="11" s="1"/>
  <c r="H433" i="11"/>
  <c r="G433" i="11"/>
  <c r="I433" i="11" s="1"/>
  <c r="D432" i="11"/>
  <c r="J431" i="11"/>
  <c r="F431" i="11"/>
  <c r="H430" i="11"/>
  <c r="G430" i="11"/>
  <c r="I430" i="11" s="1"/>
  <c r="D429" i="11"/>
  <c r="F429" i="11"/>
  <c r="G428" i="11"/>
  <c r="G429" i="11" s="1"/>
  <c r="I429" i="11" s="1"/>
  <c r="H427" i="11"/>
  <c r="G427" i="11"/>
  <c r="I427" i="11" s="1"/>
  <c r="D426" i="11"/>
  <c r="J425" i="11"/>
  <c r="F426" i="11"/>
  <c r="E426" i="11"/>
  <c r="H424" i="11"/>
  <c r="G424" i="11"/>
  <c r="I424" i="11" s="1"/>
  <c r="D423" i="11"/>
  <c r="H421" i="11"/>
  <c r="G421" i="11"/>
  <c r="I421" i="11" s="1"/>
  <c r="D420" i="11"/>
  <c r="F419" i="11"/>
  <c r="E419" i="11"/>
  <c r="G419" i="11" s="1"/>
  <c r="I419" i="11" s="1"/>
  <c r="H418" i="11"/>
  <c r="G418" i="11"/>
  <c r="I418" i="11" s="1"/>
  <c r="D417" i="11"/>
  <c r="J416" i="11"/>
  <c r="F416" i="11"/>
  <c r="F417" i="11" s="1"/>
  <c r="E416" i="11"/>
  <c r="H415" i="11"/>
  <c r="G415" i="11"/>
  <c r="I415" i="11" s="1"/>
  <c r="D414" i="11"/>
  <c r="F413" i="11"/>
  <c r="F414" i="11" s="1"/>
  <c r="E413" i="11"/>
  <c r="G413" i="11" s="1"/>
  <c r="I413" i="11" s="1"/>
  <c r="H412" i="11"/>
  <c r="G412" i="11"/>
  <c r="I412" i="11" s="1"/>
  <c r="D411" i="11"/>
  <c r="J410" i="11"/>
  <c r="F410" i="11"/>
  <c r="F411" i="11" s="1"/>
  <c r="E410" i="11"/>
  <c r="E411" i="11" s="1"/>
  <c r="H409" i="11"/>
  <c r="G409" i="11"/>
  <c r="I409" i="11" s="1"/>
  <c r="D408" i="11"/>
  <c r="F407" i="11"/>
  <c r="I13" i="8" s="1"/>
  <c r="G13" i="8" s="1"/>
  <c r="E407" i="11"/>
  <c r="E408" i="11" s="1"/>
  <c r="H406" i="11"/>
  <c r="G406" i="11"/>
  <c r="I406" i="11" s="1"/>
  <c r="D405" i="11"/>
  <c r="J404" i="11"/>
  <c r="F404" i="11"/>
  <c r="H402" i="11"/>
  <c r="G402" i="11"/>
  <c r="I402" i="11" s="1"/>
  <c r="H401" i="11"/>
  <c r="G401" i="11"/>
  <c r="I401" i="11" s="1"/>
  <c r="F400" i="11"/>
  <c r="I11" i="8" s="1"/>
  <c r="G11" i="8" s="1"/>
  <c r="E400" i="11"/>
  <c r="E403" i="11" s="1"/>
  <c r="D400" i="11"/>
  <c r="D403" i="11" s="1"/>
  <c r="H398" i="11"/>
  <c r="G398" i="11"/>
  <c r="I398" i="11" s="1"/>
  <c r="H397" i="11"/>
  <c r="G397" i="11"/>
  <c r="I397" i="11" s="1"/>
  <c r="F396" i="11"/>
  <c r="D396" i="11"/>
  <c r="J396" i="11" s="1"/>
  <c r="H395" i="11"/>
  <c r="G395" i="11"/>
  <c r="D394" i="11"/>
  <c r="F393" i="11"/>
  <c r="F394" i="11" s="1"/>
  <c r="E393" i="11"/>
  <c r="G393" i="11" s="1"/>
  <c r="I393" i="11" s="1"/>
  <c r="H392" i="11"/>
  <c r="G392" i="11"/>
  <c r="I392" i="11" s="1"/>
  <c r="D391" i="11"/>
  <c r="F390" i="11"/>
  <c r="I10" i="8" s="1"/>
  <c r="G10" i="8" s="1"/>
  <c r="E390" i="11"/>
  <c r="G390" i="11" s="1"/>
  <c r="H389" i="11"/>
  <c r="G389" i="11"/>
  <c r="I389" i="11" s="1"/>
  <c r="D388" i="11"/>
  <c r="J387" i="11"/>
  <c r="F387" i="11"/>
  <c r="F388" i="11" s="1"/>
  <c r="E387" i="11"/>
  <c r="I386" i="11"/>
  <c r="H386" i="11"/>
  <c r="F384" i="11"/>
  <c r="E384" i="11"/>
  <c r="D384" i="11"/>
  <c r="D382" i="11"/>
  <c r="I381" i="11"/>
  <c r="H381" i="11"/>
  <c r="H380" i="11"/>
  <c r="G380" i="11"/>
  <c r="I380" i="11" s="1"/>
  <c r="D379" i="11"/>
  <c r="F376" i="11"/>
  <c r="D376" i="11"/>
  <c r="D377" i="11" s="1"/>
  <c r="E375" i="11"/>
  <c r="G375" i="11" s="1"/>
  <c r="I375" i="11" s="1"/>
  <c r="H374" i="11"/>
  <c r="G374" i="11"/>
  <c r="I374" i="11" s="1"/>
  <c r="D373" i="11"/>
  <c r="H371" i="11"/>
  <c r="G371" i="11"/>
  <c r="I371" i="11" s="1"/>
  <c r="D370" i="11"/>
  <c r="I368" i="11"/>
  <c r="H368" i="11"/>
  <c r="D365" i="11"/>
  <c r="I364" i="11"/>
  <c r="H364" i="11"/>
  <c r="E363" i="11"/>
  <c r="F362" i="11"/>
  <c r="D362" i="11"/>
  <c r="E361" i="11"/>
  <c r="G361" i="11" s="1"/>
  <c r="I361" i="11" s="1"/>
  <c r="H360" i="11"/>
  <c r="G360" i="11"/>
  <c r="I360" i="11" s="1"/>
  <c r="D359" i="11"/>
  <c r="F358" i="11"/>
  <c r="F359" i="11" s="1"/>
  <c r="E358" i="11"/>
  <c r="H357" i="11"/>
  <c r="G357" i="11"/>
  <c r="I357" i="11" s="1"/>
  <c r="D356" i="11"/>
  <c r="J355" i="11"/>
  <c r="F355" i="11"/>
  <c r="F356" i="11" s="1"/>
  <c r="E355" i="11"/>
  <c r="E356" i="11" s="1"/>
  <c r="D354" i="11"/>
  <c r="H353" i="11"/>
  <c r="G353" i="11"/>
  <c r="I353" i="11" s="1"/>
  <c r="H352" i="11"/>
  <c r="G352" i="11"/>
  <c r="I352" i="11" s="1"/>
  <c r="F351" i="11"/>
  <c r="F354" i="11" s="1"/>
  <c r="E351" i="11"/>
  <c r="H12" i="8" s="1"/>
  <c r="D350" i="11"/>
  <c r="H349" i="11"/>
  <c r="G349" i="11"/>
  <c r="I349" i="11" s="1"/>
  <c r="H348" i="11"/>
  <c r="G348" i="11"/>
  <c r="I348" i="11" s="1"/>
  <c r="J347" i="11"/>
  <c r="F347" i="11"/>
  <c r="F350" i="11" s="1"/>
  <c r="H346" i="11"/>
  <c r="G346" i="11"/>
  <c r="I346" i="11" s="1"/>
  <c r="D345" i="11"/>
  <c r="F344" i="11"/>
  <c r="F345" i="11" s="1"/>
  <c r="E344" i="11"/>
  <c r="H343" i="11"/>
  <c r="G343" i="11"/>
  <c r="I343" i="11" s="1"/>
  <c r="D342" i="11"/>
  <c r="J341" i="11"/>
  <c r="F341" i="11"/>
  <c r="E341" i="11"/>
  <c r="G341" i="11" s="1"/>
  <c r="H340" i="11"/>
  <c r="G340" i="11"/>
  <c r="I340" i="11" s="1"/>
  <c r="D339" i="11"/>
  <c r="F338" i="11"/>
  <c r="E338" i="11"/>
  <c r="E339" i="11" s="1"/>
  <c r="I337" i="11"/>
  <c r="H337" i="11"/>
  <c r="F335" i="11"/>
  <c r="D335" i="11"/>
  <c r="D333" i="11"/>
  <c r="I332" i="11"/>
  <c r="H332" i="11"/>
  <c r="E331" i="11"/>
  <c r="G331" i="11" s="1"/>
  <c r="I331" i="11" s="1"/>
  <c r="F330" i="11"/>
  <c r="D330" i="11"/>
  <c r="E329" i="11"/>
  <c r="E330" i="11" s="1"/>
  <c r="D327" i="11"/>
  <c r="D324" i="11"/>
  <c r="D325" i="11" s="1"/>
  <c r="F323" i="11"/>
  <c r="E323" i="11"/>
  <c r="E324" i="11" s="1"/>
  <c r="H316" i="11"/>
  <c r="G316" i="11"/>
  <c r="I316" i="11" s="1"/>
  <c r="F314" i="11"/>
  <c r="E314" i="11"/>
  <c r="E315" i="11" s="1"/>
  <c r="C8" i="8"/>
  <c r="F8" i="8" s="1"/>
  <c r="H313" i="11"/>
  <c r="G313" i="11"/>
  <c r="I313" i="11" s="1"/>
  <c r="F311" i="11"/>
  <c r="F312" i="11" s="1"/>
  <c r="H310" i="11"/>
  <c r="G310" i="11"/>
  <c r="I310" i="11" s="1"/>
  <c r="D309" i="11"/>
  <c r="H307" i="11"/>
  <c r="G307" i="11"/>
  <c r="I307" i="11" s="1"/>
  <c r="D306" i="11"/>
  <c r="H304" i="11"/>
  <c r="G304" i="11"/>
  <c r="I304" i="11" s="1"/>
  <c r="F302" i="11"/>
  <c r="F303" i="11" s="1"/>
  <c r="E302" i="11"/>
  <c r="E303" i="11" s="1"/>
  <c r="D302" i="11"/>
  <c r="D303" i="11" s="1"/>
  <c r="H301" i="11"/>
  <c r="G301" i="11"/>
  <c r="I301" i="11" s="1"/>
  <c r="F299" i="11"/>
  <c r="F300" i="11" s="1"/>
  <c r="D299" i="11"/>
  <c r="D298" i="11"/>
  <c r="H297" i="11"/>
  <c r="G297" i="11"/>
  <c r="I297" i="11" s="1"/>
  <c r="H296" i="11"/>
  <c r="G296" i="11"/>
  <c r="I296" i="11" s="1"/>
  <c r="F295" i="11"/>
  <c r="E295" i="11"/>
  <c r="G295" i="11" s="1"/>
  <c r="I295" i="11" s="1"/>
  <c r="D294" i="11"/>
  <c r="I293" i="11"/>
  <c r="H293" i="11"/>
  <c r="I292" i="11"/>
  <c r="H292" i="11"/>
  <c r="F291" i="11"/>
  <c r="F294" i="11" s="1"/>
  <c r="E291" i="11"/>
  <c r="E294" i="11" s="1"/>
  <c r="D290" i="11"/>
  <c r="H289" i="11"/>
  <c r="G289" i="11"/>
  <c r="I289" i="11" s="1"/>
  <c r="H288" i="11"/>
  <c r="G288" i="11"/>
  <c r="I288" i="11" s="1"/>
  <c r="F287" i="11"/>
  <c r="F290" i="11" s="1"/>
  <c r="E287" i="11"/>
  <c r="D286" i="11"/>
  <c r="H285" i="11"/>
  <c r="G285" i="11"/>
  <c r="I285" i="11" s="1"/>
  <c r="H284" i="11"/>
  <c r="G284" i="11"/>
  <c r="I284" i="11" s="1"/>
  <c r="J283" i="11"/>
  <c r="F283" i="11"/>
  <c r="F286" i="11" s="1"/>
  <c r="E283" i="11"/>
  <c r="D282" i="11"/>
  <c r="H281" i="11"/>
  <c r="G281" i="11"/>
  <c r="I281" i="11" s="1"/>
  <c r="H280" i="11"/>
  <c r="G280" i="11"/>
  <c r="I280" i="11" s="1"/>
  <c r="F279" i="11"/>
  <c r="F282" i="11" s="1"/>
  <c r="E279" i="11"/>
  <c r="G279" i="11" s="1"/>
  <c r="I279" i="11" s="1"/>
  <c r="D278" i="11"/>
  <c r="H277" i="11"/>
  <c r="G277" i="11"/>
  <c r="I277" i="11" s="1"/>
  <c r="H276" i="11"/>
  <c r="G276" i="11"/>
  <c r="I276" i="11" s="1"/>
  <c r="J275" i="11"/>
  <c r="F275" i="11"/>
  <c r="E275" i="11"/>
  <c r="G275" i="11" s="1"/>
  <c r="I275" i="11" s="1"/>
  <c r="H274" i="11"/>
  <c r="G274" i="11"/>
  <c r="I274" i="11" s="1"/>
  <c r="D273" i="11"/>
  <c r="F272" i="11"/>
  <c r="E272" i="11"/>
  <c r="G272" i="11" s="1"/>
  <c r="I271" i="11"/>
  <c r="H271" i="11"/>
  <c r="I266" i="11"/>
  <c r="H266" i="11"/>
  <c r="E265" i="11"/>
  <c r="H265" i="11" s="1"/>
  <c r="F264" i="11"/>
  <c r="D264" i="11"/>
  <c r="E263" i="11"/>
  <c r="H263" i="11" s="1"/>
  <c r="H262" i="11"/>
  <c r="G262" i="11"/>
  <c r="I262" i="11" s="1"/>
  <c r="D261" i="11"/>
  <c r="D256" i="11" s="1"/>
  <c r="F260" i="11"/>
  <c r="F255" i="11" s="1"/>
  <c r="E260" i="11"/>
  <c r="G260" i="11" s="1"/>
  <c r="I259" i="11"/>
  <c r="H259" i="11"/>
  <c r="F257" i="11"/>
  <c r="D257" i="11"/>
  <c r="D255" i="11"/>
  <c r="D253" i="11"/>
  <c r="I252" i="11"/>
  <c r="H252" i="11"/>
  <c r="I251" i="11"/>
  <c r="H251" i="11"/>
  <c r="I249" i="11"/>
  <c r="H249" i="11"/>
  <c r="G247" i="11"/>
  <c r="I247" i="11" s="1"/>
  <c r="F247" i="11"/>
  <c r="E247" i="11"/>
  <c r="D247" i="11"/>
  <c r="G246" i="11"/>
  <c r="I246" i="11" s="1"/>
  <c r="F246" i="11"/>
  <c r="E246" i="11"/>
  <c r="D246" i="11"/>
  <c r="D245" i="11"/>
  <c r="D136" i="11"/>
  <c r="I135" i="11"/>
  <c r="H135" i="11"/>
  <c r="F134" i="11"/>
  <c r="E134" i="11"/>
  <c r="D133" i="11"/>
  <c r="I132" i="11"/>
  <c r="H132" i="11"/>
  <c r="J131" i="11"/>
  <c r="F131" i="11"/>
  <c r="E131" i="11"/>
  <c r="G131" i="11" s="1"/>
  <c r="H243" i="11"/>
  <c r="G243" i="11"/>
  <c r="I243" i="11" s="1"/>
  <c r="D242" i="11"/>
  <c r="F241" i="11"/>
  <c r="F242" i="11" s="1"/>
  <c r="E241" i="11"/>
  <c r="H240" i="11"/>
  <c r="G240" i="11"/>
  <c r="I240" i="11" s="1"/>
  <c r="D239" i="11"/>
  <c r="J238" i="11"/>
  <c r="F238" i="11"/>
  <c r="F239" i="11" s="1"/>
  <c r="E238" i="11"/>
  <c r="H237" i="11"/>
  <c r="G237" i="11"/>
  <c r="I237" i="11" s="1"/>
  <c r="D236" i="11"/>
  <c r="I234" i="11"/>
  <c r="H234" i="11"/>
  <c r="D233" i="11"/>
  <c r="F232" i="11"/>
  <c r="F233" i="11" s="1"/>
  <c r="I231" i="11"/>
  <c r="H231" i="11"/>
  <c r="D230" i="11"/>
  <c r="J229" i="11"/>
  <c r="F229" i="11"/>
  <c r="H227" i="11"/>
  <c r="G227" i="11"/>
  <c r="I227" i="11" s="1"/>
  <c r="H226" i="11"/>
  <c r="G226" i="11"/>
  <c r="I226" i="11" s="1"/>
  <c r="F225" i="11"/>
  <c r="F228" i="11" s="1"/>
  <c r="I13" i="6" s="1"/>
  <c r="G13" i="6" s="1"/>
  <c r="D228" i="11"/>
  <c r="D224" i="11"/>
  <c r="H223" i="11"/>
  <c r="G223" i="11"/>
  <c r="I223" i="11" s="1"/>
  <c r="H222" i="11"/>
  <c r="G222" i="11"/>
  <c r="F221" i="11"/>
  <c r="I18" i="8" s="1"/>
  <c r="G18" i="8" s="1"/>
  <c r="E221" i="11"/>
  <c r="E224" i="11" s="1"/>
  <c r="D220" i="11"/>
  <c r="H219" i="11"/>
  <c r="G219" i="11"/>
  <c r="I219" i="11" s="1"/>
  <c r="H218" i="11"/>
  <c r="G218" i="11"/>
  <c r="J217" i="11"/>
  <c r="F217" i="11"/>
  <c r="F220" i="11" s="1"/>
  <c r="E217" i="11"/>
  <c r="H215" i="11"/>
  <c r="G215" i="11"/>
  <c r="I215" i="11" s="1"/>
  <c r="H214" i="11"/>
  <c r="G214" i="11"/>
  <c r="I214" i="11" s="1"/>
  <c r="F213" i="11"/>
  <c r="I17" i="8" s="1"/>
  <c r="G17" i="8" s="1"/>
  <c r="E213" i="11"/>
  <c r="E216" i="11" s="1"/>
  <c r="D213" i="11"/>
  <c r="H211" i="11"/>
  <c r="G211" i="11"/>
  <c r="I211" i="11" s="1"/>
  <c r="H210" i="11"/>
  <c r="G210" i="11"/>
  <c r="I210" i="11" s="1"/>
  <c r="F209" i="11"/>
  <c r="F212" i="11" s="1"/>
  <c r="E209" i="11"/>
  <c r="E212" i="11" s="1"/>
  <c r="D209" i="11"/>
  <c r="I208" i="11"/>
  <c r="H208" i="11"/>
  <c r="F206" i="11"/>
  <c r="E206" i="11"/>
  <c r="D206" i="11"/>
  <c r="I203" i="11"/>
  <c r="D202" i="11"/>
  <c r="H201" i="11"/>
  <c r="G201" i="11"/>
  <c r="I201" i="11" s="1"/>
  <c r="H200" i="11"/>
  <c r="G200" i="11"/>
  <c r="I200" i="11" s="1"/>
  <c r="H197" i="11"/>
  <c r="G197" i="11"/>
  <c r="I197" i="11" s="1"/>
  <c r="H194" i="11"/>
  <c r="G194" i="11"/>
  <c r="I194" i="11" s="1"/>
  <c r="F193" i="11"/>
  <c r="F195" i="11" s="1"/>
  <c r="D195" i="11"/>
  <c r="H191" i="11"/>
  <c r="G191" i="11"/>
  <c r="I191" i="11" s="1"/>
  <c r="F190" i="11"/>
  <c r="F192" i="11" s="1"/>
  <c r="H188" i="11"/>
  <c r="G188" i="11"/>
  <c r="I188" i="11" s="1"/>
  <c r="F187" i="11"/>
  <c r="I27" i="8" s="1"/>
  <c r="G27" i="8" s="1"/>
  <c r="E187" i="11"/>
  <c r="E189" i="11" s="1"/>
  <c r="H185" i="11"/>
  <c r="G185" i="11"/>
  <c r="I185" i="11" s="1"/>
  <c r="F184" i="11"/>
  <c r="E184" i="11"/>
  <c r="I182" i="11"/>
  <c r="H182" i="11"/>
  <c r="I181" i="11"/>
  <c r="H181" i="11"/>
  <c r="D179" i="11"/>
  <c r="I178" i="11"/>
  <c r="H178" i="11"/>
  <c r="I177" i="11"/>
  <c r="H177" i="11"/>
  <c r="H170" i="11"/>
  <c r="G170" i="11"/>
  <c r="F169" i="11"/>
  <c r="D168" i="11"/>
  <c r="H167" i="11"/>
  <c r="G167" i="11"/>
  <c r="I167" i="11" s="1"/>
  <c r="H166" i="11"/>
  <c r="G166" i="11"/>
  <c r="I166" i="11" s="1"/>
  <c r="D164" i="11"/>
  <c r="H163" i="11"/>
  <c r="G163" i="11"/>
  <c r="I163" i="11" s="1"/>
  <c r="H162" i="11"/>
  <c r="G162" i="11"/>
  <c r="I162" i="11" s="1"/>
  <c r="F161" i="11"/>
  <c r="F164" i="11" s="1"/>
  <c r="I17" i="6" s="1"/>
  <c r="G17" i="6" s="1"/>
  <c r="E161" i="11"/>
  <c r="E164" i="11" s="1"/>
  <c r="H17" i="6" s="1"/>
  <c r="D160" i="11"/>
  <c r="H159" i="11"/>
  <c r="G159" i="11"/>
  <c r="I159" i="11" s="1"/>
  <c r="H158" i="11"/>
  <c r="G158" i="11"/>
  <c r="I158" i="11" s="1"/>
  <c r="F157" i="11"/>
  <c r="E157" i="11"/>
  <c r="E160" i="11" s="1"/>
  <c r="G160" i="11" s="1"/>
  <c r="I160" i="11" s="1"/>
  <c r="D156" i="11"/>
  <c r="I155" i="11"/>
  <c r="H155" i="11"/>
  <c r="I154" i="11"/>
  <c r="H154" i="11"/>
  <c r="F156" i="11"/>
  <c r="I15" i="6" s="1"/>
  <c r="G15" i="6" s="1"/>
  <c r="E156" i="11"/>
  <c r="H15" i="6" s="1"/>
  <c r="D148" i="11"/>
  <c r="H147" i="11"/>
  <c r="G147" i="11"/>
  <c r="I147" i="11" s="1"/>
  <c r="F146" i="11"/>
  <c r="F148" i="11" s="1"/>
  <c r="E146" i="11"/>
  <c r="E148" i="11" s="1"/>
  <c r="D145" i="11"/>
  <c r="H144" i="11"/>
  <c r="G144" i="11"/>
  <c r="J143" i="11"/>
  <c r="F143" i="11"/>
  <c r="F145" i="11" s="1"/>
  <c r="E143" i="11"/>
  <c r="I142" i="11"/>
  <c r="H142" i="11"/>
  <c r="I137" i="11"/>
  <c r="D130" i="11"/>
  <c r="H129" i="11"/>
  <c r="G129" i="11"/>
  <c r="I129" i="11" s="1"/>
  <c r="F128" i="11"/>
  <c r="F130" i="11" s="1"/>
  <c r="E128" i="11"/>
  <c r="D127" i="11"/>
  <c r="D117" i="11" s="1"/>
  <c r="H126" i="11"/>
  <c r="G126" i="11"/>
  <c r="I126" i="11" s="1"/>
  <c r="J125" i="11"/>
  <c r="F125" i="11"/>
  <c r="F127" i="11" s="1"/>
  <c r="E125" i="11"/>
  <c r="G125" i="11" s="1"/>
  <c r="D124" i="11"/>
  <c r="H123" i="11"/>
  <c r="G123" i="11"/>
  <c r="I123" i="11" s="1"/>
  <c r="F122" i="11"/>
  <c r="F124" i="11" s="1"/>
  <c r="E122" i="11"/>
  <c r="D121" i="11"/>
  <c r="H120" i="11"/>
  <c r="G120" i="11"/>
  <c r="F119" i="11"/>
  <c r="E119" i="11"/>
  <c r="I118" i="11"/>
  <c r="H118" i="11"/>
  <c r="I114" i="11"/>
  <c r="H114" i="11"/>
  <c r="H113" i="11"/>
  <c r="G113" i="11"/>
  <c r="I113" i="11" s="1"/>
  <c r="D112" i="11"/>
  <c r="H110" i="11"/>
  <c r="G110" i="11"/>
  <c r="I110" i="11" s="1"/>
  <c r="D109" i="11"/>
  <c r="E107" i="11"/>
  <c r="G107" i="11" s="1"/>
  <c r="I107" i="11" s="1"/>
  <c r="D106" i="11"/>
  <c r="D101" i="11" s="1"/>
  <c r="H105" i="11"/>
  <c r="G105" i="11"/>
  <c r="I105" i="11" s="1"/>
  <c r="I103" i="11"/>
  <c r="H103" i="11"/>
  <c r="D99" i="11"/>
  <c r="I98" i="11"/>
  <c r="H98" i="11"/>
  <c r="H96" i="11"/>
  <c r="G96" i="11"/>
  <c r="I96" i="11" s="1"/>
  <c r="F95" i="11"/>
  <c r="F97" i="11" s="1"/>
  <c r="D97" i="11"/>
  <c r="H93" i="11"/>
  <c r="G93" i="11"/>
  <c r="I93" i="11" s="1"/>
  <c r="F92" i="11"/>
  <c r="F94" i="11" s="1"/>
  <c r="D92" i="11"/>
  <c r="D91" i="11"/>
  <c r="H90" i="11"/>
  <c r="G90" i="11"/>
  <c r="I90" i="11" s="1"/>
  <c r="H89" i="11"/>
  <c r="G89" i="11"/>
  <c r="I89" i="11" s="1"/>
  <c r="H87" i="11"/>
  <c r="G87" i="11"/>
  <c r="I87" i="11" s="1"/>
  <c r="D85" i="11"/>
  <c r="D86" i="11" s="1"/>
  <c r="I83" i="11"/>
  <c r="H83" i="11"/>
  <c r="F82" i="11"/>
  <c r="F84" i="11" s="1"/>
  <c r="I12" i="7" s="1"/>
  <c r="G12" i="7" s="1"/>
  <c r="H81" i="11"/>
  <c r="F79" i="11"/>
  <c r="D80" i="11"/>
  <c r="H78" i="11"/>
  <c r="G78" i="11"/>
  <c r="I78" i="11" s="1"/>
  <c r="D77" i="11"/>
  <c r="F76" i="11"/>
  <c r="F77" i="11" s="1"/>
  <c r="H75" i="11"/>
  <c r="G75" i="11"/>
  <c r="I75" i="11" s="1"/>
  <c r="D74" i="11"/>
  <c r="J73" i="11"/>
  <c r="F73" i="11"/>
  <c r="H71" i="11"/>
  <c r="G71" i="11"/>
  <c r="I71" i="11" s="1"/>
  <c r="H70" i="11"/>
  <c r="G70" i="11"/>
  <c r="I70" i="11" s="1"/>
  <c r="F72" i="11"/>
  <c r="D69" i="11"/>
  <c r="D72" i="11" s="1"/>
  <c r="H67" i="11"/>
  <c r="G67" i="11"/>
  <c r="I67" i="11" s="1"/>
  <c r="H66" i="11"/>
  <c r="G66" i="11"/>
  <c r="I66" i="11" s="1"/>
  <c r="F68" i="11"/>
  <c r="D65" i="11"/>
  <c r="D59" i="11"/>
  <c r="H58" i="11"/>
  <c r="G58" i="11"/>
  <c r="H57" i="11"/>
  <c r="G57" i="11"/>
  <c r="I57" i="11" s="1"/>
  <c r="F56" i="11"/>
  <c r="F59" i="11" s="1"/>
  <c r="E56" i="11"/>
  <c r="E59" i="11" s="1"/>
  <c r="G59" i="11" s="1"/>
  <c r="I59" i="11" s="1"/>
  <c r="D55" i="11"/>
  <c r="H54" i="11"/>
  <c r="G54" i="11"/>
  <c r="I54" i="11" s="1"/>
  <c r="H53" i="11"/>
  <c r="G53" i="11"/>
  <c r="I53" i="11" s="1"/>
  <c r="J52" i="11"/>
  <c r="F52" i="11"/>
  <c r="F55" i="11" s="1"/>
  <c r="E52" i="11"/>
  <c r="G52" i="11" s="1"/>
  <c r="I52" i="11" s="1"/>
  <c r="D51" i="11"/>
  <c r="H50" i="11"/>
  <c r="G50" i="11"/>
  <c r="I50" i="11" s="1"/>
  <c r="H49" i="11"/>
  <c r="G49" i="11"/>
  <c r="J48" i="11"/>
  <c r="F48" i="11"/>
  <c r="F51" i="11" s="1"/>
  <c r="E48" i="11"/>
  <c r="F46" i="11"/>
  <c r="E46" i="11"/>
  <c r="D46" i="11"/>
  <c r="F45" i="11"/>
  <c r="E45" i="11"/>
  <c r="D45" i="11"/>
  <c r="D44" i="11"/>
  <c r="I42" i="11"/>
  <c r="H42" i="11"/>
  <c r="D41" i="11"/>
  <c r="F40" i="11"/>
  <c r="I30" i="8" s="1"/>
  <c r="G30" i="8" s="1"/>
  <c r="E40" i="11"/>
  <c r="E41" i="11" s="1"/>
  <c r="I39" i="11"/>
  <c r="H39" i="11"/>
  <c r="D38" i="11"/>
  <c r="D35" i="11" s="1"/>
  <c r="J37" i="11"/>
  <c r="F37" i="11"/>
  <c r="E37" i="11"/>
  <c r="G37" i="11" s="1"/>
  <c r="G36" i="11"/>
  <c r="I36" i="11" s="1"/>
  <c r="F36" i="11"/>
  <c r="E36" i="11"/>
  <c r="D36" i="11"/>
  <c r="D34" i="11"/>
  <c r="I33" i="11"/>
  <c r="H33" i="11"/>
  <c r="H32" i="11"/>
  <c r="G32" i="11"/>
  <c r="I32" i="11" s="1"/>
  <c r="D31" i="11"/>
  <c r="H29" i="11"/>
  <c r="G29" i="11"/>
  <c r="I29" i="11" s="1"/>
  <c r="D28" i="11"/>
  <c r="H26" i="11"/>
  <c r="G26" i="11"/>
  <c r="I26" i="11" s="1"/>
  <c r="D25" i="11"/>
  <c r="I23" i="11"/>
  <c r="H23" i="11"/>
  <c r="F21" i="11"/>
  <c r="F22" i="11" s="1"/>
  <c r="D21" i="11"/>
  <c r="C31" i="8" s="1"/>
  <c r="F31" i="8" s="1"/>
  <c r="I20" i="11"/>
  <c r="H20" i="11"/>
  <c r="F18" i="11"/>
  <c r="D18" i="11"/>
  <c r="D19" i="11" s="1"/>
  <c r="H17" i="11"/>
  <c r="G17" i="11"/>
  <c r="I17" i="11" s="1"/>
  <c r="D15" i="11"/>
  <c r="D16" i="11" s="1"/>
  <c r="F14" i="11"/>
  <c r="D14" i="11"/>
  <c r="H13" i="11"/>
  <c r="G13" i="11"/>
  <c r="I13" i="11" s="1"/>
  <c r="E12" i="11"/>
  <c r="H12" i="11" s="1"/>
  <c r="I11" i="11"/>
  <c r="H11" i="11"/>
  <c r="D10" i="11"/>
  <c r="A3" i="11"/>
  <c r="I13" i="10"/>
  <c r="H13" i="10"/>
  <c r="G13" i="10"/>
  <c r="G9" i="10"/>
  <c r="I9" i="10" s="1"/>
  <c r="E8" i="10"/>
  <c r="E14" i="10" s="1"/>
  <c r="D8" i="10"/>
  <c r="D14" i="10" s="1"/>
  <c r="A3" i="10"/>
  <c r="F66" i="9"/>
  <c r="D66" i="9"/>
  <c r="F51" i="9"/>
  <c r="F49" i="9" s="1"/>
  <c r="I50" i="9"/>
  <c r="H50" i="9"/>
  <c r="F45" i="9"/>
  <c r="G47" i="9"/>
  <c r="I46" i="9"/>
  <c r="H46" i="9"/>
  <c r="D45" i="9"/>
  <c r="F42" i="9"/>
  <c r="F40" i="9" s="1"/>
  <c r="E42" i="9"/>
  <c r="I41" i="9"/>
  <c r="H41" i="9"/>
  <c r="I39" i="9"/>
  <c r="H39" i="9"/>
  <c r="F38" i="9"/>
  <c r="E38" i="9"/>
  <c r="J37" i="9"/>
  <c r="F37" i="9"/>
  <c r="E37" i="9"/>
  <c r="G37" i="9" s="1"/>
  <c r="I37" i="9" s="1"/>
  <c r="I36" i="9"/>
  <c r="H36" i="9"/>
  <c r="D35" i="9"/>
  <c r="I34" i="9"/>
  <c r="H34" i="9"/>
  <c r="F33" i="9"/>
  <c r="E33" i="9"/>
  <c r="G33" i="9" s="1"/>
  <c r="I33" i="9" s="1"/>
  <c r="J32" i="9"/>
  <c r="F32" i="9"/>
  <c r="E32" i="9"/>
  <c r="G32" i="9" s="1"/>
  <c r="I32" i="9" s="1"/>
  <c r="F31" i="9"/>
  <c r="F30" i="9"/>
  <c r="E30" i="9"/>
  <c r="J29" i="9"/>
  <c r="F29" i="9"/>
  <c r="E29" i="9"/>
  <c r="I26" i="9"/>
  <c r="H26" i="9"/>
  <c r="F22" i="9"/>
  <c r="E22" i="9"/>
  <c r="F21" i="9"/>
  <c r="I20" i="9"/>
  <c r="H20" i="9"/>
  <c r="D19" i="9"/>
  <c r="I18" i="9"/>
  <c r="H18" i="9"/>
  <c r="F17" i="9"/>
  <c r="E17" i="9"/>
  <c r="G17" i="9" s="1"/>
  <c r="I17" i="9" s="1"/>
  <c r="F16" i="9"/>
  <c r="E16" i="9"/>
  <c r="I15" i="9"/>
  <c r="H15" i="9"/>
  <c r="D14" i="9"/>
  <c r="F12" i="9"/>
  <c r="F11" i="9"/>
  <c r="E11" i="9"/>
  <c r="F10" i="9"/>
  <c r="E10" i="9"/>
  <c r="I9" i="9"/>
  <c r="H9" i="9"/>
  <c r="D8" i="9"/>
  <c r="A3" i="9"/>
  <c r="E33" i="8"/>
  <c r="D33" i="8"/>
  <c r="C32" i="8"/>
  <c r="F32" i="8" s="1"/>
  <c r="B32" i="8"/>
  <c r="A32" i="8"/>
  <c r="B31" i="8"/>
  <c r="A31" i="8"/>
  <c r="C30" i="8"/>
  <c r="F30" i="8" s="1"/>
  <c r="B30" i="8"/>
  <c r="A30" i="8"/>
  <c r="B29" i="8"/>
  <c r="A29" i="8"/>
  <c r="B28" i="8"/>
  <c r="A28" i="8"/>
  <c r="C27" i="8"/>
  <c r="F27" i="8" s="1"/>
  <c r="B27" i="8"/>
  <c r="A27" i="8"/>
  <c r="C26" i="8"/>
  <c r="F26" i="8" s="1"/>
  <c r="B26" i="8"/>
  <c r="A26" i="8"/>
  <c r="C25" i="8"/>
  <c r="F25" i="8" s="1"/>
  <c r="B25" i="8"/>
  <c r="A25" i="8"/>
  <c r="C24" i="8"/>
  <c r="F24" i="8" s="1"/>
  <c r="B24" i="8"/>
  <c r="A24" i="8"/>
  <c r="C23" i="8"/>
  <c r="F23" i="8" s="1"/>
  <c r="B23" i="8"/>
  <c r="A23" i="8"/>
  <c r="C22" i="8"/>
  <c r="F22" i="8" s="1"/>
  <c r="B22" i="8"/>
  <c r="A22" i="8"/>
  <c r="C20" i="8"/>
  <c r="F20" i="8" s="1"/>
  <c r="B20" i="8"/>
  <c r="A20" i="8"/>
  <c r="C19" i="8"/>
  <c r="F19" i="8" s="1"/>
  <c r="B19" i="8"/>
  <c r="A19" i="8"/>
  <c r="C18" i="8"/>
  <c r="F18" i="8" s="1"/>
  <c r="B18" i="8"/>
  <c r="A18" i="8"/>
  <c r="C17" i="8"/>
  <c r="F17" i="8" s="1"/>
  <c r="B17" i="8"/>
  <c r="A17" i="8"/>
  <c r="C16" i="8"/>
  <c r="F16" i="8" s="1"/>
  <c r="B16" i="8"/>
  <c r="A16" i="8"/>
  <c r="C15" i="8"/>
  <c r="F15" i="8" s="1"/>
  <c r="B15" i="8"/>
  <c r="A15" i="8"/>
  <c r="C14" i="8"/>
  <c r="F14" i="8" s="1"/>
  <c r="B14" i="8"/>
  <c r="A14" i="8"/>
  <c r="C13" i="8"/>
  <c r="F13" i="8" s="1"/>
  <c r="B13" i="8"/>
  <c r="A13" i="8"/>
  <c r="C12" i="8"/>
  <c r="F12" i="8" s="1"/>
  <c r="B12" i="8"/>
  <c r="A12" i="8"/>
  <c r="C11" i="8"/>
  <c r="F11" i="8" s="1"/>
  <c r="B11" i="8"/>
  <c r="A11" i="8"/>
  <c r="C10" i="8"/>
  <c r="F10" i="8" s="1"/>
  <c r="B10" i="8"/>
  <c r="A10" i="8"/>
  <c r="B8" i="8"/>
  <c r="A8" i="8"/>
  <c r="C7" i="8"/>
  <c r="F7" i="8" s="1"/>
  <c r="B7" i="8"/>
  <c r="A7" i="8"/>
  <c r="C6" i="8"/>
  <c r="B6" i="8"/>
  <c r="A6" i="8"/>
  <c r="B15" i="7"/>
  <c r="A15" i="7"/>
  <c r="B14" i="7"/>
  <c r="A14" i="7"/>
  <c r="B13" i="7"/>
  <c r="A13" i="7"/>
  <c r="B12" i="7"/>
  <c r="A12" i="7"/>
  <c r="I11" i="7"/>
  <c r="G11" i="7" s="1"/>
  <c r="C11" i="7"/>
  <c r="F11" i="7" s="1"/>
  <c r="B11" i="7"/>
  <c r="A11" i="7"/>
  <c r="I10" i="7"/>
  <c r="H10" i="7"/>
  <c r="C10" i="7"/>
  <c r="F10" i="7" s="1"/>
  <c r="B10" i="7"/>
  <c r="A10" i="7"/>
  <c r="B8" i="7"/>
  <c r="A8" i="7"/>
  <c r="B7" i="7"/>
  <c r="A7" i="7"/>
  <c r="C6" i="7"/>
  <c r="B6" i="7"/>
  <c r="A6" i="7"/>
  <c r="E29" i="6"/>
  <c r="D29" i="6"/>
  <c r="G28" i="6"/>
  <c r="F28" i="6"/>
  <c r="C27" i="6"/>
  <c r="F27" i="6" s="1"/>
  <c r="B27" i="6"/>
  <c r="A27" i="6"/>
  <c r="C26" i="6"/>
  <c r="F26" i="6" s="1"/>
  <c r="B26" i="6"/>
  <c r="A26" i="6"/>
  <c r="B25" i="6"/>
  <c r="A25" i="6"/>
  <c r="C24" i="6"/>
  <c r="F24" i="6" s="1"/>
  <c r="B24" i="6"/>
  <c r="A24" i="6"/>
  <c r="C23" i="6"/>
  <c r="F23" i="6" s="1"/>
  <c r="B23" i="6"/>
  <c r="A23" i="6"/>
  <c r="B22" i="6"/>
  <c r="A22" i="6"/>
  <c r="B21" i="6"/>
  <c r="A21" i="6"/>
  <c r="C20" i="6"/>
  <c r="F20" i="6" s="1"/>
  <c r="B20" i="6"/>
  <c r="A20" i="6"/>
  <c r="C18" i="6"/>
  <c r="F18" i="6" s="1"/>
  <c r="B18" i="6"/>
  <c r="A18" i="6"/>
  <c r="C17" i="6"/>
  <c r="F17" i="6" s="1"/>
  <c r="B17" i="6"/>
  <c r="A17" i="6"/>
  <c r="C16" i="6"/>
  <c r="F16" i="6" s="1"/>
  <c r="B16" i="6"/>
  <c r="A16" i="6"/>
  <c r="C15" i="6"/>
  <c r="F15" i="6" s="1"/>
  <c r="B15" i="6"/>
  <c r="A15" i="6"/>
  <c r="C13" i="6"/>
  <c r="F13" i="6" s="1"/>
  <c r="B13" i="6"/>
  <c r="A13" i="6"/>
  <c r="C12" i="6"/>
  <c r="F12" i="6" s="1"/>
  <c r="B12" i="6"/>
  <c r="A12" i="6"/>
  <c r="B11" i="6"/>
  <c r="A11" i="6"/>
  <c r="C10" i="6"/>
  <c r="F10" i="6" s="1"/>
  <c r="B10" i="6"/>
  <c r="A10" i="6"/>
  <c r="C9" i="6"/>
  <c r="F9" i="6" s="1"/>
  <c r="B9" i="6"/>
  <c r="A9" i="6"/>
  <c r="B8" i="6"/>
  <c r="A8" i="6"/>
  <c r="C7" i="6"/>
  <c r="F7" i="6" s="1"/>
  <c r="B7" i="6"/>
  <c r="A7" i="6"/>
  <c r="C6" i="6"/>
  <c r="F6" i="6" s="1"/>
  <c r="B6" i="6"/>
  <c r="A6" i="6"/>
  <c r="KW37" i="5"/>
  <c r="KO37" i="5"/>
  <c r="KG37" i="5"/>
  <c r="JY37" i="5"/>
  <c r="JQ37" i="5"/>
  <c r="JI37" i="5"/>
  <c r="JA37" i="5"/>
  <c r="IS37" i="5"/>
  <c r="IK37" i="5"/>
  <c r="IC37" i="5"/>
  <c r="HU37" i="5"/>
  <c r="HM37" i="5"/>
  <c r="HE37" i="5"/>
  <c r="GW37" i="5"/>
  <c r="GO37" i="5"/>
  <c r="GG37" i="5"/>
  <c r="FY37" i="5"/>
  <c r="FQ37" i="5"/>
  <c r="FI37" i="5"/>
  <c r="FA37" i="5"/>
  <c r="ES37" i="5"/>
  <c r="EK37" i="5"/>
  <c r="EC37" i="5"/>
  <c r="DU37" i="5"/>
  <c r="DM37" i="5"/>
  <c r="DE37" i="5"/>
  <c r="CW37" i="5"/>
  <c r="CO37" i="5"/>
  <c r="CG37" i="5"/>
  <c r="BY37" i="5"/>
  <c r="BQ37" i="5"/>
  <c r="BI37" i="5"/>
  <c r="BA37" i="5"/>
  <c r="AS37" i="5"/>
  <c r="AK37" i="5"/>
  <c r="U37" i="5"/>
  <c r="EI35" i="5"/>
  <c r="BW35" i="5"/>
  <c r="LD32" i="5"/>
  <c r="LC32" i="5"/>
  <c r="KZ32" i="5"/>
  <c r="KY32" i="5"/>
  <c r="KV32" i="5"/>
  <c r="KR32" i="5"/>
  <c r="KN32" i="5"/>
  <c r="KM32" i="5"/>
  <c r="KJ32" i="5"/>
  <c r="KI32" i="5"/>
  <c r="KF32" i="5"/>
  <c r="KE32" i="5"/>
  <c r="KB32" i="5"/>
  <c r="KA32" i="5"/>
  <c r="JX32" i="5"/>
  <c r="JW32" i="5"/>
  <c r="JT32" i="5"/>
  <c r="JS32" i="5"/>
  <c r="JP32" i="5"/>
  <c r="JO32" i="5"/>
  <c r="JL32" i="5"/>
  <c r="JK32" i="5"/>
  <c r="IZ32" i="5"/>
  <c r="IY32" i="5"/>
  <c r="IV32" i="5"/>
  <c r="IU32" i="5"/>
  <c r="IR32" i="5"/>
  <c r="IQ32" i="5"/>
  <c r="IN32" i="5"/>
  <c r="IM32" i="5"/>
  <c r="IJ32" i="5"/>
  <c r="II32" i="5"/>
  <c r="IF32" i="5"/>
  <c r="IE32" i="5"/>
  <c r="IB32" i="5"/>
  <c r="IA32" i="5"/>
  <c r="HX32" i="5"/>
  <c r="HW32" i="5"/>
  <c r="HT32" i="5"/>
  <c r="HS32" i="5"/>
  <c r="HP32" i="5"/>
  <c r="HO32" i="5"/>
  <c r="HL32" i="5"/>
  <c r="HK32" i="5"/>
  <c r="HH32" i="5"/>
  <c r="HG32" i="5"/>
  <c r="HD32" i="5"/>
  <c r="HC32" i="5"/>
  <c r="GZ32" i="5"/>
  <c r="GY32" i="5"/>
  <c r="GV32" i="5"/>
  <c r="GU32" i="5"/>
  <c r="GR32" i="5"/>
  <c r="GQ32" i="5"/>
  <c r="GN32" i="5"/>
  <c r="GM32" i="5"/>
  <c r="GJ32" i="5"/>
  <c r="GI32" i="5"/>
  <c r="GF32" i="5"/>
  <c r="GD32" i="5"/>
  <c r="GB32" i="5"/>
  <c r="FZ32" i="5"/>
  <c r="FX32" i="5"/>
  <c r="FW32" i="5"/>
  <c r="FT32" i="5"/>
  <c r="FS32" i="5"/>
  <c r="FP32" i="5"/>
  <c r="FO32" i="5"/>
  <c r="FL32" i="5"/>
  <c r="FK32" i="5"/>
  <c r="FH32" i="5"/>
  <c r="FG32" i="5"/>
  <c r="FD32" i="5"/>
  <c r="FC32" i="5"/>
  <c r="EZ32" i="5"/>
  <c r="EY32" i="5"/>
  <c r="EV32" i="5"/>
  <c r="EU32" i="5"/>
  <c r="ER32" i="5"/>
  <c r="EQ32" i="5"/>
  <c r="EN32" i="5"/>
  <c r="EM32" i="5"/>
  <c r="EJ32" i="5"/>
  <c r="EI32" i="5"/>
  <c r="EF32" i="5"/>
  <c r="EE32" i="5"/>
  <c r="EB32" i="5"/>
  <c r="EA32" i="5"/>
  <c r="DX32" i="5"/>
  <c r="DW32" i="5"/>
  <c r="DT32" i="5"/>
  <c r="DS32" i="5"/>
  <c r="DP32" i="5"/>
  <c r="DO32" i="5"/>
  <c r="DL32" i="5"/>
  <c r="DK32" i="5"/>
  <c r="DH32" i="5"/>
  <c r="DG32" i="5"/>
  <c r="DD32" i="5"/>
  <c r="DC32" i="5"/>
  <c r="CZ32" i="5"/>
  <c r="CY32" i="5"/>
  <c r="CV32" i="5"/>
  <c r="CU32" i="5"/>
  <c r="CR32" i="5"/>
  <c r="CQ32" i="5"/>
  <c r="CN32" i="5"/>
  <c r="CM32" i="5"/>
  <c r="CJ32" i="5"/>
  <c r="CI32" i="5"/>
  <c r="CF32" i="5"/>
  <c r="CE32" i="5"/>
  <c r="CB32" i="5"/>
  <c r="CA32" i="5"/>
  <c r="BX32" i="5"/>
  <c r="BW32" i="5"/>
  <c r="BT32" i="5"/>
  <c r="BS32" i="5"/>
  <c r="BP32" i="5"/>
  <c r="BO32" i="5"/>
  <c r="BL32" i="5"/>
  <c r="BK32" i="5"/>
  <c r="BH32" i="5"/>
  <c r="BG32" i="5"/>
  <c r="BD32" i="5"/>
  <c r="BC32" i="5"/>
  <c r="AZ32" i="5"/>
  <c r="AY32" i="5"/>
  <c r="AV32" i="5"/>
  <c r="AU32" i="5"/>
  <c r="AR32" i="5"/>
  <c r="AQ32" i="5"/>
  <c r="AN32" i="5"/>
  <c r="AM32" i="5"/>
  <c r="AB32" i="5"/>
  <c r="AA32" i="5"/>
  <c r="X32" i="5"/>
  <c r="W32" i="5"/>
  <c r="KT31" i="5"/>
  <c r="KP31" i="5"/>
  <c r="JH31" i="5"/>
  <c r="T31" i="5" s="1"/>
  <c r="I31" i="5" s="1"/>
  <c r="JG31" i="5"/>
  <c r="JF31" i="5"/>
  <c r="JE31" i="5"/>
  <c r="JD31" i="5"/>
  <c r="P31" i="5" s="1"/>
  <c r="E31" i="5" s="1"/>
  <c r="JC31" i="5"/>
  <c r="JB31" i="5"/>
  <c r="DQ31" i="5"/>
  <c r="DR31" i="5" s="1"/>
  <c r="DM31" i="5"/>
  <c r="DN31" i="5" s="1"/>
  <c r="CK31" i="5"/>
  <c r="CL31" i="5" s="1"/>
  <c r="AW31" i="5"/>
  <c r="AX31" i="5" s="1"/>
  <c r="KT30" i="5"/>
  <c r="KP30" i="5"/>
  <c r="KK30" i="5"/>
  <c r="KL30" i="5" s="1"/>
  <c r="JH30" i="5"/>
  <c r="T30" i="5" s="1"/>
  <c r="I30" i="5" s="1"/>
  <c r="JG30" i="5"/>
  <c r="JF30" i="5"/>
  <c r="JE30" i="5"/>
  <c r="JD30" i="5"/>
  <c r="P30" i="5" s="1"/>
  <c r="E30" i="5" s="1"/>
  <c r="JC30" i="5"/>
  <c r="JB30" i="5"/>
  <c r="HY30" i="5"/>
  <c r="GS30" i="5"/>
  <c r="FM30" i="5"/>
  <c r="EG30" i="5"/>
  <c r="DM30" i="5"/>
  <c r="AO30" i="5"/>
  <c r="LD28" i="5"/>
  <c r="LD35" i="5" s="1"/>
  <c r="KZ28" i="5"/>
  <c r="KZ35" i="5" s="1"/>
  <c r="KV28" i="5"/>
  <c r="KV35" i="5" s="1"/>
  <c r="KR28" i="5"/>
  <c r="KR35" i="5" s="1"/>
  <c r="KN28" i="5"/>
  <c r="KJ28" i="5"/>
  <c r="KJ35" i="5" s="1"/>
  <c r="KF28" i="5"/>
  <c r="KF35" i="5" s="1"/>
  <c r="KE28" i="5"/>
  <c r="KE35" i="5" s="1"/>
  <c r="KB28" i="5"/>
  <c r="KB35" i="5" s="1"/>
  <c r="KA28" i="5"/>
  <c r="KA35" i="5" s="1"/>
  <c r="JX28" i="5"/>
  <c r="JW28" i="5"/>
  <c r="JT28" i="5"/>
  <c r="JT35" i="5" s="1"/>
  <c r="JS28" i="5"/>
  <c r="JS35" i="5" s="1"/>
  <c r="JP28" i="5"/>
  <c r="JP35" i="5" s="1"/>
  <c r="JO28" i="5"/>
  <c r="JO35" i="5" s="1"/>
  <c r="JL28" i="5"/>
  <c r="JL35" i="5" s="1"/>
  <c r="JK28" i="5"/>
  <c r="JK35" i="5" s="1"/>
  <c r="IZ28" i="5"/>
  <c r="IY28" i="5"/>
  <c r="IY35" i="5" s="1"/>
  <c r="IV28" i="5"/>
  <c r="IV35" i="5" s="1"/>
  <c r="IU28" i="5"/>
  <c r="IU35" i="5" s="1"/>
  <c r="IR28" i="5"/>
  <c r="IR35" i="5" s="1"/>
  <c r="IN28" i="5"/>
  <c r="IN35" i="5" s="1"/>
  <c r="II28" i="5"/>
  <c r="II35" i="5" s="1"/>
  <c r="IH28" i="5"/>
  <c r="IE28" i="5"/>
  <c r="IE35" i="5" s="1"/>
  <c r="ID28" i="5"/>
  <c r="IB28" i="5"/>
  <c r="IB35" i="5" s="1"/>
  <c r="IA28" i="5"/>
  <c r="IA35" i="5" s="1"/>
  <c r="HX28" i="5"/>
  <c r="HX35" i="5" s="1"/>
  <c r="HW28" i="5"/>
  <c r="HW35" i="5" s="1"/>
  <c r="HS28" i="5"/>
  <c r="HS35" i="5" s="1"/>
  <c r="HO28" i="5"/>
  <c r="HO35" i="5" s="1"/>
  <c r="HL28" i="5"/>
  <c r="HL35" i="5" s="1"/>
  <c r="HK28" i="5"/>
  <c r="HK35" i="5" s="1"/>
  <c r="HH28" i="5"/>
  <c r="HG28" i="5"/>
  <c r="HG35" i="5" s="1"/>
  <c r="HD28" i="5"/>
  <c r="HD35" i="5" s="1"/>
  <c r="HC28" i="5"/>
  <c r="HC35" i="5" s="1"/>
  <c r="GZ28" i="5"/>
  <c r="GZ35" i="5" s="1"/>
  <c r="GY28" i="5"/>
  <c r="GY35" i="5" s="1"/>
  <c r="GN28" i="5"/>
  <c r="GN35" i="5" s="1"/>
  <c r="GM28" i="5"/>
  <c r="GM35" i="5" s="1"/>
  <c r="GJ28" i="5"/>
  <c r="GJ35" i="5" s="1"/>
  <c r="GI28" i="5"/>
  <c r="GI35" i="5" s="1"/>
  <c r="GF28" i="5"/>
  <c r="GF35" i="5" s="1"/>
  <c r="GD28" i="5"/>
  <c r="GD35" i="5" s="1"/>
  <c r="GB28" i="5"/>
  <c r="GB35" i="5" s="1"/>
  <c r="FZ28" i="5"/>
  <c r="FZ35" i="5" s="1"/>
  <c r="FP28" i="5"/>
  <c r="FP35" i="5" s="1"/>
  <c r="FO28" i="5"/>
  <c r="FO35" i="5" s="1"/>
  <c r="FN28" i="5"/>
  <c r="FL28" i="5"/>
  <c r="FL35" i="5" s="1"/>
  <c r="FK28" i="5"/>
  <c r="FK35" i="5" s="1"/>
  <c r="FJ28" i="5"/>
  <c r="FH28" i="5"/>
  <c r="FH35" i="5" s="1"/>
  <c r="FG28" i="5"/>
  <c r="FG35" i="5" s="1"/>
  <c r="FD28" i="5"/>
  <c r="FD35" i="5" s="1"/>
  <c r="FC28" i="5"/>
  <c r="FC35" i="5" s="1"/>
  <c r="EZ28" i="5"/>
  <c r="EZ35" i="5" s="1"/>
  <c r="EY28" i="5"/>
  <c r="EY35" i="5" s="1"/>
  <c r="EV28" i="5"/>
  <c r="EV35" i="5" s="1"/>
  <c r="EU28" i="5"/>
  <c r="EU35" i="5" s="1"/>
  <c r="ET28" i="5"/>
  <c r="EQ28" i="5"/>
  <c r="EQ35" i="5" s="1"/>
  <c r="EP28" i="5"/>
  <c r="EM28" i="5"/>
  <c r="EM35" i="5" s="1"/>
  <c r="EL28" i="5"/>
  <c r="EJ28" i="5"/>
  <c r="EJ35" i="5" s="1"/>
  <c r="EI28" i="5"/>
  <c r="EF28" i="5"/>
  <c r="EF35" i="5" s="1"/>
  <c r="EE28" i="5"/>
  <c r="EE35" i="5" s="1"/>
  <c r="EB28" i="5"/>
  <c r="EB35" i="5" s="1"/>
  <c r="EA28" i="5"/>
  <c r="EA35" i="5" s="1"/>
  <c r="DX28" i="5"/>
  <c r="DX35" i="5" s="1"/>
  <c r="DW28" i="5"/>
  <c r="DW35" i="5" s="1"/>
  <c r="DT28" i="5"/>
  <c r="DT35" i="5" s="1"/>
  <c r="DS28" i="5"/>
  <c r="DS35" i="5" s="1"/>
  <c r="DP28" i="5"/>
  <c r="DP35" i="5" s="1"/>
  <c r="DO28" i="5"/>
  <c r="DO35" i="5" s="1"/>
  <c r="DL28" i="5"/>
  <c r="DL35" i="5" s="1"/>
  <c r="DK28" i="5"/>
  <c r="DK35" i="5" s="1"/>
  <c r="DH28" i="5"/>
  <c r="DH35" i="5" s="1"/>
  <c r="DG28" i="5"/>
  <c r="DG35" i="5" s="1"/>
  <c r="DD28" i="5"/>
  <c r="DD35" i="5" s="1"/>
  <c r="CZ28" i="5"/>
  <c r="CZ35" i="5" s="1"/>
  <c r="CV28" i="5"/>
  <c r="CV35" i="5" s="1"/>
  <c r="CU28" i="5"/>
  <c r="CU35" i="5" s="1"/>
  <c r="CR28" i="5"/>
  <c r="CR35" i="5" s="1"/>
  <c r="CQ28" i="5"/>
  <c r="CQ35" i="5" s="1"/>
  <c r="CN28" i="5"/>
  <c r="CN35" i="5" s="1"/>
  <c r="CM28" i="5"/>
  <c r="CM35" i="5" s="1"/>
  <c r="CJ28" i="5"/>
  <c r="CJ35" i="5" s="1"/>
  <c r="CI28" i="5"/>
  <c r="CI35" i="5" s="1"/>
  <c r="CF28" i="5"/>
  <c r="CF35" i="5" s="1"/>
  <c r="CE28" i="5"/>
  <c r="CE35" i="5" s="1"/>
  <c r="CB28" i="5"/>
  <c r="CB35" i="5" s="1"/>
  <c r="CA28" i="5"/>
  <c r="CA35" i="5" s="1"/>
  <c r="BX28" i="5"/>
  <c r="BX35" i="5" s="1"/>
  <c r="BW28" i="5"/>
  <c r="BT28" i="5"/>
  <c r="BT35" i="5" s="1"/>
  <c r="BS28" i="5"/>
  <c r="BS35" i="5" s="1"/>
  <c r="BP28" i="5"/>
  <c r="BP35" i="5" s="1"/>
  <c r="BO28" i="5"/>
  <c r="BO35" i="5" s="1"/>
  <c r="BL28" i="5"/>
  <c r="BL35" i="5" s="1"/>
  <c r="BK28" i="5"/>
  <c r="BK35" i="5" s="1"/>
  <c r="BG28" i="5"/>
  <c r="BG35" i="5" s="1"/>
  <c r="BC28" i="5"/>
  <c r="BC35" i="5" s="1"/>
  <c r="AZ28" i="5"/>
  <c r="AZ35" i="5" s="1"/>
  <c r="AY28" i="5"/>
  <c r="AY35" i="5" s="1"/>
  <c r="AV28" i="5"/>
  <c r="AV35" i="5" s="1"/>
  <c r="AU28" i="5"/>
  <c r="AU35" i="5" s="1"/>
  <c r="AR28" i="5"/>
  <c r="AR35" i="5" s="1"/>
  <c r="AQ28" i="5"/>
  <c r="AQ35" i="5" s="1"/>
  <c r="AN28" i="5"/>
  <c r="AM28" i="5"/>
  <c r="AM35" i="5" s="1"/>
  <c r="LC27" i="5"/>
  <c r="LB27" i="5"/>
  <c r="KY27" i="5"/>
  <c r="KX27" i="5"/>
  <c r="KT27" i="5"/>
  <c r="KP27" i="5"/>
  <c r="JH27" i="5"/>
  <c r="JG27" i="5"/>
  <c r="JF27" i="5"/>
  <c r="JD27" i="5"/>
  <c r="JC27" i="5"/>
  <c r="JB27" i="5"/>
  <c r="IP27" i="5"/>
  <c r="IL27" i="5"/>
  <c r="IJ27" i="5"/>
  <c r="IF27" i="5"/>
  <c r="HT27" i="5"/>
  <c r="HP27" i="5"/>
  <c r="GV27" i="5"/>
  <c r="GU27" i="5"/>
  <c r="GR27" i="5"/>
  <c r="GQ27" i="5"/>
  <c r="FX27" i="5"/>
  <c r="FW27" i="5"/>
  <c r="FV27" i="5"/>
  <c r="FT27" i="5"/>
  <c r="FS27" i="5"/>
  <c r="FR27" i="5"/>
  <c r="EX28" i="5"/>
  <c r="DY27" i="5"/>
  <c r="DZ27" i="5" s="1"/>
  <c r="DQ27" i="5"/>
  <c r="DR27" i="5" s="1"/>
  <c r="DB27" i="5"/>
  <c r="CX27" i="5"/>
  <c r="CK27" i="5"/>
  <c r="CL27" i="5" s="1"/>
  <c r="BH27" i="5"/>
  <c r="BF27" i="5"/>
  <c r="BE27" i="5"/>
  <c r="BD27" i="5"/>
  <c r="BB27" i="5"/>
  <c r="AX27" i="5"/>
  <c r="AT27" i="5"/>
  <c r="AB27" i="5"/>
  <c r="AA27" i="5"/>
  <c r="Z27" i="5"/>
  <c r="X27" i="5"/>
  <c r="W27" i="5"/>
  <c r="V27" i="5"/>
  <c r="LC26" i="5"/>
  <c r="LB26" i="5"/>
  <c r="KY26" i="5"/>
  <c r="KX26" i="5"/>
  <c r="KT26" i="5"/>
  <c r="KP26" i="5"/>
  <c r="KC26" i="5"/>
  <c r="KD26" i="5" s="1"/>
  <c r="JH26" i="5"/>
  <c r="JG26" i="5"/>
  <c r="JF26" i="5"/>
  <c r="JD26" i="5"/>
  <c r="JC26" i="5"/>
  <c r="JB26" i="5"/>
  <c r="IW26" i="5"/>
  <c r="IX26" i="5" s="1"/>
  <c r="IP26" i="5"/>
  <c r="IL26" i="5"/>
  <c r="IJ26" i="5"/>
  <c r="IF26" i="5"/>
  <c r="HY26" i="5"/>
  <c r="HZ26" i="5" s="1"/>
  <c r="HT26" i="5"/>
  <c r="HP26" i="5"/>
  <c r="GV26" i="5"/>
  <c r="GU26" i="5"/>
  <c r="GR26" i="5"/>
  <c r="GQ26" i="5"/>
  <c r="GK26" i="5"/>
  <c r="GL26" i="5" s="1"/>
  <c r="FX26" i="5"/>
  <c r="FW26" i="5"/>
  <c r="FV26" i="5"/>
  <c r="FT26" i="5"/>
  <c r="FS26" i="5"/>
  <c r="FR26" i="5"/>
  <c r="FE26" i="5"/>
  <c r="FF26" i="5" s="1"/>
  <c r="EO26" i="5"/>
  <c r="ER26" i="5" s="1"/>
  <c r="DQ26" i="5"/>
  <c r="DR26" i="5" s="1"/>
  <c r="DB26" i="5"/>
  <c r="CX26" i="5"/>
  <c r="BH26" i="5"/>
  <c r="BF26" i="5"/>
  <c r="BD26" i="5"/>
  <c r="BB26" i="5"/>
  <c r="AX26" i="5"/>
  <c r="AT26" i="5"/>
  <c r="AB26" i="5"/>
  <c r="AA26" i="5"/>
  <c r="Z26" i="5"/>
  <c r="X26" i="5"/>
  <c r="W26" i="5"/>
  <c r="V26" i="5"/>
  <c r="LC25" i="5"/>
  <c r="LB25" i="5"/>
  <c r="KY25" i="5"/>
  <c r="KX25" i="5"/>
  <c r="KT25" i="5"/>
  <c r="KS25" i="5"/>
  <c r="KP25" i="5"/>
  <c r="JH25" i="5"/>
  <c r="JG25" i="5"/>
  <c r="JF25" i="5"/>
  <c r="JD25" i="5"/>
  <c r="JC25" i="5"/>
  <c r="JB25" i="5"/>
  <c r="IW25" i="5"/>
  <c r="IX25" i="5" s="1"/>
  <c r="IP25" i="5"/>
  <c r="IL25" i="5"/>
  <c r="IJ25" i="5"/>
  <c r="IF25" i="5"/>
  <c r="HT25" i="5"/>
  <c r="HP25" i="5"/>
  <c r="GV25" i="5"/>
  <c r="GU25" i="5"/>
  <c r="GR25" i="5"/>
  <c r="GQ25" i="5"/>
  <c r="FX25" i="5"/>
  <c r="FW25" i="5"/>
  <c r="FV25" i="5"/>
  <c r="FT25" i="5"/>
  <c r="FS25" i="5"/>
  <c r="FR25" i="5"/>
  <c r="EO25" i="5"/>
  <c r="ER25" i="5" s="1"/>
  <c r="DI25" i="5"/>
  <c r="DJ25" i="5" s="1"/>
  <c r="DB25" i="5"/>
  <c r="CX25" i="5"/>
  <c r="CC25" i="5"/>
  <c r="CD25" i="5" s="1"/>
  <c r="BH25" i="5"/>
  <c r="BF25" i="5"/>
  <c r="BD25" i="5"/>
  <c r="BB25" i="5"/>
  <c r="AX25" i="5"/>
  <c r="AW25" i="5"/>
  <c r="AT25" i="5"/>
  <c r="AB25" i="5"/>
  <c r="AA25" i="5"/>
  <c r="Z25" i="5"/>
  <c r="X25" i="5"/>
  <c r="W25" i="5"/>
  <c r="V25" i="5"/>
  <c r="LC24" i="5"/>
  <c r="LB24" i="5"/>
  <c r="KY24" i="5"/>
  <c r="KX24" i="5"/>
  <c r="KT24" i="5"/>
  <c r="KP24" i="5"/>
  <c r="JH24" i="5"/>
  <c r="JG24" i="5"/>
  <c r="JF24" i="5"/>
  <c r="JD24" i="5"/>
  <c r="JC24" i="5"/>
  <c r="JB24" i="5"/>
  <c r="IP24" i="5"/>
  <c r="IL24" i="5"/>
  <c r="IJ24" i="5"/>
  <c r="IG24" i="5"/>
  <c r="IF24" i="5"/>
  <c r="HT24" i="5"/>
  <c r="HP24" i="5"/>
  <c r="GV24" i="5"/>
  <c r="GU24" i="5"/>
  <c r="GR24" i="5"/>
  <c r="GQ24" i="5"/>
  <c r="FX24" i="5"/>
  <c r="FW24" i="5"/>
  <c r="FV24" i="5"/>
  <c r="FT24" i="5"/>
  <c r="FS24" i="5"/>
  <c r="FR24" i="5"/>
  <c r="DB24" i="5"/>
  <c r="CX24" i="5"/>
  <c r="BH24" i="5"/>
  <c r="BF24" i="5"/>
  <c r="BD24" i="5"/>
  <c r="BB24" i="5"/>
  <c r="AX24" i="5"/>
  <c r="AT24" i="5"/>
  <c r="AB24" i="5"/>
  <c r="AA24" i="5"/>
  <c r="Z24" i="5"/>
  <c r="X24" i="5"/>
  <c r="W24" i="5"/>
  <c r="V24" i="5"/>
  <c r="LC23" i="5"/>
  <c r="LB23" i="5"/>
  <c r="KY23" i="5"/>
  <c r="KX23" i="5"/>
  <c r="KT23" i="5"/>
  <c r="KP23" i="5"/>
  <c r="JH23" i="5"/>
  <c r="JG23" i="5"/>
  <c r="JF23" i="5"/>
  <c r="JD23" i="5"/>
  <c r="JC23" i="5"/>
  <c r="JB23" i="5"/>
  <c r="IP23" i="5"/>
  <c r="IL23" i="5"/>
  <c r="IJ23" i="5"/>
  <c r="IF23" i="5"/>
  <c r="HT23" i="5"/>
  <c r="HP23" i="5"/>
  <c r="GV23" i="5"/>
  <c r="GU23" i="5"/>
  <c r="GR23" i="5"/>
  <c r="GQ23" i="5"/>
  <c r="FX23" i="5"/>
  <c r="FW23" i="5"/>
  <c r="FV23" i="5"/>
  <c r="FU23" i="5"/>
  <c r="FT23" i="5"/>
  <c r="FS23" i="5"/>
  <c r="FR23" i="5"/>
  <c r="DB23" i="5"/>
  <c r="CX23" i="5"/>
  <c r="BM23" i="5"/>
  <c r="BN23" i="5" s="1"/>
  <c r="BH23" i="5"/>
  <c r="BF23" i="5"/>
  <c r="BD23" i="5"/>
  <c r="BB23" i="5"/>
  <c r="AX23" i="5"/>
  <c r="AT23" i="5"/>
  <c r="AB23" i="5"/>
  <c r="AA23" i="5"/>
  <c r="Z23" i="5"/>
  <c r="X23" i="5"/>
  <c r="W23" i="5"/>
  <c r="V23" i="5"/>
  <c r="LC22" i="5"/>
  <c r="LB22" i="5"/>
  <c r="KY22" i="5"/>
  <c r="KX22" i="5"/>
  <c r="KT22" i="5"/>
  <c r="KP22" i="5"/>
  <c r="KC22" i="5"/>
  <c r="KD22" i="5" s="1"/>
  <c r="JH22" i="5"/>
  <c r="JG22" i="5"/>
  <c r="JF22" i="5"/>
  <c r="JD22" i="5"/>
  <c r="JC22" i="5"/>
  <c r="JB22" i="5"/>
  <c r="IW22" i="5"/>
  <c r="IX22" i="5" s="1"/>
  <c r="IP22" i="5"/>
  <c r="IL22" i="5"/>
  <c r="IJ22" i="5"/>
  <c r="IG22" i="5"/>
  <c r="IF22" i="5"/>
  <c r="HT22" i="5"/>
  <c r="HP22" i="5"/>
  <c r="HA22" i="5"/>
  <c r="HB22" i="5" s="1"/>
  <c r="GV22" i="5"/>
  <c r="GU22" i="5"/>
  <c r="GR22" i="5"/>
  <c r="GQ22" i="5"/>
  <c r="FX22" i="5"/>
  <c r="FW22" i="5"/>
  <c r="FV22" i="5"/>
  <c r="FU22" i="5"/>
  <c r="FT22" i="5"/>
  <c r="FS22" i="5"/>
  <c r="FR22" i="5"/>
  <c r="EO22" i="5"/>
  <c r="ER22" i="5" s="1"/>
  <c r="EG22" i="5"/>
  <c r="EH22" i="5" s="1"/>
  <c r="DI22" i="5"/>
  <c r="DJ22" i="5" s="1"/>
  <c r="DB22" i="5"/>
  <c r="DA22" i="5"/>
  <c r="CX22" i="5"/>
  <c r="CS22" i="5"/>
  <c r="CT22" i="5" s="1"/>
  <c r="CC22" i="5"/>
  <c r="CD22" i="5" s="1"/>
  <c r="BU22" i="5"/>
  <c r="BV22" i="5" s="1"/>
  <c r="BH22" i="5"/>
  <c r="BF22" i="5"/>
  <c r="BD22" i="5"/>
  <c r="BB22" i="5"/>
  <c r="AX22" i="5"/>
  <c r="AW22" i="5"/>
  <c r="AT22" i="5"/>
  <c r="AO22" i="5"/>
  <c r="AP22" i="5" s="1"/>
  <c r="AB22" i="5"/>
  <c r="AA22" i="5"/>
  <c r="Z22" i="5"/>
  <c r="Y22" i="5"/>
  <c r="X22" i="5"/>
  <c r="W22" i="5"/>
  <c r="V22" i="5"/>
  <c r="LC21" i="5"/>
  <c r="LB21" i="5"/>
  <c r="LA21" i="5"/>
  <c r="KY21" i="5"/>
  <c r="KX21" i="5"/>
  <c r="KT21" i="5"/>
  <c r="KS21" i="5"/>
  <c r="KP21" i="5"/>
  <c r="JU21" i="5"/>
  <c r="JV21" i="5" s="1"/>
  <c r="JH21" i="5"/>
  <c r="JG21" i="5"/>
  <c r="JF21" i="5"/>
  <c r="JD21" i="5"/>
  <c r="JC21" i="5"/>
  <c r="JB21" i="5"/>
  <c r="IP21" i="5"/>
  <c r="IO21" i="5"/>
  <c r="IL21" i="5"/>
  <c r="IJ21" i="5"/>
  <c r="IG21" i="5"/>
  <c r="IF21" i="5"/>
  <c r="HT21" i="5"/>
  <c r="HP21" i="5"/>
  <c r="HI21" i="5"/>
  <c r="HJ21" i="5" s="1"/>
  <c r="GV21" i="5"/>
  <c r="GU21" i="5"/>
  <c r="GR21" i="5"/>
  <c r="GQ21" i="5"/>
  <c r="FX21" i="5"/>
  <c r="FW21" i="5"/>
  <c r="FV21" i="5"/>
  <c r="FU21" i="5"/>
  <c r="FT21" i="5"/>
  <c r="FS21" i="5"/>
  <c r="FR21" i="5"/>
  <c r="DQ21" i="5"/>
  <c r="DR21" i="5" s="1"/>
  <c r="DB21" i="5"/>
  <c r="CX21" i="5"/>
  <c r="CS21" i="5"/>
  <c r="CT21" i="5" s="1"/>
  <c r="BH21" i="5"/>
  <c r="BF21" i="5"/>
  <c r="BD21" i="5"/>
  <c r="BB21" i="5"/>
  <c r="AX21" i="5"/>
  <c r="AT21" i="5"/>
  <c r="AB21" i="5"/>
  <c r="AA21" i="5"/>
  <c r="Z21" i="5"/>
  <c r="X21" i="5"/>
  <c r="W21" i="5"/>
  <c r="V21" i="5"/>
  <c r="LC20" i="5"/>
  <c r="LB20" i="5"/>
  <c r="KY20" i="5"/>
  <c r="KX20" i="5"/>
  <c r="KT20" i="5"/>
  <c r="KS20" i="5"/>
  <c r="KP20" i="5"/>
  <c r="JH20" i="5"/>
  <c r="JG20" i="5"/>
  <c r="JF20" i="5"/>
  <c r="JD20" i="5"/>
  <c r="JC20" i="5"/>
  <c r="JB20" i="5"/>
  <c r="IP20" i="5"/>
  <c r="IL20" i="5"/>
  <c r="IJ20" i="5"/>
  <c r="IF20" i="5"/>
  <c r="HT20" i="5"/>
  <c r="HP20" i="5"/>
  <c r="GV20" i="5"/>
  <c r="GU20" i="5"/>
  <c r="GR20" i="5"/>
  <c r="GQ20" i="5"/>
  <c r="FX20" i="5"/>
  <c r="FW20" i="5"/>
  <c r="FV20" i="5"/>
  <c r="FT20" i="5"/>
  <c r="FS20" i="5"/>
  <c r="FR20" i="5"/>
  <c r="EG20" i="5"/>
  <c r="EH20" i="5" s="1"/>
  <c r="DY20" i="5"/>
  <c r="DZ20" i="5" s="1"/>
  <c r="DB20" i="5"/>
  <c r="CX20" i="5"/>
  <c r="CS20" i="5"/>
  <c r="CT20" i="5" s="1"/>
  <c r="BM20" i="5"/>
  <c r="BN20" i="5" s="1"/>
  <c r="BH20" i="5"/>
  <c r="BF20" i="5"/>
  <c r="BD20" i="5"/>
  <c r="BB20" i="5"/>
  <c r="AX20" i="5"/>
  <c r="AT20" i="5"/>
  <c r="AB20" i="5"/>
  <c r="AA20" i="5"/>
  <c r="Z20" i="5"/>
  <c r="Y20" i="5"/>
  <c r="X20" i="5"/>
  <c r="W20" i="5"/>
  <c r="V20" i="5"/>
  <c r="LC19" i="5"/>
  <c r="LB19" i="5"/>
  <c r="KY19" i="5"/>
  <c r="KX19" i="5"/>
  <c r="KT19" i="5"/>
  <c r="KS19" i="5"/>
  <c r="KP19" i="5"/>
  <c r="JM19" i="5"/>
  <c r="JN19" i="5" s="1"/>
  <c r="JH19" i="5"/>
  <c r="JG19" i="5"/>
  <c r="JF19" i="5"/>
  <c r="JD19" i="5"/>
  <c r="JC19" i="5"/>
  <c r="JB19" i="5"/>
  <c r="IP19" i="5"/>
  <c r="IL19" i="5"/>
  <c r="IJ19" i="5"/>
  <c r="IG19" i="5"/>
  <c r="IF19" i="5"/>
  <c r="HT19" i="5"/>
  <c r="HP19" i="5"/>
  <c r="HA19" i="5"/>
  <c r="HB19" i="5" s="1"/>
  <c r="GV19" i="5"/>
  <c r="GU19" i="5"/>
  <c r="GR19" i="5"/>
  <c r="GQ19" i="5"/>
  <c r="FX19" i="5"/>
  <c r="FW19" i="5"/>
  <c r="FV19" i="5"/>
  <c r="FU19" i="5"/>
  <c r="FT19" i="5"/>
  <c r="FS19" i="5"/>
  <c r="FR19" i="5"/>
  <c r="DQ19" i="5"/>
  <c r="DR19" i="5" s="1"/>
  <c r="DB19" i="5"/>
  <c r="CX19" i="5"/>
  <c r="CK19" i="5"/>
  <c r="CL19" i="5" s="1"/>
  <c r="BH19" i="5"/>
  <c r="BF19" i="5"/>
  <c r="BD19" i="5"/>
  <c r="BB19" i="5"/>
  <c r="AX19" i="5"/>
  <c r="AT19" i="5"/>
  <c r="AB19" i="5"/>
  <c r="AA19" i="5"/>
  <c r="Z19" i="5"/>
  <c r="Y19" i="5"/>
  <c r="X19" i="5"/>
  <c r="W19" i="5"/>
  <c r="V19" i="5"/>
  <c r="LC18" i="5"/>
  <c r="LB18" i="5"/>
  <c r="KY18" i="5"/>
  <c r="KX18" i="5"/>
  <c r="KT18" i="5"/>
  <c r="KS18" i="5"/>
  <c r="KP18" i="5"/>
  <c r="JM18" i="5"/>
  <c r="JN18" i="5" s="1"/>
  <c r="JH18" i="5"/>
  <c r="JG18" i="5"/>
  <c r="JF18" i="5"/>
  <c r="JD18" i="5"/>
  <c r="JC18" i="5"/>
  <c r="JB18" i="5"/>
  <c r="IP18" i="5"/>
  <c r="IL18" i="5"/>
  <c r="IJ18" i="5"/>
  <c r="IG18" i="5"/>
  <c r="IF18" i="5"/>
  <c r="HT18" i="5"/>
  <c r="HP18" i="5"/>
  <c r="HA18" i="5"/>
  <c r="HB18" i="5" s="1"/>
  <c r="GV18" i="5"/>
  <c r="GU18" i="5"/>
  <c r="GR18" i="5"/>
  <c r="GQ18" i="5"/>
  <c r="FX18" i="5"/>
  <c r="FW18" i="5"/>
  <c r="FV18" i="5"/>
  <c r="FT18" i="5"/>
  <c r="FS18" i="5"/>
  <c r="FR18" i="5"/>
  <c r="DB18" i="5"/>
  <c r="CX18" i="5"/>
  <c r="BH18" i="5"/>
  <c r="BF18" i="5"/>
  <c r="BD18" i="5"/>
  <c r="BB18" i="5"/>
  <c r="AX18" i="5"/>
  <c r="AT18" i="5"/>
  <c r="AO18" i="5"/>
  <c r="AP18" i="5" s="1"/>
  <c r="AB18" i="5"/>
  <c r="AA18" i="5"/>
  <c r="Z18" i="5"/>
  <c r="Y18" i="5"/>
  <c r="X18" i="5"/>
  <c r="W18" i="5"/>
  <c r="V18" i="5"/>
  <c r="LC17" i="5"/>
  <c r="LB17" i="5"/>
  <c r="KY17" i="5"/>
  <c r="KX17" i="5"/>
  <c r="KT17" i="5"/>
  <c r="KP17" i="5"/>
  <c r="JH17" i="5"/>
  <c r="JG17" i="5"/>
  <c r="JF17" i="5"/>
  <c r="JD17" i="5"/>
  <c r="JC17" i="5"/>
  <c r="JB17" i="5"/>
  <c r="IP17" i="5"/>
  <c r="IL17" i="5"/>
  <c r="IJ17" i="5"/>
  <c r="IF17" i="5"/>
  <c r="HT17" i="5"/>
  <c r="HP17" i="5"/>
  <c r="GV17" i="5"/>
  <c r="GU17" i="5"/>
  <c r="GR17" i="5"/>
  <c r="GQ17" i="5"/>
  <c r="FX17" i="5"/>
  <c r="FW17" i="5"/>
  <c r="FV17" i="5"/>
  <c r="FT17" i="5"/>
  <c r="FS17" i="5"/>
  <c r="FR17" i="5"/>
  <c r="DQ17" i="5"/>
  <c r="DR17" i="5" s="1"/>
  <c r="DI17" i="5"/>
  <c r="DJ17" i="5" s="1"/>
  <c r="DB17" i="5"/>
  <c r="CX17" i="5"/>
  <c r="CK17" i="5"/>
  <c r="CL17" i="5" s="1"/>
  <c r="CC17" i="5"/>
  <c r="CD17" i="5" s="1"/>
  <c r="BH17" i="5"/>
  <c r="BF17" i="5"/>
  <c r="BE17" i="5"/>
  <c r="BD17" i="5"/>
  <c r="BB17" i="5"/>
  <c r="AX17" i="5"/>
  <c r="AW17" i="5"/>
  <c r="AT17" i="5"/>
  <c r="AB17" i="5"/>
  <c r="AA17" i="5"/>
  <c r="Z17" i="5"/>
  <c r="X17" i="5"/>
  <c r="W17" i="5"/>
  <c r="V17" i="5"/>
  <c r="LC16" i="5"/>
  <c r="LB16" i="5"/>
  <c r="KY16" i="5"/>
  <c r="KX16" i="5"/>
  <c r="KT16" i="5"/>
  <c r="KP16" i="5"/>
  <c r="JH16" i="5"/>
  <c r="JG16" i="5"/>
  <c r="JF16" i="5"/>
  <c r="JD16" i="5"/>
  <c r="JC16" i="5"/>
  <c r="JB16" i="5"/>
  <c r="IP16" i="5"/>
  <c r="IL16" i="5"/>
  <c r="IJ16" i="5"/>
  <c r="IF16" i="5"/>
  <c r="HT16" i="5"/>
  <c r="HP16" i="5"/>
  <c r="GV16" i="5"/>
  <c r="GU16" i="5"/>
  <c r="GR16" i="5"/>
  <c r="GQ16" i="5"/>
  <c r="FX16" i="5"/>
  <c r="FW16" i="5"/>
  <c r="FV16" i="5"/>
  <c r="FU16" i="5"/>
  <c r="FT16" i="5"/>
  <c r="FS16" i="5"/>
  <c r="FR16" i="5"/>
  <c r="DB16" i="5"/>
  <c r="CX16" i="5"/>
  <c r="BH16" i="5"/>
  <c r="BF16" i="5"/>
  <c r="BD16" i="5"/>
  <c r="BB16" i="5"/>
  <c r="AX16" i="5"/>
  <c r="AW16" i="5"/>
  <c r="AT16" i="5"/>
  <c r="AB16" i="5"/>
  <c r="AA16" i="5"/>
  <c r="Z16" i="5"/>
  <c r="X16" i="5"/>
  <c r="W16" i="5"/>
  <c r="V16" i="5"/>
  <c r="LC15" i="5"/>
  <c r="LB15" i="5"/>
  <c r="KY15" i="5"/>
  <c r="KX15" i="5"/>
  <c r="KT15" i="5"/>
  <c r="KP15" i="5"/>
  <c r="KC15" i="5"/>
  <c r="KD15" i="5" s="1"/>
  <c r="JH15" i="5"/>
  <c r="JG15" i="5"/>
  <c r="JF15" i="5"/>
  <c r="JD15" i="5"/>
  <c r="JC15" i="5"/>
  <c r="JB15" i="5"/>
  <c r="IW15" i="5"/>
  <c r="IX15" i="5" s="1"/>
  <c r="IP15" i="5"/>
  <c r="IL15" i="5"/>
  <c r="IJ15" i="5"/>
  <c r="IG15" i="5"/>
  <c r="IF15" i="5"/>
  <c r="HT15" i="5"/>
  <c r="HP15" i="5"/>
  <c r="HI15" i="5"/>
  <c r="HJ15" i="5" s="1"/>
  <c r="GV15" i="5"/>
  <c r="GU15" i="5"/>
  <c r="GR15" i="5"/>
  <c r="GQ15" i="5"/>
  <c r="GK15" i="5"/>
  <c r="GL15" i="5" s="1"/>
  <c r="GC15" i="5"/>
  <c r="GE15" i="5" s="1"/>
  <c r="FX15" i="5"/>
  <c r="FW15" i="5"/>
  <c r="FV15" i="5"/>
  <c r="FU15" i="5"/>
  <c r="FT15" i="5"/>
  <c r="FS15" i="5"/>
  <c r="FR15" i="5"/>
  <c r="FE15" i="5"/>
  <c r="DQ15" i="5"/>
  <c r="DR15" i="5" s="1"/>
  <c r="DB15" i="5"/>
  <c r="CX15" i="5"/>
  <c r="BH15" i="5"/>
  <c r="BF15" i="5"/>
  <c r="BD15" i="5"/>
  <c r="BB15" i="5"/>
  <c r="AX15" i="5"/>
  <c r="AW15" i="5"/>
  <c r="AT15" i="5"/>
  <c r="AB15" i="5"/>
  <c r="AA15" i="5"/>
  <c r="Z15" i="5"/>
  <c r="X15" i="5"/>
  <c r="W15" i="5"/>
  <c r="V15" i="5"/>
  <c r="LC14" i="5"/>
  <c r="KY14" i="5"/>
  <c r="KT14" i="5"/>
  <c r="KP14" i="5"/>
  <c r="KC14" i="5"/>
  <c r="KD14" i="5" s="1"/>
  <c r="JH14" i="5"/>
  <c r="JG14" i="5"/>
  <c r="JF14" i="5"/>
  <c r="JD14" i="5"/>
  <c r="JC14" i="5"/>
  <c r="JB14" i="5"/>
  <c r="IW14" i="5"/>
  <c r="IX14" i="5" s="1"/>
  <c r="IP14" i="5"/>
  <c r="IJ14" i="5"/>
  <c r="IG14" i="5"/>
  <c r="IF14" i="5"/>
  <c r="HT14" i="5"/>
  <c r="HP14" i="5"/>
  <c r="HA14" i="5"/>
  <c r="HB14" i="5" s="1"/>
  <c r="GV14" i="5"/>
  <c r="GU14" i="5"/>
  <c r="GR14" i="5"/>
  <c r="GQ14" i="5"/>
  <c r="FX14" i="5"/>
  <c r="FW14" i="5"/>
  <c r="FV14" i="5"/>
  <c r="FU14" i="5"/>
  <c r="FT14" i="5"/>
  <c r="FS14" i="5"/>
  <c r="FR14" i="5"/>
  <c r="EO14" i="5"/>
  <c r="ER14" i="5" s="1"/>
  <c r="EG14" i="5"/>
  <c r="EH14" i="5" s="1"/>
  <c r="DB14" i="5"/>
  <c r="DA14" i="5"/>
  <c r="CX14" i="5"/>
  <c r="CS14" i="5"/>
  <c r="CT14" i="5" s="1"/>
  <c r="BU14" i="5"/>
  <c r="BV14" i="5" s="1"/>
  <c r="BM14" i="5"/>
  <c r="BN14" i="5" s="1"/>
  <c r="BH14" i="5"/>
  <c r="BF14" i="5"/>
  <c r="BD14" i="5"/>
  <c r="BB14" i="5"/>
  <c r="AX14" i="5"/>
  <c r="AT14" i="5"/>
  <c r="AO14" i="5"/>
  <c r="AP14" i="5" s="1"/>
  <c r="AB14" i="5"/>
  <c r="AA14" i="5"/>
  <c r="Z14" i="5"/>
  <c r="X14" i="5"/>
  <c r="W14" i="5"/>
  <c r="V14" i="5"/>
  <c r="LC13" i="5"/>
  <c r="LB13" i="5"/>
  <c r="KY13" i="5"/>
  <c r="KX13" i="5"/>
  <c r="KT13" i="5"/>
  <c r="KS13" i="5"/>
  <c r="KP13" i="5"/>
  <c r="JM13" i="5"/>
  <c r="JN13" i="5" s="1"/>
  <c r="JH13" i="5"/>
  <c r="JG13" i="5"/>
  <c r="JF13" i="5"/>
  <c r="JD13" i="5"/>
  <c r="JC13" i="5"/>
  <c r="JB13" i="5"/>
  <c r="IP13" i="5"/>
  <c r="IL13" i="5"/>
  <c r="IJ13" i="5"/>
  <c r="IG13" i="5"/>
  <c r="IF13" i="5"/>
  <c r="HT13" i="5"/>
  <c r="HP13" i="5"/>
  <c r="HA13" i="5"/>
  <c r="GV13" i="5"/>
  <c r="GU13" i="5"/>
  <c r="GR13" i="5"/>
  <c r="GQ13" i="5"/>
  <c r="FX13" i="5"/>
  <c r="FW13" i="5"/>
  <c r="FV13" i="5"/>
  <c r="FU13" i="5"/>
  <c r="FT13" i="5"/>
  <c r="FS13" i="5"/>
  <c r="FR13" i="5"/>
  <c r="DQ13" i="5"/>
  <c r="DR13" i="5" s="1"/>
  <c r="DB13" i="5"/>
  <c r="CX13" i="5"/>
  <c r="BH13" i="5"/>
  <c r="BF13" i="5"/>
  <c r="BD13" i="5"/>
  <c r="BB13" i="5"/>
  <c r="AX13" i="5"/>
  <c r="AT13" i="5"/>
  <c r="AB13" i="5"/>
  <c r="AA13" i="5"/>
  <c r="Z13" i="5"/>
  <c r="X13" i="5"/>
  <c r="W13" i="5"/>
  <c r="V13" i="5"/>
  <c r="LC12" i="5"/>
  <c r="LB12" i="5"/>
  <c r="KY12" i="5"/>
  <c r="KX12" i="5"/>
  <c r="KT12" i="5"/>
  <c r="KP12" i="5"/>
  <c r="JM12" i="5"/>
  <c r="JN12" i="5" s="1"/>
  <c r="JH12" i="5"/>
  <c r="JG12" i="5"/>
  <c r="JF12" i="5"/>
  <c r="JD12" i="5"/>
  <c r="JC12" i="5"/>
  <c r="JB12" i="5"/>
  <c r="IP12" i="5"/>
  <c r="IL12" i="5"/>
  <c r="IJ12" i="5"/>
  <c r="IF12" i="5"/>
  <c r="HT12" i="5"/>
  <c r="HP12" i="5"/>
  <c r="GV12" i="5"/>
  <c r="GU12" i="5"/>
  <c r="GR12" i="5"/>
  <c r="GQ12" i="5"/>
  <c r="FX12" i="5"/>
  <c r="FW12" i="5"/>
  <c r="FV12" i="5"/>
  <c r="FT12" i="5"/>
  <c r="FS12" i="5"/>
  <c r="FR12" i="5"/>
  <c r="DY12" i="5"/>
  <c r="DZ12" i="5" s="1"/>
  <c r="DB12" i="5"/>
  <c r="CX12" i="5"/>
  <c r="BM12" i="5"/>
  <c r="BN12" i="5" s="1"/>
  <c r="BH12" i="5"/>
  <c r="BF12" i="5"/>
  <c r="BD12" i="5"/>
  <c r="BB12" i="5"/>
  <c r="AX12" i="5"/>
  <c r="AT12" i="5"/>
  <c r="AB12" i="5"/>
  <c r="AA12" i="5"/>
  <c r="Z12" i="5"/>
  <c r="X12" i="5"/>
  <c r="W12" i="5"/>
  <c r="V12" i="5"/>
  <c r="LC11" i="5"/>
  <c r="LB11" i="5"/>
  <c r="KY11" i="5"/>
  <c r="KX11" i="5"/>
  <c r="KT11" i="5"/>
  <c r="KP11" i="5"/>
  <c r="JH11" i="5"/>
  <c r="JG11" i="5"/>
  <c r="JF11" i="5"/>
  <c r="JD11" i="5"/>
  <c r="JC11" i="5"/>
  <c r="JB11" i="5"/>
  <c r="IP11" i="5"/>
  <c r="IL11" i="5"/>
  <c r="IJ11" i="5"/>
  <c r="IF11" i="5"/>
  <c r="HT11" i="5"/>
  <c r="HP11" i="5"/>
  <c r="GV11" i="5"/>
  <c r="GU11" i="5"/>
  <c r="GR11" i="5"/>
  <c r="GQ11" i="5"/>
  <c r="FX11" i="5"/>
  <c r="FW11" i="5"/>
  <c r="FV11" i="5"/>
  <c r="FT11" i="5"/>
  <c r="FS11" i="5"/>
  <c r="FR11" i="5"/>
  <c r="EO11" i="5"/>
  <c r="ER11" i="5" s="1"/>
  <c r="DQ11" i="5"/>
  <c r="DR11" i="5" s="1"/>
  <c r="DB11" i="5"/>
  <c r="CX11" i="5"/>
  <c r="CK11" i="5"/>
  <c r="CL11" i="5" s="1"/>
  <c r="BH11" i="5"/>
  <c r="BF11" i="5"/>
  <c r="BE11" i="5"/>
  <c r="BD11" i="5"/>
  <c r="BB11" i="5"/>
  <c r="AX11" i="5"/>
  <c r="AT11" i="5"/>
  <c r="AB11" i="5"/>
  <c r="AA11" i="5"/>
  <c r="Z11" i="5"/>
  <c r="X11" i="5"/>
  <c r="W11" i="5"/>
  <c r="V11" i="5"/>
  <c r="LC10" i="5"/>
  <c r="LB10" i="5"/>
  <c r="KY10" i="5"/>
  <c r="KX10" i="5"/>
  <c r="KT10" i="5"/>
  <c r="KP10" i="5"/>
  <c r="KL10" i="5"/>
  <c r="KH10" i="5"/>
  <c r="JH10" i="5"/>
  <c r="JG10" i="5"/>
  <c r="JF10" i="5"/>
  <c r="JD10" i="5"/>
  <c r="JC10" i="5"/>
  <c r="JB10" i="5"/>
  <c r="IP10" i="5"/>
  <c r="IL10" i="5"/>
  <c r="IJ10" i="5"/>
  <c r="IF10" i="5"/>
  <c r="HT10" i="5"/>
  <c r="HP10" i="5"/>
  <c r="GV10" i="5"/>
  <c r="GU10" i="5"/>
  <c r="GR10" i="5"/>
  <c r="GQ10" i="5"/>
  <c r="FX10" i="5"/>
  <c r="FW10" i="5"/>
  <c r="FV10" i="5"/>
  <c r="FT10" i="5"/>
  <c r="FS10" i="5"/>
  <c r="FR10" i="5"/>
  <c r="DB10" i="5"/>
  <c r="CX10" i="5"/>
  <c r="BH10" i="5"/>
  <c r="BF10" i="5"/>
  <c r="BD10" i="5"/>
  <c r="BB10" i="5"/>
  <c r="AX10" i="5"/>
  <c r="AT10" i="5"/>
  <c r="AO10" i="5"/>
  <c r="AP10" i="5" s="1"/>
  <c r="AB10" i="5"/>
  <c r="AA10" i="5"/>
  <c r="Z10" i="5"/>
  <c r="X10" i="5"/>
  <c r="W10" i="5"/>
  <c r="V10" i="5"/>
  <c r="E206" i="4"/>
  <c r="VO29" i="21" s="1"/>
  <c r="E192" i="4"/>
  <c r="VO28" i="21" s="1"/>
  <c r="E168" i="4"/>
  <c r="VO27" i="21" s="1"/>
  <c r="E154" i="4"/>
  <c r="VO26" i="21" s="1"/>
  <c r="E9" i="4"/>
  <c r="VM15" i="21" s="1"/>
  <c r="E133" i="4"/>
  <c r="VO25" i="21" s="1"/>
  <c r="E123" i="4"/>
  <c r="VO24" i="21" s="1"/>
  <c r="E108" i="4"/>
  <c r="VO23" i="21" s="1"/>
  <c r="E101" i="4"/>
  <c r="VO22" i="21" s="1"/>
  <c r="E8" i="4"/>
  <c r="VM14" i="21" s="1"/>
  <c r="E84" i="4"/>
  <c r="VO21" i="21" s="1"/>
  <c r="E69" i="4"/>
  <c r="VO20" i="21" s="1"/>
  <c r="E56" i="4"/>
  <c r="VO19" i="21" s="1"/>
  <c r="E7" i="4"/>
  <c r="VM13" i="21" s="1"/>
  <c r="E40" i="4"/>
  <c r="VO18" i="21" s="1"/>
  <c r="E26" i="4"/>
  <c r="VO17" i="21" s="1"/>
  <c r="E10" i="4"/>
  <c r="VO16" i="21" s="1"/>
  <c r="E6" i="4"/>
  <c r="G41" i="3"/>
  <c r="E500" i="11" l="1"/>
  <c r="E494" i="11"/>
  <c r="F136" i="11"/>
  <c r="I21" i="8"/>
  <c r="G21" i="8" s="1"/>
  <c r="CY13" i="16"/>
  <c r="E503" i="11"/>
  <c r="G503" i="11" s="1"/>
  <c r="G502" i="11"/>
  <c r="I507" i="11"/>
  <c r="I505" i="11"/>
  <c r="BE26" i="20"/>
  <c r="AE37" i="20"/>
  <c r="Q37" i="20"/>
  <c r="G25" i="19"/>
  <c r="VA29" i="21" s="1"/>
  <c r="BF28" i="17" s="1"/>
  <c r="C8" i="20"/>
  <c r="VM12" i="21"/>
  <c r="E5" i="4"/>
  <c r="G474" i="11"/>
  <c r="I474" i="11" s="1"/>
  <c r="G134" i="11"/>
  <c r="K131" i="11" s="1"/>
  <c r="H21" i="8"/>
  <c r="D515" i="11"/>
  <c r="F539" i="11"/>
  <c r="F115" i="11"/>
  <c r="CY28" i="16"/>
  <c r="I32" i="5"/>
  <c r="I120" i="11"/>
  <c r="G116" i="11"/>
  <c r="CY18" i="16"/>
  <c r="Y26" i="5"/>
  <c r="CY25" i="16"/>
  <c r="CY15" i="16"/>
  <c r="CY23" i="16"/>
  <c r="CY24" i="16"/>
  <c r="CY32" i="16"/>
  <c r="CY22" i="16"/>
  <c r="CY14" i="16"/>
  <c r="CY20" i="16"/>
  <c r="CY21" i="16"/>
  <c r="CY12" i="16"/>
  <c r="CY19" i="16"/>
  <c r="CY11" i="16"/>
  <c r="CY16" i="16"/>
  <c r="CY17" i="16"/>
  <c r="CY27" i="16"/>
  <c r="CY26" i="16"/>
  <c r="CY31" i="16"/>
  <c r="C62" i="15"/>
  <c r="C8" i="7"/>
  <c r="F8" i="7" s="1"/>
  <c r="E539" i="11"/>
  <c r="E115" i="11"/>
  <c r="D300" i="11"/>
  <c r="D267" i="11"/>
  <c r="G459" i="11"/>
  <c r="I459" i="11" s="1"/>
  <c r="D47" i="11"/>
  <c r="D366" i="11"/>
  <c r="H457" i="11"/>
  <c r="D549" i="11"/>
  <c r="H331" i="11"/>
  <c r="G224" i="11"/>
  <c r="I224" i="11" s="1"/>
  <c r="CX22" i="16"/>
  <c r="CX23" i="16"/>
  <c r="CX14" i="16"/>
  <c r="CX12" i="16"/>
  <c r="CX13" i="16"/>
  <c r="CX19" i="16"/>
  <c r="CX28" i="16"/>
  <c r="CX32" i="16"/>
  <c r="CX21" i="16"/>
  <c r="CX18" i="16"/>
  <c r="CX11" i="16"/>
  <c r="CX16" i="16"/>
  <c r="CX17" i="16"/>
  <c r="CX27" i="16"/>
  <c r="CX31" i="16"/>
  <c r="CX25" i="16"/>
  <c r="CX26" i="16"/>
  <c r="CX20" i="16"/>
  <c r="B62" i="15"/>
  <c r="D62" i="15" s="1"/>
  <c r="CX15" i="16"/>
  <c r="CX24" i="16"/>
  <c r="M41" i="5"/>
  <c r="Y30" i="5"/>
  <c r="Z30" i="5" s="1"/>
  <c r="G29" i="9"/>
  <c r="F61" i="9"/>
  <c r="F67" i="9" s="1"/>
  <c r="F25" i="9"/>
  <c r="Y11" i="5"/>
  <c r="G30" i="9"/>
  <c r="E61" i="9"/>
  <c r="G36" i="20"/>
  <c r="Q33" i="20"/>
  <c r="Q43" i="20" s="1"/>
  <c r="Q45" i="20" s="1"/>
  <c r="BI36" i="17"/>
  <c r="G39" i="17"/>
  <c r="AW39" i="17"/>
  <c r="AB41" i="17"/>
  <c r="BN33" i="17"/>
  <c r="Y36" i="17"/>
  <c r="V41" i="17"/>
  <c r="BM33" i="17"/>
  <c r="BU16" i="5"/>
  <c r="BV16" i="5" s="1"/>
  <c r="O17" i="16"/>
  <c r="O27" i="16"/>
  <c r="O16" i="16"/>
  <c r="O31" i="16"/>
  <c r="Y23" i="5"/>
  <c r="BU10" i="5"/>
  <c r="BV10" i="5" s="1"/>
  <c r="O11" i="16"/>
  <c r="O15" i="16"/>
  <c r="O12" i="16"/>
  <c r="G8" i="10"/>
  <c r="G14" i="10" s="1"/>
  <c r="I14" i="10" s="1"/>
  <c r="HQ26" i="5"/>
  <c r="AC33" i="20"/>
  <c r="AC43" i="20" s="1"/>
  <c r="AC45" i="20" s="1"/>
  <c r="I37" i="11"/>
  <c r="I125" i="11"/>
  <c r="O21" i="16"/>
  <c r="KK13" i="5"/>
  <c r="KK28" i="5" s="1"/>
  <c r="O14" i="16"/>
  <c r="EO12" i="5"/>
  <c r="ER12" i="5" s="1"/>
  <c r="O13" i="16"/>
  <c r="DA27" i="5"/>
  <c r="O28" i="16"/>
  <c r="O23" i="16"/>
  <c r="BM31" i="5"/>
  <c r="BN31" i="5" s="1"/>
  <c r="O32" i="16"/>
  <c r="HQ14" i="5"/>
  <c r="HR14" i="5" s="1"/>
  <c r="R14" i="5" s="1"/>
  <c r="G14" i="5" s="1"/>
  <c r="HQ15" i="5"/>
  <c r="HR15" i="5" s="1"/>
  <c r="R15" i="5" s="1"/>
  <c r="G15" i="5" s="1"/>
  <c r="D328" i="11"/>
  <c r="D269" i="11" s="1"/>
  <c r="HQ21" i="5"/>
  <c r="HR21" i="5" s="1"/>
  <c r="R21" i="5" s="1"/>
  <c r="G21" i="5" s="1"/>
  <c r="O22" i="16"/>
  <c r="BQ11" i="5"/>
  <c r="BR11" i="5" s="1"/>
  <c r="BQ12" i="5"/>
  <c r="BR12" i="5" s="1"/>
  <c r="BQ14" i="5"/>
  <c r="BR14" i="5" s="1"/>
  <c r="HQ23" i="5"/>
  <c r="HR23" i="5" s="1"/>
  <c r="R23" i="5" s="1"/>
  <c r="G23" i="5" s="1"/>
  <c r="O24" i="16"/>
  <c r="HQ24" i="5"/>
  <c r="HR24" i="5" s="1"/>
  <c r="O25" i="16"/>
  <c r="BQ31" i="5"/>
  <c r="BR31" i="5" s="1"/>
  <c r="BQ13" i="5"/>
  <c r="BR13" i="5" s="1"/>
  <c r="BQ15" i="5"/>
  <c r="BR15" i="5" s="1"/>
  <c r="BQ16" i="5"/>
  <c r="BR16" i="5" s="1"/>
  <c r="BQ18" i="5"/>
  <c r="BR18" i="5" s="1"/>
  <c r="HQ25" i="5"/>
  <c r="O26" i="16"/>
  <c r="HQ17" i="5"/>
  <c r="HR17" i="5" s="1"/>
  <c r="R17" i="5" s="1"/>
  <c r="G17" i="5" s="1"/>
  <c r="O18" i="16"/>
  <c r="BQ17" i="5"/>
  <c r="BR17" i="5" s="1"/>
  <c r="BQ19" i="5"/>
  <c r="BR19" i="5" s="1"/>
  <c r="BQ20" i="5"/>
  <c r="BR20" i="5" s="1"/>
  <c r="BQ22" i="5"/>
  <c r="BR22" i="5" s="1"/>
  <c r="HQ18" i="5"/>
  <c r="Q18" i="5" s="1"/>
  <c r="O19" i="16"/>
  <c r="BQ21" i="5"/>
  <c r="BR21" i="5" s="1"/>
  <c r="BQ23" i="5"/>
  <c r="BR23" i="5" s="1"/>
  <c r="BQ24" i="5"/>
  <c r="BR24" i="5" s="1"/>
  <c r="HQ19" i="5"/>
  <c r="Q19" i="5" s="1"/>
  <c r="O20" i="16"/>
  <c r="BQ25" i="5"/>
  <c r="BR25" i="5" s="1"/>
  <c r="BQ27" i="5"/>
  <c r="BR27" i="5" s="1"/>
  <c r="BQ10" i="5"/>
  <c r="BR10" i="5" s="1"/>
  <c r="BQ26" i="5"/>
  <c r="BR26" i="5" s="1"/>
  <c r="BQ30" i="5"/>
  <c r="BR30" i="5" s="1"/>
  <c r="T20" i="5"/>
  <c r="I20" i="5" s="1"/>
  <c r="C24" i="19"/>
  <c r="UW28" i="21" s="1"/>
  <c r="AT27" i="17" s="1"/>
  <c r="BB18" i="19"/>
  <c r="BB12" i="19"/>
  <c r="C25" i="19"/>
  <c r="UW29" i="21" s="1"/>
  <c r="AT28" i="17" s="1"/>
  <c r="C23" i="19"/>
  <c r="UW27" i="21" s="1"/>
  <c r="AT26" i="17" s="1"/>
  <c r="C22" i="19"/>
  <c r="UW26" i="21" s="1"/>
  <c r="AT25" i="17" s="1"/>
  <c r="C21" i="19"/>
  <c r="UW25" i="21" s="1"/>
  <c r="AT23" i="17" s="1"/>
  <c r="C20" i="19"/>
  <c r="UW24" i="21" s="1"/>
  <c r="AT22" i="17" s="1"/>
  <c r="BB19" i="19"/>
  <c r="BB16" i="19"/>
  <c r="C15" i="19"/>
  <c r="UW19" i="21" s="1"/>
  <c r="AT16" i="17" s="1"/>
  <c r="C14" i="19"/>
  <c r="UW18" i="21" s="1"/>
  <c r="AT14" i="17" s="1"/>
  <c r="BB13" i="19"/>
  <c r="Y14" i="5"/>
  <c r="Y16" i="5"/>
  <c r="BG33" i="20"/>
  <c r="BG43" i="20" s="1"/>
  <c r="BG45" i="20" s="1"/>
  <c r="AA33" i="20"/>
  <c r="AA43" i="20" s="1"/>
  <c r="AA45" i="20" s="1"/>
  <c r="U25" i="5"/>
  <c r="BI33" i="20"/>
  <c r="BI43" i="20" s="1"/>
  <c r="BI45" i="20" s="1"/>
  <c r="E36" i="20"/>
  <c r="W36" i="20"/>
  <c r="AO36" i="20"/>
  <c r="I70" i="9"/>
  <c r="G42" i="9"/>
  <c r="G40" i="9" s="1"/>
  <c r="I40" i="9" s="1"/>
  <c r="E40" i="9"/>
  <c r="G10" i="7"/>
  <c r="D100" i="11"/>
  <c r="D102" i="11" s="1"/>
  <c r="G411" i="11"/>
  <c r="I411" i="11" s="1"/>
  <c r="H456" i="11"/>
  <c r="H488" i="11"/>
  <c r="D22" i="11"/>
  <c r="J299" i="11"/>
  <c r="J311" i="11"/>
  <c r="C28" i="8"/>
  <c r="F28" i="8" s="1"/>
  <c r="H36" i="11"/>
  <c r="H45" i="11"/>
  <c r="I10" i="6"/>
  <c r="G10" i="6" s="1"/>
  <c r="J209" i="11"/>
  <c r="D399" i="11"/>
  <c r="C8" i="6" s="1"/>
  <c r="F8" i="6" s="1"/>
  <c r="D464" i="11"/>
  <c r="D514" i="11" s="1"/>
  <c r="I503" i="11"/>
  <c r="C29" i="8"/>
  <c r="F29" i="8" s="1"/>
  <c r="D8" i="11"/>
  <c r="E264" i="11"/>
  <c r="H264" i="11" s="1"/>
  <c r="H465" i="11"/>
  <c r="U21" i="20"/>
  <c r="U22" i="20"/>
  <c r="Q22" i="19"/>
  <c r="T21" i="5"/>
  <c r="I21" i="5" s="1"/>
  <c r="Q23" i="19"/>
  <c r="Q24" i="19"/>
  <c r="AE41" i="20"/>
  <c r="Q25" i="19"/>
  <c r="Q11" i="19"/>
  <c r="Q21" i="19"/>
  <c r="Q20" i="19"/>
  <c r="KN35" i="5"/>
  <c r="IZ35" i="5"/>
  <c r="JX35" i="5"/>
  <c r="T13" i="5"/>
  <c r="I13" i="5" s="1"/>
  <c r="T26" i="5"/>
  <c r="I26" i="5" s="1"/>
  <c r="T14" i="5"/>
  <c r="I14" i="5" s="1"/>
  <c r="T17" i="5"/>
  <c r="I17" i="5" s="1"/>
  <c r="T18" i="5"/>
  <c r="I18" i="5" s="1"/>
  <c r="T24" i="5"/>
  <c r="I24" i="5" s="1"/>
  <c r="Y17" i="5"/>
  <c r="E18" i="16"/>
  <c r="T25" i="5"/>
  <c r="I25" i="5" s="1"/>
  <c r="Y21" i="5"/>
  <c r="E22" i="16"/>
  <c r="T16" i="5"/>
  <c r="I16" i="5" s="1"/>
  <c r="Y24" i="5"/>
  <c r="E25" i="16"/>
  <c r="Y25" i="5"/>
  <c r="E26" i="16"/>
  <c r="T11" i="5"/>
  <c r="I11" i="5" s="1"/>
  <c r="T10" i="5"/>
  <c r="I10" i="5" s="1"/>
  <c r="T15" i="5"/>
  <c r="I15" i="5" s="1"/>
  <c r="T23" i="5"/>
  <c r="I23" i="5" s="1"/>
  <c r="H11" i="6"/>
  <c r="Y27" i="5"/>
  <c r="E28" i="16"/>
  <c r="T19" i="5"/>
  <c r="I19" i="5" s="1"/>
  <c r="Q22" i="5"/>
  <c r="T27" i="5"/>
  <c r="I27" i="5" s="1"/>
  <c r="Y10" i="5"/>
  <c r="E11" i="16"/>
  <c r="BC36" i="17"/>
  <c r="T12" i="5"/>
  <c r="I12" i="5" s="1"/>
  <c r="Q20" i="5"/>
  <c r="Y12" i="5"/>
  <c r="Q12" i="5" s="1"/>
  <c r="E13" i="16"/>
  <c r="Y31" i="5"/>
  <c r="Z31" i="5" s="1"/>
  <c r="E32" i="16"/>
  <c r="Q11" i="5"/>
  <c r="T22" i="5"/>
  <c r="I22" i="5" s="1"/>
  <c r="Y13" i="5"/>
  <c r="E14" i="16"/>
  <c r="Y15" i="5"/>
  <c r="E16" i="16"/>
  <c r="P19" i="5"/>
  <c r="E19" i="5" s="1"/>
  <c r="P14" i="5"/>
  <c r="E14" i="5" s="1"/>
  <c r="P22" i="5"/>
  <c r="E22" i="5" s="1"/>
  <c r="U21" i="5"/>
  <c r="D22" i="16"/>
  <c r="U22" i="5"/>
  <c r="D23" i="16"/>
  <c r="U12" i="5"/>
  <c r="D13" i="16"/>
  <c r="P12" i="5"/>
  <c r="E12" i="5" s="1"/>
  <c r="P17" i="5"/>
  <c r="E17" i="5" s="1"/>
  <c r="P18" i="5"/>
  <c r="E18" i="5" s="1"/>
  <c r="U11" i="5"/>
  <c r="D12" i="16"/>
  <c r="P11" i="5"/>
  <c r="E11" i="5" s="1"/>
  <c r="P16" i="5"/>
  <c r="E16" i="5" s="1"/>
  <c r="P20" i="5"/>
  <c r="E20" i="5" s="1"/>
  <c r="U27" i="5"/>
  <c r="D28" i="16"/>
  <c r="P24" i="5"/>
  <c r="E24" i="5" s="1"/>
  <c r="P15" i="5"/>
  <c r="E15" i="5" s="1"/>
  <c r="P23" i="5"/>
  <c r="E23" i="5" s="1"/>
  <c r="P25" i="5"/>
  <c r="E25" i="5" s="1"/>
  <c r="U10" i="5"/>
  <c r="D11" i="16"/>
  <c r="U31" i="5"/>
  <c r="D32" i="16"/>
  <c r="P13" i="5"/>
  <c r="E13" i="5" s="1"/>
  <c r="U13" i="5"/>
  <c r="D14" i="16"/>
  <c r="U14" i="5"/>
  <c r="D15" i="16"/>
  <c r="U15" i="5"/>
  <c r="D16" i="16"/>
  <c r="U16" i="5"/>
  <c r="D17" i="16"/>
  <c r="P21" i="5"/>
  <c r="E21" i="5" s="1"/>
  <c r="P26" i="5"/>
  <c r="E26" i="5" s="1"/>
  <c r="P27" i="5"/>
  <c r="E27" i="5" s="1"/>
  <c r="U17" i="5"/>
  <c r="D18" i="16"/>
  <c r="U18" i="5"/>
  <c r="D19" i="16"/>
  <c r="U19" i="5"/>
  <c r="D20" i="16"/>
  <c r="U20" i="5"/>
  <c r="D21" i="16"/>
  <c r="D9" i="11"/>
  <c r="H361" i="11"/>
  <c r="G460" i="11"/>
  <c r="J65" i="11"/>
  <c r="D212" i="11"/>
  <c r="D205" i="11"/>
  <c r="G12" i="11"/>
  <c r="I12" i="11" s="1"/>
  <c r="H107" i="11"/>
  <c r="G148" i="11"/>
  <c r="I148" i="11" s="1"/>
  <c r="D138" i="11"/>
  <c r="G324" i="11"/>
  <c r="I324" i="11" s="1"/>
  <c r="H375" i="11"/>
  <c r="G408" i="11"/>
  <c r="I408" i="11" s="1"/>
  <c r="G500" i="11"/>
  <c r="I500" i="11" s="1"/>
  <c r="E186" i="11"/>
  <c r="H13" i="7" s="1"/>
  <c r="H247" i="11"/>
  <c r="G356" i="11"/>
  <c r="I356" i="11" s="1"/>
  <c r="G455" i="11"/>
  <c r="I455" i="11" s="1"/>
  <c r="F186" i="11"/>
  <c r="G264" i="11"/>
  <c r="I264" i="11" s="1"/>
  <c r="J190" i="11"/>
  <c r="I170" i="11"/>
  <c r="G139" i="11"/>
  <c r="E257" i="11"/>
  <c r="H257" i="11" s="1"/>
  <c r="G265" i="11"/>
  <c r="I265" i="11" s="1"/>
  <c r="DC33" i="16"/>
  <c r="DC41" i="16" s="1"/>
  <c r="CK18" i="16"/>
  <c r="CI18" i="16" s="1"/>
  <c r="DJ18" i="16" s="1"/>
  <c r="U15" i="20"/>
  <c r="U28" i="20"/>
  <c r="U11" i="20"/>
  <c r="U13" i="20"/>
  <c r="U9" i="20"/>
  <c r="U23" i="20"/>
  <c r="U16" i="20"/>
  <c r="U29" i="20"/>
  <c r="U14" i="20"/>
  <c r="U24" i="20"/>
  <c r="JD32" i="5"/>
  <c r="AE39" i="17"/>
  <c r="M33" i="17"/>
  <c r="M41" i="17" s="1"/>
  <c r="KT32" i="5"/>
  <c r="FF28" i="5"/>
  <c r="JC32" i="5"/>
  <c r="I9" i="6"/>
  <c r="G9" i="6" s="1"/>
  <c r="EO31" i="5"/>
  <c r="EP31" i="5" s="1"/>
  <c r="I12" i="8"/>
  <c r="G12" i="8" s="1"/>
  <c r="JF32" i="5"/>
  <c r="AO33" i="16"/>
  <c r="AO41" i="16" s="1"/>
  <c r="HR11" i="5"/>
  <c r="Q33" i="16"/>
  <c r="Q41" i="16" s="1"/>
  <c r="Y33" i="16"/>
  <c r="Y41" i="16" s="1"/>
  <c r="AG33" i="16"/>
  <c r="AG41" i="16" s="1"/>
  <c r="FB28" i="5"/>
  <c r="D54" i="9"/>
  <c r="D58" i="9" s="1"/>
  <c r="O36" i="20"/>
  <c r="AI36" i="20"/>
  <c r="AK33" i="20"/>
  <c r="AK43" i="20" s="1"/>
  <c r="AK45" i="20" s="1"/>
  <c r="BA33" i="20"/>
  <c r="BA43" i="20" s="1"/>
  <c r="BA45" i="20" s="1"/>
  <c r="BB15" i="19"/>
  <c r="C18" i="19"/>
  <c r="UW22" i="21" s="1"/>
  <c r="C16" i="19"/>
  <c r="UW20" i="21" s="1"/>
  <c r="AT17" i="17" s="1"/>
  <c r="C13" i="19"/>
  <c r="UW17" i="21" s="1"/>
  <c r="AT13" i="17" s="1"/>
  <c r="D67" i="9"/>
  <c r="I33" i="20"/>
  <c r="I43" i="20" s="1"/>
  <c r="I45" i="20" s="1"/>
  <c r="C9" i="19"/>
  <c r="UW13" i="21" s="1"/>
  <c r="VG13" i="21"/>
  <c r="VG20" i="21"/>
  <c r="VE20" i="21" s="1"/>
  <c r="AI17" i="17" s="1"/>
  <c r="VG26" i="21"/>
  <c r="VE26" i="21" s="1"/>
  <c r="AI25" i="17" s="1"/>
  <c r="VG25" i="21"/>
  <c r="VE25" i="21" s="1"/>
  <c r="AI23" i="17" s="1"/>
  <c r="VG15" i="21"/>
  <c r="VE15" i="21" s="1"/>
  <c r="AI24" i="17" s="1"/>
  <c r="VG21" i="21"/>
  <c r="VE21" i="21" s="1"/>
  <c r="AI18" i="17" s="1"/>
  <c r="VG27" i="21"/>
  <c r="VE27" i="21" s="1"/>
  <c r="AI26" i="17" s="1"/>
  <c r="VG14" i="21"/>
  <c r="VE14" i="21" s="1"/>
  <c r="AI19" i="17" s="1"/>
  <c r="AU12" i="17"/>
  <c r="VG22" i="21"/>
  <c r="VE22" i="21" s="1"/>
  <c r="AI20" i="17" s="1"/>
  <c r="VG29" i="21"/>
  <c r="VE29" i="21" s="1"/>
  <c r="AI28" i="17" s="1"/>
  <c r="VG28" i="21"/>
  <c r="VE28" i="21" s="1"/>
  <c r="AI27" i="17" s="1"/>
  <c r="VG17" i="21"/>
  <c r="VE17" i="21" s="1"/>
  <c r="AI13" i="17" s="1"/>
  <c r="VG23" i="21"/>
  <c r="VG19" i="21"/>
  <c r="VE19" i="21" s="1"/>
  <c r="AI16" i="17" s="1"/>
  <c r="VG18" i="21"/>
  <c r="VE18" i="21" s="1"/>
  <c r="AI14" i="17" s="1"/>
  <c r="VG24" i="21"/>
  <c r="VE24" i="21" s="1"/>
  <c r="AI22" i="17" s="1"/>
  <c r="CK16" i="16"/>
  <c r="CI16" i="16" s="1"/>
  <c r="DJ16" i="16" s="1"/>
  <c r="CK27" i="16"/>
  <c r="CI27" i="16" s="1"/>
  <c r="DJ27" i="16" s="1"/>
  <c r="AU13" i="17"/>
  <c r="AU17" i="17"/>
  <c r="AU21" i="17"/>
  <c r="AU25" i="17"/>
  <c r="AU28" i="17"/>
  <c r="CK14" i="16"/>
  <c r="CI14" i="16" s="1"/>
  <c r="DJ14" i="16" s="1"/>
  <c r="CK23" i="16"/>
  <c r="CI23" i="16" s="1"/>
  <c r="DJ23" i="16" s="1"/>
  <c r="CK25" i="16"/>
  <c r="CI25" i="16" s="1"/>
  <c r="DJ25" i="16" s="1"/>
  <c r="CK12" i="16"/>
  <c r="CI12" i="16" s="1"/>
  <c r="DJ12" i="16" s="1"/>
  <c r="CK21" i="16"/>
  <c r="CI21" i="16" s="1"/>
  <c r="DJ21" i="16" s="1"/>
  <c r="AU16" i="17"/>
  <c r="AU20" i="17"/>
  <c r="AU27" i="17"/>
  <c r="CK19" i="16"/>
  <c r="CI19" i="16" s="1"/>
  <c r="DJ19" i="16" s="1"/>
  <c r="CK28" i="16"/>
  <c r="CI28" i="16" s="1"/>
  <c r="DJ28" i="16" s="1"/>
  <c r="VO30" i="21"/>
  <c r="VG16" i="21"/>
  <c r="VE16" i="21" s="1"/>
  <c r="AI12" i="17" s="1"/>
  <c r="CK17" i="16"/>
  <c r="CI17" i="16" s="1"/>
  <c r="DJ17" i="16" s="1"/>
  <c r="AU23" i="17"/>
  <c r="AU26" i="17"/>
  <c r="CK15" i="16"/>
  <c r="CI15" i="16" s="1"/>
  <c r="DJ15" i="16" s="1"/>
  <c r="CK22" i="16"/>
  <c r="CI22" i="16" s="1"/>
  <c r="DJ22" i="16" s="1"/>
  <c r="CK24" i="16"/>
  <c r="CI24" i="16" s="1"/>
  <c r="DJ24" i="16" s="1"/>
  <c r="CK26" i="16"/>
  <c r="CI26" i="16" s="1"/>
  <c r="DJ26" i="16" s="1"/>
  <c r="CK13" i="16"/>
  <c r="CI13" i="16" s="1"/>
  <c r="DJ13" i="16" s="1"/>
  <c r="CK20" i="16"/>
  <c r="CI20" i="16" s="1"/>
  <c r="DJ20" i="16" s="1"/>
  <c r="AU14" i="17"/>
  <c r="AU18" i="17"/>
  <c r="AU22" i="17"/>
  <c r="AZ27" i="19"/>
  <c r="P3" i="5"/>
  <c r="B28" i="20"/>
  <c r="S36" i="20"/>
  <c r="AM36" i="20"/>
  <c r="H287" i="11"/>
  <c r="HB32" i="5"/>
  <c r="I16" i="8"/>
  <c r="G16" i="8" s="1"/>
  <c r="HR27" i="5"/>
  <c r="CW32" i="5"/>
  <c r="AO27" i="5"/>
  <c r="AP27" i="5" s="1"/>
  <c r="HQ32" i="5"/>
  <c r="JB32" i="5"/>
  <c r="I29" i="8"/>
  <c r="G29" i="8" s="1"/>
  <c r="I144" i="11"/>
  <c r="I139" i="11"/>
  <c r="DZ32" i="5"/>
  <c r="FU30" i="5"/>
  <c r="FU32" i="5" s="1"/>
  <c r="I14" i="7"/>
  <c r="G14" i="7" s="1"/>
  <c r="CC30" i="5"/>
  <c r="CD30" i="5" s="1"/>
  <c r="CD32" i="5" s="1"/>
  <c r="GL32" i="5"/>
  <c r="I22" i="6"/>
  <c r="G22" i="6" s="1"/>
  <c r="K40" i="16"/>
  <c r="CM40" i="16"/>
  <c r="CU40" i="16"/>
  <c r="DG40" i="16"/>
  <c r="BN32" i="5"/>
  <c r="I7" i="8"/>
  <c r="G7" i="8" s="1"/>
  <c r="AW30" i="5"/>
  <c r="AW32" i="5" s="1"/>
  <c r="B16" i="20"/>
  <c r="UT20" i="21" s="1"/>
  <c r="M36" i="20"/>
  <c r="AG36" i="20"/>
  <c r="AW36" i="20"/>
  <c r="Q36" i="20"/>
  <c r="H46" i="11"/>
  <c r="G46" i="11"/>
  <c r="I46" i="11" s="1"/>
  <c r="F435" i="11"/>
  <c r="H435" i="11" s="1"/>
  <c r="I15" i="7"/>
  <c r="G15" i="7" s="1"/>
  <c r="G45" i="11"/>
  <c r="I45" i="11" s="1"/>
  <c r="A3" i="14"/>
  <c r="A3" i="15" s="1"/>
  <c r="F3" i="16" s="1"/>
  <c r="AL29" i="16"/>
  <c r="DF40" i="16"/>
  <c r="J40" i="16"/>
  <c r="BB9" i="19"/>
  <c r="AI32" i="17"/>
  <c r="AD29" i="16"/>
  <c r="AT18" i="19"/>
  <c r="EK30" i="5"/>
  <c r="EL30" i="5" s="1"/>
  <c r="G338" i="11"/>
  <c r="I338" i="11" s="1"/>
  <c r="AT22" i="19"/>
  <c r="CW10" i="5"/>
  <c r="CY10" i="5" s="1"/>
  <c r="H19" i="8"/>
  <c r="BG20" i="19"/>
  <c r="I26" i="8"/>
  <c r="G26" i="8" s="1"/>
  <c r="AB33" i="16"/>
  <c r="AB41" i="16" s="1"/>
  <c r="AR33" i="16"/>
  <c r="AR41" i="16" s="1"/>
  <c r="BH33" i="16"/>
  <c r="BH41" i="16" s="1"/>
  <c r="BR33" i="16"/>
  <c r="BR41" i="16" s="1"/>
  <c r="BZ33" i="16"/>
  <c r="BZ41" i="16" s="1"/>
  <c r="DD33" i="16"/>
  <c r="DD41" i="16" s="1"/>
  <c r="I23" i="6"/>
  <c r="G23" i="6" s="1"/>
  <c r="I25" i="8"/>
  <c r="G25" i="8" s="1"/>
  <c r="JG32" i="5"/>
  <c r="F19" i="9"/>
  <c r="I8" i="7"/>
  <c r="G8" i="7" s="1"/>
  <c r="H139" i="11"/>
  <c r="KU27" i="5"/>
  <c r="EX32" i="5"/>
  <c r="EX35" i="5" s="1"/>
  <c r="LA32" i="5"/>
  <c r="IQ11" i="5"/>
  <c r="G33" i="16"/>
  <c r="G41" i="16" s="1"/>
  <c r="U33" i="16"/>
  <c r="U41" i="16" s="1"/>
  <c r="AC33" i="16"/>
  <c r="AC41" i="16" s="1"/>
  <c r="AK33" i="16"/>
  <c r="AK41" i="16" s="1"/>
  <c r="AS33" i="16"/>
  <c r="AS41" i="16" s="1"/>
  <c r="BA33" i="16"/>
  <c r="BA41" i="16" s="1"/>
  <c r="BI33" i="16"/>
  <c r="BI41" i="16" s="1"/>
  <c r="BS33" i="16"/>
  <c r="BS41" i="16" s="1"/>
  <c r="CA33" i="16"/>
  <c r="CA41" i="16" s="1"/>
  <c r="CK33" i="16"/>
  <c r="CK41" i="16" s="1"/>
  <c r="CS33" i="16"/>
  <c r="CS41" i="16" s="1"/>
  <c r="I28" i="8"/>
  <c r="G28" i="8" s="1"/>
  <c r="IQ15" i="5"/>
  <c r="IQ16" i="5"/>
  <c r="IQ18" i="5"/>
  <c r="EC10" i="5"/>
  <c r="EC28" i="5" s="1"/>
  <c r="GU28" i="5"/>
  <c r="GU35" i="5" s="1"/>
  <c r="KU26" i="5"/>
  <c r="I6" i="8"/>
  <c r="G6" i="8" s="1"/>
  <c r="I32" i="8"/>
  <c r="G32" i="8" s="1"/>
  <c r="I6" i="7"/>
  <c r="G6" i="7" s="1"/>
  <c r="H241" i="11"/>
  <c r="JF28" i="5"/>
  <c r="I19" i="8"/>
  <c r="G19" i="8" s="1"/>
  <c r="IP28" i="5"/>
  <c r="AK10" i="5"/>
  <c r="AK28" i="5" s="1"/>
  <c r="H10" i="8"/>
  <c r="I14" i="8"/>
  <c r="G14" i="8" s="1"/>
  <c r="F35" i="9"/>
  <c r="R40" i="16"/>
  <c r="AP40" i="16"/>
  <c r="AX40" i="16"/>
  <c r="BX40" i="16"/>
  <c r="CF40" i="16"/>
  <c r="BF28" i="5"/>
  <c r="LB28" i="5"/>
  <c r="KU16" i="5"/>
  <c r="KU25" i="5"/>
  <c r="I23" i="8"/>
  <c r="G23" i="8" s="1"/>
  <c r="I31" i="8"/>
  <c r="G31" i="8" s="1"/>
  <c r="DC14" i="5"/>
  <c r="KU15" i="5"/>
  <c r="CC28" i="5"/>
  <c r="DB28" i="5"/>
  <c r="HA28" i="5"/>
  <c r="HY28" i="5"/>
  <c r="JG28" i="5"/>
  <c r="KU14" i="5"/>
  <c r="IO23" i="5"/>
  <c r="IQ23" i="5" s="1"/>
  <c r="CY27" i="5"/>
  <c r="H6" i="8"/>
  <c r="H30" i="8"/>
  <c r="H40" i="11"/>
  <c r="EG28" i="5"/>
  <c r="BA24" i="17"/>
  <c r="GK28" i="5"/>
  <c r="IW28" i="5"/>
  <c r="JH28" i="5"/>
  <c r="KS32" i="5"/>
  <c r="GC28" i="5"/>
  <c r="FU28" i="5"/>
  <c r="HI28" i="5"/>
  <c r="IG28" i="5"/>
  <c r="JM28" i="5"/>
  <c r="KL28" i="5"/>
  <c r="KU12" i="5"/>
  <c r="IQ13" i="5"/>
  <c r="KU24" i="5"/>
  <c r="I20" i="8"/>
  <c r="G20" i="8" s="1"/>
  <c r="H11" i="9"/>
  <c r="S40" i="16"/>
  <c r="AA40" i="16"/>
  <c r="AI40" i="16"/>
  <c r="AQ40" i="16"/>
  <c r="AY40" i="16"/>
  <c r="BG40" i="16"/>
  <c r="BO40" i="16"/>
  <c r="BY40" i="16"/>
  <c r="CG40" i="16"/>
  <c r="BB13" i="17"/>
  <c r="AM32" i="17"/>
  <c r="DQ28" i="5"/>
  <c r="FV28" i="5"/>
  <c r="H11" i="7"/>
  <c r="CK28" i="5"/>
  <c r="FE28" i="5"/>
  <c r="FW28" i="5"/>
  <c r="FW35" i="5" s="1"/>
  <c r="JU28" i="5"/>
  <c r="KU18" i="5"/>
  <c r="KU22" i="5"/>
  <c r="U23" i="5"/>
  <c r="KU31" i="5"/>
  <c r="S31" i="5" s="1"/>
  <c r="H31" i="5" s="1"/>
  <c r="AX28" i="5"/>
  <c r="FX28" i="5"/>
  <c r="FX35" i="5" s="1"/>
  <c r="KT28" i="5"/>
  <c r="JE32" i="5"/>
  <c r="CB33" i="16"/>
  <c r="CB41" i="16" s="1"/>
  <c r="BA19" i="17"/>
  <c r="FM28" i="5"/>
  <c r="HT28" i="5"/>
  <c r="HT35" i="5" s="1"/>
  <c r="JE28" i="5"/>
  <c r="KC28" i="5"/>
  <c r="HR16" i="5"/>
  <c r="IQ17" i="5"/>
  <c r="IQ20" i="5"/>
  <c r="KU23" i="5"/>
  <c r="AO24" i="5"/>
  <c r="AP24" i="5" s="1"/>
  <c r="IQ24" i="5"/>
  <c r="IQ26" i="5"/>
  <c r="I22" i="8"/>
  <c r="G22" i="8" s="1"/>
  <c r="BA15" i="17"/>
  <c r="AY24" i="17"/>
  <c r="FY32" i="5"/>
  <c r="H33" i="9"/>
  <c r="BB8" i="19"/>
  <c r="BB10" i="19"/>
  <c r="E255" i="11"/>
  <c r="H255" i="11" s="1"/>
  <c r="H275" i="11"/>
  <c r="C10" i="19"/>
  <c r="UW14" i="21" s="1"/>
  <c r="AT19" i="17" s="1"/>
  <c r="BM19" i="19"/>
  <c r="AN24" i="19"/>
  <c r="BA24" i="19"/>
  <c r="AN25" i="19"/>
  <c r="E261" i="11"/>
  <c r="E256" i="11" s="1"/>
  <c r="AH15" i="19"/>
  <c r="I36" i="20"/>
  <c r="AQ36" i="20"/>
  <c r="I24" i="8"/>
  <c r="G24" i="8" s="1"/>
  <c r="C11" i="19"/>
  <c r="UW15" i="21" s="1"/>
  <c r="AT24" i="17" s="1"/>
  <c r="EC32" i="5"/>
  <c r="FI32" i="5"/>
  <c r="E38" i="11"/>
  <c r="E35" i="11" s="1"/>
  <c r="F315" i="11"/>
  <c r="H315" i="11" s="1"/>
  <c r="I8" i="8"/>
  <c r="G8" i="8" s="1"/>
  <c r="AT29" i="16"/>
  <c r="BB29" i="16"/>
  <c r="BJ29" i="16"/>
  <c r="CB29" i="16"/>
  <c r="E51" i="11"/>
  <c r="H51" i="11" s="1"/>
  <c r="G48" i="11"/>
  <c r="I48" i="11" s="1"/>
  <c r="KQ16" i="5"/>
  <c r="AA28" i="5"/>
  <c r="K41" i="5" s="1"/>
  <c r="G128" i="11"/>
  <c r="I128" i="11" s="1"/>
  <c r="H20" i="8"/>
  <c r="HN25" i="5"/>
  <c r="E450" i="11"/>
  <c r="H10" i="6" s="1"/>
  <c r="H16" i="8"/>
  <c r="GO32" i="5"/>
  <c r="H24" i="8"/>
  <c r="G443" i="11"/>
  <c r="G444" i="11" s="1"/>
  <c r="I444" i="11" s="1"/>
  <c r="H11" i="8"/>
  <c r="U17" i="20"/>
  <c r="J30" i="20"/>
  <c r="J38" i="20" s="1"/>
  <c r="AB30" i="20"/>
  <c r="AB38" i="20" s="1"/>
  <c r="AR30" i="20"/>
  <c r="AR38" i="20" s="1"/>
  <c r="BH30" i="20"/>
  <c r="BH38" i="20" s="1"/>
  <c r="AJ31" i="18"/>
  <c r="U18" i="20"/>
  <c r="U20" i="20"/>
  <c r="BM8" i="19"/>
  <c r="AT14" i="19"/>
  <c r="IM27" i="5"/>
  <c r="F33" i="18"/>
  <c r="F32" i="18" s="1"/>
  <c r="V33" i="18"/>
  <c r="V32" i="18" s="1"/>
  <c r="U12" i="20"/>
  <c r="AA36" i="20"/>
  <c r="BA11" i="19"/>
  <c r="U10" i="20"/>
  <c r="BG19" i="19"/>
  <c r="U19" i="20"/>
  <c r="T30" i="20"/>
  <c r="T38" i="20" s="1"/>
  <c r="FA30" i="5"/>
  <c r="FA32" i="5" s="1"/>
  <c r="HM30" i="5"/>
  <c r="HM32" i="5" s="1"/>
  <c r="IS30" i="5"/>
  <c r="IS32" i="5" s="1"/>
  <c r="A3" i="13"/>
  <c r="AT12" i="19"/>
  <c r="U25" i="20"/>
  <c r="F30" i="20"/>
  <c r="F38" i="20" s="1"/>
  <c r="V30" i="20"/>
  <c r="V38" i="20" s="1"/>
  <c r="AN30" i="20"/>
  <c r="AN38" i="20" s="1"/>
  <c r="BD30" i="20"/>
  <c r="BD38" i="20" s="1"/>
  <c r="W17" i="17"/>
  <c r="KQ27" i="5"/>
  <c r="H470" i="11"/>
  <c r="C31" i="18"/>
  <c r="W26" i="19"/>
  <c r="J19" i="19"/>
  <c r="K36" i="20"/>
  <c r="AE36" i="20"/>
  <c r="AU36" i="20"/>
  <c r="W27" i="17"/>
  <c r="IM17" i="5"/>
  <c r="W15" i="17"/>
  <c r="AM19" i="17"/>
  <c r="W21" i="17"/>
  <c r="X24" i="17"/>
  <c r="W25" i="17"/>
  <c r="AM26" i="17"/>
  <c r="V8" i="19"/>
  <c r="AO26" i="19"/>
  <c r="AT15" i="19"/>
  <c r="BM16" i="19"/>
  <c r="V10" i="19"/>
  <c r="BM20" i="19"/>
  <c r="BA25" i="19"/>
  <c r="H393" i="11"/>
  <c r="H446" i="11"/>
  <c r="W12" i="17"/>
  <c r="X15" i="17"/>
  <c r="BD16" i="17"/>
  <c r="W18" i="17"/>
  <c r="AP18" i="17"/>
  <c r="W23" i="17"/>
  <c r="W28" i="17"/>
  <c r="VI34" i="21"/>
  <c r="VI42" i="21" s="1"/>
  <c r="VF32" i="21"/>
  <c r="BH26" i="19"/>
  <c r="AI33" i="20"/>
  <c r="AI43" i="20" s="1"/>
  <c r="F104" i="11" s="1"/>
  <c r="F106" i="11" s="1"/>
  <c r="F101" i="11" s="1"/>
  <c r="H30" i="20"/>
  <c r="H38" i="20" s="1"/>
  <c r="VF12" i="21"/>
  <c r="W13" i="17"/>
  <c r="AP13" i="17"/>
  <c r="X18" i="17"/>
  <c r="AJ33" i="17"/>
  <c r="AJ41" i="17" s="1"/>
  <c r="AP32" i="17"/>
  <c r="AC26" i="19"/>
  <c r="BG36" i="20"/>
  <c r="KX28" i="5"/>
  <c r="GR28" i="5"/>
  <c r="GR35" i="5" s="1"/>
  <c r="JA28" i="5"/>
  <c r="EK31" i="5"/>
  <c r="EL31" i="5" s="1"/>
  <c r="HN26" i="5"/>
  <c r="W16" i="17"/>
  <c r="W26" i="17"/>
  <c r="AM27" i="17"/>
  <c r="AP28" i="17"/>
  <c r="AU26" i="19"/>
  <c r="BM9" i="19"/>
  <c r="W22" i="17"/>
  <c r="HP28" i="5"/>
  <c r="HP35" i="5" s="1"/>
  <c r="U30" i="5"/>
  <c r="BI30" i="5"/>
  <c r="JY30" i="5"/>
  <c r="JZ30" i="5" s="1"/>
  <c r="JZ32" i="5" s="1"/>
  <c r="H30" i="9"/>
  <c r="CH11" i="16"/>
  <c r="DI11" i="16" s="1"/>
  <c r="X16" i="17"/>
  <c r="W19" i="17"/>
  <c r="AP25" i="17"/>
  <c r="BN26" i="19"/>
  <c r="BG13" i="19"/>
  <c r="VA41" i="21"/>
  <c r="AB11" i="19"/>
  <c r="BA22" i="19"/>
  <c r="C33" i="18"/>
  <c r="VI13" i="21"/>
  <c r="VF13" i="21" s="1"/>
  <c r="CY14" i="5"/>
  <c r="CO30" i="5"/>
  <c r="CO32" i="5" s="1"/>
  <c r="DU30" i="5"/>
  <c r="W14" i="17"/>
  <c r="AP14" i="17"/>
  <c r="W20" i="17"/>
  <c r="AP21" i="17"/>
  <c r="W24" i="17"/>
  <c r="AM25" i="17"/>
  <c r="U27" i="17"/>
  <c r="AI26" i="19"/>
  <c r="DE28" i="5"/>
  <c r="JI28" i="5"/>
  <c r="JJ10" i="5"/>
  <c r="JJ28" i="5" s="1"/>
  <c r="JC28" i="5"/>
  <c r="AK32" i="5"/>
  <c r="H15" i="8"/>
  <c r="H18" i="8"/>
  <c r="H187" i="11"/>
  <c r="AH13" i="19"/>
  <c r="BD37" i="20"/>
  <c r="HM28" i="5"/>
  <c r="EK28" i="5"/>
  <c r="CO28" i="5"/>
  <c r="ES28" i="5"/>
  <c r="FS28" i="5"/>
  <c r="FS35" i="5" s="1"/>
  <c r="JQ28" i="5"/>
  <c r="KO28" i="5"/>
  <c r="H8" i="8"/>
  <c r="G11" i="9"/>
  <c r="I11" i="9" s="1"/>
  <c r="AB19" i="19"/>
  <c r="BG24" i="19"/>
  <c r="L30" i="20"/>
  <c r="L38" i="20" s="1"/>
  <c r="AD30" i="20"/>
  <c r="AD38" i="20" s="1"/>
  <c r="AT30" i="20"/>
  <c r="AT38" i="20" s="1"/>
  <c r="AS28" i="5"/>
  <c r="E40" i="3"/>
  <c r="H40" i="3" s="1"/>
  <c r="H41" i="3" s="1"/>
  <c r="GW28" i="5"/>
  <c r="HU28" i="5"/>
  <c r="IM21" i="5"/>
  <c r="CY25" i="5"/>
  <c r="U26" i="5"/>
  <c r="BY32" i="5"/>
  <c r="KO32" i="5"/>
  <c r="H16" i="6"/>
  <c r="H27" i="8"/>
  <c r="H16" i="9"/>
  <c r="BB17" i="17"/>
  <c r="X19" i="17"/>
  <c r="AM23" i="17"/>
  <c r="BB24" i="17"/>
  <c r="AD33" i="18"/>
  <c r="AD32" i="18" s="1"/>
  <c r="BA15" i="19"/>
  <c r="L37" i="20"/>
  <c r="AD37" i="20"/>
  <c r="AT37" i="20"/>
  <c r="DU28" i="5"/>
  <c r="FA28" i="5"/>
  <c r="JY28" i="5"/>
  <c r="KP32" i="5"/>
  <c r="H14" i="8"/>
  <c r="H17" i="8"/>
  <c r="Z29" i="16"/>
  <c r="BF29" i="16"/>
  <c r="CP29" i="16"/>
  <c r="DB29" i="16"/>
  <c r="AP20" i="17"/>
  <c r="AP27" i="17"/>
  <c r="I2" i="18"/>
  <c r="AV26" i="19"/>
  <c r="BA9" i="19"/>
  <c r="AH24" i="19"/>
  <c r="JB28" i="5"/>
  <c r="HE28" i="5"/>
  <c r="IC28" i="5"/>
  <c r="IS28" i="5"/>
  <c r="IC32" i="5"/>
  <c r="JQ32" i="5"/>
  <c r="H7" i="8"/>
  <c r="H37" i="11"/>
  <c r="I27" i="17"/>
  <c r="AT13" i="19"/>
  <c r="AH14" i="19"/>
  <c r="V9" i="19"/>
  <c r="AB22" i="19"/>
  <c r="KY28" i="5"/>
  <c r="KY35" i="5" s="1"/>
  <c r="HN19" i="5"/>
  <c r="BY28" i="5"/>
  <c r="FI28" i="5"/>
  <c r="GQ28" i="5"/>
  <c r="GQ35" i="5" s="1"/>
  <c r="IF28" i="5"/>
  <c r="IF35" i="5" s="1"/>
  <c r="KG28" i="5"/>
  <c r="KW28" i="5"/>
  <c r="U24" i="5"/>
  <c r="CY24" i="5"/>
  <c r="KQ31" i="5"/>
  <c r="O31" i="5" s="1"/>
  <c r="D31" i="5" s="1"/>
  <c r="H13" i="8"/>
  <c r="H26" i="8"/>
  <c r="H32" i="8"/>
  <c r="BB23" i="17"/>
  <c r="AB12" i="19"/>
  <c r="AH17" i="19"/>
  <c r="AH10" i="19"/>
  <c r="AT11" i="19"/>
  <c r="BG11" i="19"/>
  <c r="IQ12" i="5"/>
  <c r="KQ14" i="5"/>
  <c r="GA30" i="5"/>
  <c r="GA32" i="5" s="1"/>
  <c r="IM25" i="5"/>
  <c r="DC26" i="5"/>
  <c r="KU13" i="5"/>
  <c r="DC15" i="5"/>
  <c r="CY18" i="5"/>
  <c r="KU20" i="5"/>
  <c r="IM23" i="5"/>
  <c r="KU11" i="5"/>
  <c r="HR12" i="5"/>
  <c r="IM18" i="5"/>
  <c r="IQ25" i="5"/>
  <c r="CY12" i="5"/>
  <c r="IM12" i="5"/>
  <c r="KQ12" i="5"/>
  <c r="HR13" i="5"/>
  <c r="CY17" i="5"/>
  <c r="IM20" i="5"/>
  <c r="DC12" i="5"/>
  <c r="IQ14" i="5"/>
  <c r="DI32" i="5"/>
  <c r="EP32" i="5"/>
  <c r="EP35" i="5" s="1"/>
  <c r="GP30" i="5"/>
  <c r="GP32" i="5" s="1"/>
  <c r="GP35" i="5" s="1"/>
  <c r="H22" i="9"/>
  <c r="E34" i="11"/>
  <c r="H48" i="11"/>
  <c r="H153" i="11"/>
  <c r="H157" i="11"/>
  <c r="H206" i="11"/>
  <c r="H221" i="11"/>
  <c r="E242" i="11"/>
  <c r="H242" i="11" s="1"/>
  <c r="H295" i="11"/>
  <c r="E298" i="11"/>
  <c r="H384" i="11"/>
  <c r="H419" i="11"/>
  <c r="CH32" i="16"/>
  <c r="DI32" i="16" s="1"/>
  <c r="CR33" i="16"/>
  <c r="CR41" i="16" s="1"/>
  <c r="BD26" i="17"/>
  <c r="DM32" i="5"/>
  <c r="KL32" i="5"/>
  <c r="F41" i="11"/>
  <c r="H41" i="11" s="1"/>
  <c r="E130" i="11"/>
  <c r="H130" i="11" s="1"/>
  <c r="G157" i="11"/>
  <c r="I157" i="11" s="1"/>
  <c r="G206" i="11"/>
  <c r="I206" i="11" s="1"/>
  <c r="H434" i="11"/>
  <c r="G446" i="11"/>
  <c r="I446" i="11" s="1"/>
  <c r="F40" i="16"/>
  <c r="T29" i="16"/>
  <c r="AB29" i="16"/>
  <c r="AJ40" i="16"/>
  <c r="AR40" i="16"/>
  <c r="BR29" i="16"/>
  <c r="BZ40" i="16"/>
  <c r="CJ29" i="16"/>
  <c r="Z33" i="16"/>
  <c r="Z41" i="16" s="1"/>
  <c r="AH33" i="16"/>
  <c r="AH41" i="16" s="1"/>
  <c r="AP33" i="16"/>
  <c r="AP41" i="16" s="1"/>
  <c r="AX33" i="16"/>
  <c r="AX41" i="16" s="1"/>
  <c r="BF33" i="16"/>
  <c r="BF41" i="16" s="1"/>
  <c r="BN33" i="16"/>
  <c r="BN41" i="16" s="1"/>
  <c r="BX33" i="16"/>
  <c r="BX41" i="16" s="1"/>
  <c r="CF33" i="16"/>
  <c r="CF41" i="16" s="1"/>
  <c r="CP33" i="16"/>
  <c r="CP41" i="16" s="1"/>
  <c r="AA40" i="17"/>
  <c r="AP17" i="17"/>
  <c r="V15" i="19"/>
  <c r="V16" i="19"/>
  <c r="AH16" i="19"/>
  <c r="AN17" i="19"/>
  <c r="AB18" i="19"/>
  <c r="AT20" i="19"/>
  <c r="AT21" i="19"/>
  <c r="BM22" i="19"/>
  <c r="V25" i="19"/>
  <c r="F405" i="11"/>
  <c r="F420" i="11"/>
  <c r="G40" i="16"/>
  <c r="DE40" i="16"/>
  <c r="BY33" i="16"/>
  <c r="BY41" i="16" s="1"/>
  <c r="CG33" i="16"/>
  <c r="CG41" i="16" s="1"/>
  <c r="CQ33" i="16"/>
  <c r="CQ41" i="16" s="1"/>
  <c r="BB19" i="17"/>
  <c r="AJ33" i="18"/>
  <c r="AJ32" i="18" s="1"/>
  <c r="R31" i="18"/>
  <c r="AH31" i="18"/>
  <c r="Z31" i="18"/>
  <c r="BM13" i="19"/>
  <c r="BA14" i="19"/>
  <c r="AH9" i="19"/>
  <c r="AN15" i="19"/>
  <c r="AB17" i="19"/>
  <c r="BG10" i="19"/>
  <c r="AT19" i="19"/>
  <c r="AB20" i="19"/>
  <c r="AB21" i="19"/>
  <c r="BM21" i="19"/>
  <c r="BM11" i="19"/>
  <c r="AJ30" i="20"/>
  <c r="AJ38" i="20" s="1"/>
  <c r="N30" i="20"/>
  <c r="N38" i="20" s="1"/>
  <c r="AF30" i="20"/>
  <c r="AF38" i="20" s="1"/>
  <c r="AV30" i="20"/>
  <c r="AV38" i="20" s="1"/>
  <c r="D30" i="20"/>
  <c r="D38" i="20" s="1"/>
  <c r="AL30" i="20"/>
  <c r="AL38" i="20" s="1"/>
  <c r="BB30" i="20"/>
  <c r="BB38" i="20" s="1"/>
  <c r="H17" i="9"/>
  <c r="H116" i="11"/>
  <c r="H410" i="11"/>
  <c r="G425" i="11"/>
  <c r="G426" i="11" s="1"/>
  <c r="I426" i="11" s="1"/>
  <c r="H428" i="11"/>
  <c r="G447" i="11"/>
  <c r="G448" i="11" s="1"/>
  <c r="I448" i="11" s="1"/>
  <c r="H502" i="11"/>
  <c r="B73" i="15"/>
  <c r="AE29" i="16"/>
  <c r="AM29" i="16"/>
  <c r="AU29" i="16"/>
  <c r="BC29" i="16"/>
  <c r="CH13" i="16"/>
  <c r="DI13" i="16" s="1"/>
  <c r="BB11" i="17"/>
  <c r="BB12" i="17"/>
  <c r="I19" i="17"/>
  <c r="BB21" i="17"/>
  <c r="AP22" i="17"/>
  <c r="AP24" i="17"/>
  <c r="AY27" i="17"/>
  <c r="F31" i="18"/>
  <c r="BA8" i="19"/>
  <c r="V12" i="19"/>
  <c r="BA12" i="19"/>
  <c r="V13" i="19"/>
  <c r="AB15" i="19"/>
  <c r="BG16" i="19"/>
  <c r="AT17" i="19"/>
  <c r="BA20" i="19"/>
  <c r="BA21" i="19"/>
  <c r="AN23" i="19"/>
  <c r="AB25" i="19"/>
  <c r="BG25" i="19"/>
  <c r="IM26" i="5"/>
  <c r="H29" i="9"/>
  <c r="I116" i="11"/>
  <c r="G241" i="11"/>
  <c r="I241" i="11" s="1"/>
  <c r="G302" i="11"/>
  <c r="I302" i="11" s="1"/>
  <c r="H425" i="11"/>
  <c r="C73" i="15"/>
  <c r="P40" i="16"/>
  <c r="X40" i="16"/>
  <c r="AF40" i="16"/>
  <c r="AN40" i="16"/>
  <c r="AV40" i="16"/>
  <c r="BD40" i="16"/>
  <c r="BL40" i="16"/>
  <c r="CN29" i="16"/>
  <c r="CV40" i="16"/>
  <c r="CH17" i="16"/>
  <c r="DI17" i="16" s="1"/>
  <c r="J33" i="16"/>
  <c r="J41" i="16" s="1"/>
  <c r="AT33" i="16"/>
  <c r="AT41" i="16" s="1"/>
  <c r="CL33" i="16"/>
  <c r="CL41" i="16" s="1"/>
  <c r="CT33" i="16"/>
  <c r="CT41" i="16" s="1"/>
  <c r="BB14" i="17"/>
  <c r="BB15" i="17"/>
  <c r="BB16" i="17"/>
  <c r="AM21" i="17"/>
  <c r="AY22" i="17"/>
  <c r="AN12" i="19"/>
  <c r="B14" i="19"/>
  <c r="UV18" i="21" s="1"/>
  <c r="P14" i="17" s="1"/>
  <c r="AB14" i="19"/>
  <c r="BG9" i="19"/>
  <c r="AT16" i="19"/>
  <c r="BM10" i="19"/>
  <c r="BA19" i="19"/>
  <c r="B11" i="19"/>
  <c r="UV15" i="21" s="1"/>
  <c r="P24" i="17" s="1"/>
  <c r="AN11" i="19"/>
  <c r="F11" i="19"/>
  <c r="UZ15" i="21" s="1"/>
  <c r="AB24" i="17" s="1"/>
  <c r="BG23" i="19"/>
  <c r="F37" i="20"/>
  <c r="V37" i="20"/>
  <c r="AN37" i="20"/>
  <c r="F44" i="11"/>
  <c r="F47" i="11" s="1"/>
  <c r="Q40" i="16"/>
  <c r="Y40" i="16"/>
  <c r="AG40" i="16"/>
  <c r="AO40" i="16"/>
  <c r="AW40" i="16"/>
  <c r="BE40" i="16"/>
  <c r="BM40" i="16"/>
  <c r="BW40" i="16"/>
  <c r="CE40" i="16"/>
  <c r="CO40" i="16"/>
  <c r="CW40" i="16"/>
  <c r="K33" i="16"/>
  <c r="K41" i="16" s="1"/>
  <c r="W33" i="16"/>
  <c r="W41" i="16" s="1"/>
  <c r="AE33" i="16"/>
  <c r="AE41" i="16" s="1"/>
  <c r="AM33" i="16"/>
  <c r="AM41" i="16" s="1"/>
  <c r="AU33" i="16"/>
  <c r="AU41" i="16" s="1"/>
  <c r="BC33" i="16"/>
  <c r="BC41" i="16" s="1"/>
  <c r="BK33" i="16"/>
  <c r="BK41" i="16" s="1"/>
  <c r="BU33" i="16"/>
  <c r="BU41" i="16" s="1"/>
  <c r="CC33" i="16"/>
  <c r="CC41" i="16" s="1"/>
  <c r="DB33" i="16"/>
  <c r="DB41" i="16" s="1"/>
  <c r="BD12" i="17"/>
  <c r="BB20" i="17"/>
  <c r="U22" i="17"/>
  <c r="BB25" i="17"/>
  <c r="X27" i="17"/>
  <c r="AY28" i="17"/>
  <c r="C8" i="19"/>
  <c r="UW12" i="21" s="1"/>
  <c r="AT11" i="17" s="1"/>
  <c r="C12" i="19"/>
  <c r="UW16" i="21" s="1"/>
  <c r="AT12" i="17" s="1"/>
  <c r="AT9" i="19"/>
  <c r="BA10" i="19"/>
  <c r="V18" i="19"/>
  <c r="BA18" i="19"/>
  <c r="AN20" i="19"/>
  <c r="BG22" i="19"/>
  <c r="H279" i="11"/>
  <c r="CH21" i="16"/>
  <c r="DI21" i="16" s="1"/>
  <c r="I20" i="17"/>
  <c r="AP23" i="17"/>
  <c r="L31" i="18"/>
  <c r="X26" i="19"/>
  <c r="V17" i="19"/>
  <c r="BA17" i="19"/>
  <c r="AN18" i="19"/>
  <c r="AN19" i="19"/>
  <c r="BG21" i="19"/>
  <c r="AT23" i="19"/>
  <c r="AT24" i="19"/>
  <c r="I47" i="9"/>
  <c r="G45" i="9"/>
  <c r="I45" i="9" s="1"/>
  <c r="HZ10" i="5"/>
  <c r="HZ28" i="5" s="1"/>
  <c r="JV10" i="5"/>
  <c r="JV28" i="5" s="1"/>
  <c r="CY11" i="5"/>
  <c r="HN12" i="5"/>
  <c r="CY13" i="5"/>
  <c r="IM13" i="5"/>
  <c r="HN14" i="5"/>
  <c r="HN15" i="5"/>
  <c r="IM16" i="5"/>
  <c r="HN17" i="5"/>
  <c r="IM19" i="5"/>
  <c r="KU19" i="5"/>
  <c r="HR20" i="5"/>
  <c r="R20" i="5" s="1"/>
  <c r="G20" i="5" s="1"/>
  <c r="IM24" i="5"/>
  <c r="HN27" i="5"/>
  <c r="KG32" i="5"/>
  <c r="H38" i="9"/>
  <c r="IQ21" i="5"/>
  <c r="DC25" i="5"/>
  <c r="KQ25" i="5"/>
  <c r="CG32" i="5"/>
  <c r="DE32" i="5"/>
  <c r="ED30" i="5"/>
  <c r="ED32" i="5" s="1"/>
  <c r="FE32" i="5"/>
  <c r="LB30" i="5"/>
  <c r="LB32" i="5" s="1"/>
  <c r="E45" i="9"/>
  <c r="H45" i="9" s="1"/>
  <c r="JZ10" i="5"/>
  <c r="JZ28" i="5" s="1"/>
  <c r="DC11" i="5"/>
  <c r="DC13" i="5"/>
  <c r="CH32" i="5"/>
  <c r="IG32" i="5"/>
  <c r="KU17" i="5"/>
  <c r="IQ19" i="5"/>
  <c r="AL30" i="5"/>
  <c r="AL32" i="5" s="1"/>
  <c r="FJ30" i="5"/>
  <c r="FJ32" i="5" s="1"/>
  <c r="FJ35" i="5" s="1"/>
  <c r="E14" i="9"/>
  <c r="F74" i="11"/>
  <c r="G161" i="11"/>
  <c r="H161" i="11"/>
  <c r="G133" i="11"/>
  <c r="I133" i="11" s="1"/>
  <c r="I131" i="11"/>
  <c r="HN11" i="5"/>
  <c r="HN13" i="5"/>
  <c r="KQ18" i="5"/>
  <c r="DC20" i="5"/>
  <c r="CY21" i="5"/>
  <c r="HN21" i="5"/>
  <c r="HN22" i="5"/>
  <c r="HN23" i="5"/>
  <c r="DN30" i="5"/>
  <c r="DN32" i="5" s="1"/>
  <c r="KQ30" i="5"/>
  <c r="JU32" i="5"/>
  <c r="H37" i="9"/>
  <c r="H164" i="11"/>
  <c r="KQ11" i="5"/>
  <c r="KQ13" i="5"/>
  <c r="CY15" i="5"/>
  <c r="CY19" i="5"/>
  <c r="CY22" i="5"/>
  <c r="HN24" i="5"/>
  <c r="CY26" i="5"/>
  <c r="IQ27" i="5"/>
  <c r="CS32" i="5"/>
  <c r="ES32" i="5"/>
  <c r="FQ32" i="5"/>
  <c r="EW32" i="5"/>
  <c r="GX10" i="5"/>
  <c r="GX28" i="5" s="1"/>
  <c r="ET32" i="5"/>
  <c r="ET35" i="5" s="1"/>
  <c r="HN20" i="5"/>
  <c r="KU21" i="5"/>
  <c r="T32" i="5"/>
  <c r="CX30" i="5"/>
  <c r="CX32" i="5" s="1"/>
  <c r="GW32" i="5"/>
  <c r="IX32" i="5"/>
  <c r="KW32" i="5"/>
  <c r="F6" i="8"/>
  <c r="F33" i="8" s="1"/>
  <c r="H10" i="9"/>
  <c r="E35" i="9"/>
  <c r="H42" i="9"/>
  <c r="G119" i="11"/>
  <c r="E121" i="11"/>
  <c r="H272" i="11"/>
  <c r="F278" i="11"/>
  <c r="I6" i="6" s="1"/>
  <c r="G6" i="6" s="1"/>
  <c r="E391" i="11"/>
  <c r="G440" i="11"/>
  <c r="G441" i="11" s="1"/>
  <c r="I441" i="11" s="1"/>
  <c r="H473" i="11"/>
  <c r="G476" i="11"/>
  <c r="I476" i="11" s="1"/>
  <c r="BD13" i="17"/>
  <c r="BA13" i="19"/>
  <c r="B17" i="19"/>
  <c r="UV21" i="21" s="1"/>
  <c r="P18" i="17" s="1"/>
  <c r="H148" i="11"/>
  <c r="H156" i="11"/>
  <c r="G209" i="11"/>
  <c r="I209" i="11" s="1"/>
  <c r="H134" i="11"/>
  <c r="E282" i="11"/>
  <c r="G282" i="11" s="1"/>
  <c r="I282" i="11" s="1"/>
  <c r="E290" i="11"/>
  <c r="H341" i="11"/>
  <c r="H356" i="11"/>
  <c r="H467" i="11"/>
  <c r="H476" i="11"/>
  <c r="CV29" i="16"/>
  <c r="CH18" i="16"/>
  <c r="DI18" i="16" s="1"/>
  <c r="CH22" i="16"/>
  <c r="DI22" i="16" s="1"/>
  <c r="CH26" i="16"/>
  <c r="DI26" i="16" s="1"/>
  <c r="T40" i="16"/>
  <c r="AH8" i="19"/>
  <c r="AN14" i="19"/>
  <c r="AL26" i="19"/>
  <c r="AP41" i="20" s="1"/>
  <c r="BB14" i="19"/>
  <c r="AT10" i="19"/>
  <c r="F25" i="19"/>
  <c r="UZ29" i="21" s="1"/>
  <c r="AB28" i="17" s="1"/>
  <c r="H32" i="9"/>
  <c r="E44" i="11"/>
  <c r="E47" i="11" s="1"/>
  <c r="G146" i="11"/>
  <c r="I146" i="11" s="1"/>
  <c r="E273" i="11"/>
  <c r="G273" i="11" s="1"/>
  <c r="G287" i="11"/>
  <c r="I287" i="11" s="1"/>
  <c r="H338" i="11"/>
  <c r="G355" i="11"/>
  <c r="I355" i="11" s="1"/>
  <c r="G410" i="11"/>
  <c r="I410" i="11" s="1"/>
  <c r="H413" i="11"/>
  <c r="E420" i="11"/>
  <c r="G420" i="11" s="1"/>
  <c r="I420" i="11" s="1"/>
  <c r="F471" i="11"/>
  <c r="C43" i="15"/>
  <c r="AD33" i="16"/>
  <c r="AD41" i="16" s="1"/>
  <c r="AL33" i="16"/>
  <c r="AL41" i="16" s="1"/>
  <c r="BB33" i="16"/>
  <c r="BB41" i="16" s="1"/>
  <c r="BJ33" i="16"/>
  <c r="BJ41" i="16" s="1"/>
  <c r="BT33" i="16"/>
  <c r="BT41" i="16" s="1"/>
  <c r="BD15" i="17"/>
  <c r="BD19" i="17"/>
  <c r="B23" i="19"/>
  <c r="UV27" i="21" s="1"/>
  <c r="H294" i="11"/>
  <c r="H355" i="11"/>
  <c r="G477" i="11"/>
  <c r="I477" i="11" s="1"/>
  <c r="AP29" i="16"/>
  <c r="CH15" i="16"/>
  <c r="DI15" i="16" s="1"/>
  <c r="CH19" i="16"/>
  <c r="DI19" i="16" s="1"/>
  <c r="CH23" i="16"/>
  <c r="DI23" i="16" s="1"/>
  <c r="CH27" i="16"/>
  <c r="DI27" i="16" s="1"/>
  <c r="AW36" i="17"/>
  <c r="AN22" i="19"/>
  <c r="F24" i="19"/>
  <c r="UZ28" i="21" s="1"/>
  <c r="AB27" i="17" s="1"/>
  <c r="AB24" i="19"/>
  <c r="H260" i="11"/>
  <c r="F333" i="11"/>
  <c r="E342" i="11"/>
  <c r="G342" i="11" s="1"/>
  <c r="I342" i="11" s="1"/>
  <c r="CH28" i="16"/>
  <c r="DI28" i="16" s="1"/>
  <c r="AG29" i="16"/>
  <c r="BD11" i="17"/>
  <c r="AP19" i="17"/>
  <c r="U24" i="17"/>
  <c r="BE26" i="19"/>
  <c r="BF41" i="20" s="1"/>
  <c r="B20" i="19"/>
  <c r="UV24" i="21" s="1"/>
  <c r="P22" i="17" s="1"/>
  <c r="F20" i="19"/>
  <c r="UZ24" i="21" s="1"/>
  <c r="AB22" i="17" s="1"/>
  <c r="AN21" i="19"/>
  <c r="G164" i="11"/>
  <c r="I164" i="11" s="1"/>
  <c r="E133" i="11"/>
  <c r="G283" i="11"/>
  <c r="I283" i="11" s="1"/>
  <c r="H291" i="11"/>
  <c r="G403" i="11"/>
  <c r="I403" i="11" s="1"/>
  <c r="CH12" i="16"/>
  <c r="DI12" i="16" s="1"/>
  <c r="BH29" i="16"/>
  <c r="CH16" i="16"/>
  <c r="DI16" i="16" s="1"/>
  <c r="CH20" i="16"/>
  <c r="DI20" i="16" s="1"/>
  <c r="CH24" i="16"/>
  <c r="DI24" i="16" s="1"/>
  <c r="CH25" i="16"/>
  <c r="DI25" i="16" s="1"/>
  <c r="AY29" i="16"/>
  <c r="DE33" i="16"/>
  <c r="DE41" i="16" s="1"/>
  <c r="CI32" i="16"/>
  <c r="DJ32" i="16" s="1"/>
  <c r="Q40" i="17"/>
  <c r="AP16" i="17"/>
  <c r="BB18" i="17"/>
  <c r="BB22" i="17"/>
  <c r="AR26" i="19"/>
  <c r="AR41" i="20" s="1"/>
  <c r="AT8" i="19"/>
  <c r="BC37" i="20"/>
  <c r="UU12" i="21"/>
  <c r="H503" i="11"/>
  <c r="F8" i="12"/>
  <c r="BW29" i="16"/>
  <c r="CM33" i="16"/>
  <c r="CM41" i="16" s="1"/>
  <c r="CU33" i="16"/>
  <c r="CU41" i="16" s="1"/>
  <c r="X11" i="17"/>
  <c r="I22" i="17"/>
  <c r="X22" i="17"/>
  <c r="BD27" i="17"/>
  <c r="AM28" i="17"/>
  <c r="R8" i="19"/>
  <c r="P8" i="19" s="1"/>
  <c r="N26" i="19"/>
  <c r="AD26" i="19"/>
  <c r="F13" i="19"/>
  <c r="UZ17" i="21" s="1"/>
  <c r="AB13" i="17" s="1"/>
  <c r="BA16" i="19"/>
  <c r="C17" i="19"/>
  <c r="UW21" i="21" s="1"/>
  <c r="AT18" i="17" s="1"/>
  <c r="BB17" i="19"/>
  <c r="F23" i="19"/>
  <c r="UZ27" i="21" s="1"/>
  <c r="AB26" i="17" s="1"/>
  <c r="AB23" i="19"/>
  <c r="H212" i="11"/>
  <c r="G221" i="11"/>
  <c r="I221" i="11" s="1"/>
  <c r="E278" i="11"/>
  <c r="F298" i="11"/>
  <c r="I7" i="6" s="1"/>
  <c r="G7" i="6" s="1"/>
  <c r="H314" i="11"/>
  <c r="H387" i="11"/>
  <c r="H416" i="11"/>
  <c r="H443" i="11"/>
  <c r="G473" i="11"/>
  <c r="I473" i="11" s="1"/>
  <c r="H477" i="11"/>
  <c r="G499" i="11"/>
  <c r="I499" i="11" s="1"/>
  <c r="I502" i="11"/>
  <c r="B54" i="15"/>
  <c r="P33" i="16"/>
  <c r="P41" i="16" s="1"/>
  <c r="X33" i="16"/>
  <c r="X41" i="16" s="1"/>
  <c r="AF33" i="16"/>
  <c r="AF41" i="16" s="1"/>
  <c r="AN33" i="16"/>
  <c r="AN41" i="16" s="1"/>
  <c r="AV33" i="16"/>
  <c r="AV41" i="16" s="1"/>
  <c r="BD33" i="16"/>
  <c r="BD41" i="16" s="1"/>
  <c r="BL33" i="16"/>
  <c r="BL41" i="16" s="1"/>
  <c r="BV33" i="16"/>
  <c r="BV41" i="16" s="1"/>
  <c r="CD33" i="16"/>
  <c r="CD41" i="16" s="1"/>
  <c r="CN33" i="16"/>
  <c r="CN41" i="16" s="1"/>
  <c r="DG33" i="16"/>
  <c r="DG41" i="16" s="1"/>
  <c r="AS29" i="17"/>
  <c r="AS36" i="17" s="1"/>
  <c r="AP12" i="17"/>
  <c r="AM24" i="17"/>
  <c r="V14" i="19"/>
  <c r="H26" i="20"/>
  <c r="Z26" i="20"/>
  <c r="AP26" i="20"/>
  <c r="BD17" i="17"/>
  <c r="AM18" i="17"/>
  <c r="AM22" i="17"/>
  <c r="AY23" i="17"/>
  <c r="BD23" i="17"/>
  <c r="BB26" i="17"/>
  <c r="BB27" i="17"/>
  <c r="C78" i="17"/>
  <c r="H33" i="18"/>
  <c r="H32" i="18" s="1"/>
  <c r="AN33" i="18"/>
  <c r="AN32" i="18" s="1"/>
  <c r="B8" i="19"/>
  <c r="UV12" i="21" s="1"/>
  <c r="P11" i="17" s="1"/>
  <c r="AN8" i="19"/>
  <c r="AY26" i="19"/>
  <c r="BC41" i="20" s="1"/>
  <c r="BO26" i="19"/>
  <c r="BM12" i="19"/>
  <c r="F14" i="19"/>
  <c r="UZ18" i="21" s="1"/>
  <c r="AB14" i="17" s="1"/>
  <c r="B9" i="19"/>
  <c r="UV13" i="21" s="1"/>
  <c r="P15" i="17" s="1"/>
  <c r="AN9" i="19"/>
  <c r="BM15" i="19"/>
  <c r="F17" i="19"/>
  <c r="UZ21" i="21" s="1"/>
  <c r="AB18" i="17" s="1"/>
  <c r="B10" i="19"/>
  <c r="UV14" i="21" s="1"/>
  <c r="P19" i="17" s="1"/>
  <c r="AN10" i="19"/>
  <c r="BM18" i="19"/>
  <c r="AH19" i="19"/>
  <c r="AH21" i="19"/>
  <c r="AH22" i="19"/>
  <c r="BA23" i="19"/>
  <c r="V24" i="19"/>
  <c r="BM24" i="19"/>
  <c r="AR26" i="20"/>
  <c r="BF26" i="20"/>
  <c r="AG33" i="17"/>
  <c r="AG41" i="17" s="1"/>
  <c r="AE36" i="17"/>
  <c r="Z28" i="18"/>
  <c r="AB8" i="19"/>
  <c r="BG14" i="19"/>
  <c r="AB9" i="19"/>
  <c r="BG17" i="19"/>
  <c r="AB10" i="19"/>
  <c r="V19" i="19"/>
  <c r="P20" i="19"/>
  <c r="F21" i="19"/>
  <c r="UZ25" i="21" s="1"/>
  <c r="AB23" i="17" s="1"/>
  <c r="V21" i="19"/>
  <c r="P11" i="19"/>
  <c r="F22" i="19"/>
  <c r="UZ26" i="21" s="1"/>
  <c r="AB25" i="17" s="1"/>
  <c r="V22" i="19"/>
  <c r="P23" i="19"/>
  <c r="B24" i="19"/>
  <c r="UV28" i="21" s="1"/>
  <c r="P27" i="17" s="1"/>
  <c r="AT25" i="19"/>
  <c r="BH26" i="20"/>
  <c r="AQ43" i="20"/>
  <c r="AQ45" i="20" s="1"/>
  <c r="P30" i="20"/>
  <c r="P38" i="20" s="1"/>
  <c r="AH30" i="20"/>
  <c r="AH38" i="20" s="1"/>
  <c r="AX30" i="20"/>
  <c r="AX38" i="20" s="1"/>
  <c r="AW33" i="16"/>
  <c r="AW41" i="16" s="1"/>
  <c r="BE33" i="16"/>
  <c r="BE41" i="16" s="1"/>
  <c r="BM33" i="16"/>
  <c r="BM41" i="16" s="1"/>
  <c r="BW33" i="16"/>
  <c r="BW41" i="16" s="1"/>
  <c r="CE33" i="16"/>
  <c r="CE41" i="16" s="1"/>
  <c r="CO33" i="16"/>
  <c r="CO41" i="16" s="1"/>
  <c r="CW33" i="16"/>
  <c r="CW41" i="16" s="1"/>
  <c r="AG40" i="17"/>
  <c r="BD14" i="17"/>
  <c r="BD18" i="17"/>
  <c r="AM20" i="17"/>
  <c r="BD22" i="17"/>
  <c r="AP26" i="17"/>
  <c r="BB28" i="17"/>
  <c r="AK39" i="17"/>
  <c r="B77" i="17"/>
  <c r="H31" i="18"/>
  <c r="AN31" i="18"/>
  <c r="L26" i="19"/>
  <c r="AP26" i="19"/>
  <c r="BC26" i="19"/>
  <c r="B15" i="19"/>
  <c r="UV19" i="21" s="1"/>
  <c r="B21" i="19"/>
  <c r="UV25" i="21" s="1"/>
  <c r="B22" i="19"/>
  <c r="UV26" i="21" s="1"/>
  <c r="P25" i="17" s="1"/>
  <c r="BM25" i="19"/>
  <c r="N37" i="20"/>
  <c r="AF37" i="20"/>
  <c r="P26" i="20"/>
  <c r="AH26" i="20"/>
  <c r="AX26" i="20"/>
  <c r="B13" i="19"/>
  <c r="UV17" i="21" s="1"/>
  <c r="P13" i="17" s="1"/>
  <c r="AN13" i="19"/>
  <c r="BM14" i="19"/>
  <c r="B16" i="19"/>
  <c r="UV20" i="21" s="1"/>
  <c r="P17" i="17" s="1"/>
  <c r="AN16" i="19"/>
  <c r="BM17" i="19"/>
  <c r="AH20" i="19"/>
  <c r="AH11" i="19"/>
  <c r="AH23" i="19"/>
  <c r="P24" i="19"/>
  <c r="R26" i="20"/>
  <c r="AJ26" i="20"/>
  <c r="BH40" i="17"/>
  <c r="AP15" i="17"/>
  <c r="BD20" i="17"/>
  <c r="BD24" i="17"/>
  <c r="AY25" i="17"/>
  <c r="BD25" i="17"/>
  <c r="AY26" i="17"/>
  <c r="BC39" i="17"/>
  <c r="R28" i="18"/>
  <c r="AH33" i="18"/>
  <c r="AH32" i="18" s="1"/>
  <c r="T26" i="19"/>
  <c r="AH41" i="20" s="1"/>
  <c r="BI26" i="19"/>
  <c r="BG12" i="19"/>
  <c r="AB13" i="19"/>
  <c r="BG15" i="19"/>
  <c r="AB16" i="19"/>
  <c r="BG18" i="19"/>
  <c r="P19" i="19"/>
  <c r="F19" i="19"/>
  <c r="UZ23" i="21" s="1"/>
  <c r="AB21" i="17" s="1"/>
  <c r="V20" i="19"/>
  <c r="V11" i="19"/>
  <c r="P22" i="19"/>
  <c r="V23" i="19"/>
  <c r="BM23" i="19"/>
  <c r="D37" i="20"/>
  <c r="T37" i="20"/>
  <c r="AL37" i="20"/>
  <c r="BB37" i="20"/>
  <c r="Z30" i="20"/>
  <c r="Z38" i="20" s="1"/>
  <c r="AP30" i="20"/>
  <c r="AP38" i="20" s="1"/>
  <c r="BF30" i="20"/>
  <c r="BF38" i="20" s="1"/>
  <c r="K33" i="20"/>
  <c r="K43" i="20" s="1"/>
  <c r="K45" i="20" s="1"/>
  <c r="D26" i="20"/>
  <c r="L26" i="20"/>
  <c r="T26" i="20"/>
  <c r="AL26" i="20"/>
  <c r="AT26" i="20"/>
  <c r="BB26" i="20"/>
  <c r="H37" i="20"/>
  <c r="P37" i="20"/>
  <c r="Z37" i="20"/>
  <c r="AH37" i="20"/>
  <c r="AP37" i="20"/>
  <c r="AX37" i="20"/>
  <c r="BF37" i="20"/>
  <c r="S33" i="20"/>
  <c r="E33" i="20"/>
  <c r="E43" i="20" s="1"/>
  <c r="E45" i="20" s="1"/>
  <c r="M33" i="20"/>
  <c r="M43" i="20" s="1"/>
  <c r="M45" i="20" s="1"/>
  <c r="AE33" i="20"/>
  <c r="AM33" i="20"/>
  <c r="AM43" i="20" s="1"/>
  <c r="AM45" i="20" s="1"/>
  <c r="AU33" i="20"/>
  <c r="AU43" i="20" s="1"/>
  <c r="AU45" i="20" s="1"/>
  <c r="AC36" i="20"/>
  <c r="AK36" i="20"/>
  <c r="BA36" i="20"/>
  <c r="BI36" i="20"/>
  <c r="F26" i="20"/>
  <c r="N26" i="20"/>
  <c r="AF26" i="20"/>
  <c r="AN26" i="20"/>
  <c r="BD26" i="20"/>
  <c r="J37" i="20"/>
  <c r="R37" i="20"/>
  <c r="AJ37" i="20"/>
  <c r="AR37" i="20"/>
  <c r="BH37" i="20"/>
  <c r="G33" i="20"/>
  <c r="G43" i="20" s="1"/>
  <c r="G45" i="20" s="1"/>
  <c r="O33" i="20"/>
  <c r="W33" i="20"/>
  <c r="W43" i="20" s="1"/>
  <c r="W45" i="20" s="1"/>
  <c r="AG33" i="20"/>
  <c r="AG43" i="20" s="1"/>
  <c r="AG45" i="20" s="1"/>
  <c r="AO33" i="20"/>
  <c r="AO43" i="20" s="1"/>
  <c r="AO45" i="20" s="1"/>
  <c r="AW33" i="20"/>
  <c r="AW43" i="20" s="1"/>
  <c r="AW45" i="20" s="1"/>
  <c r="R30" i="20"/>
  <c r="R38" i="20" s="1"/>
  <c r="F15" i="19"/>
  <c r="UZ19" i="21" s="1"/>
  <c r="AB16" i="17" s="1"/>
  <c r="F18" i="19"/>
  <c r="UZ22" i="21" s="1"/>
  <c r="AB20" i="17" s="1"/>
  <c r="F16" i="19"/>
  <c r="UZ20" i="21" s="1"/>
  <c r="AB17" i="17" s="1"/>
  <c r="F9" i="19"/>
  <c r="UZ13" i="21" s="1"/>
  <c r="AB15" i="17" s="1"/>
  <c r="F10" i="19"/>
  <c r="UZ14" i="21" s="1"/>
  <c r="AB19" i="17" s="1"/>
  <c r="J8" i="19"/>
  <c r="J12" i="19"/>
  <c r="J13" i="19"/>
  <c r="J14" i="19"/>
  <c r="J9" i="19"/>
  <c r="J15" i="19"/>
  <c r="J16" i="19"/>
  <c r="J17" i="19"/>
  <c r="J10" i="19"/>
  <c r="J18" i="19"/>
  <c r="I19" i="19"/>
  <c r="BK26" i="19"/>
  <c r="BH41" i="20" s="1"/>
  <c r="B19" i="19"/>
  <c r="BB20" i="19"/>
  <c r="BB21" i="19"/>
  <c r="BB11" i="19"/>
  <c r="BB22" i="19"/>
  <c r="BB23" i="19"/>
  <c r="BB24" i="19"/>
  <c r="BB25" i="19"/>
  <c r="H26" i="19"/>
  <c r="T41" i="20" s="1"/>
  <c r="BG8" i="19"/>
  <c r="J20" i="19"/>
  <c r="J21" i="19"/>
  <c r="J11" i="19"/>
  <c r="J22" i="19"/>
  <c r="J23" i="19"/>
  <c r="J24" i="19"/>
  <c r="J25" i="19"/>
  <c r="Z26" i="19"/>
  <c r="AJ41" i="20" s="1"/>
  <c r="AX26" i="19"/>
  <c r="BB41" i="20" s="1"/>
  <c r="Q8" i="19"/>
  <c r="Q12" i="19"/>
  <c r="Q13" i="19"/>
  <c r="Q14" i="19"/>
  <c r="Q9" i="19"/>
  <c r="Q15" i="19"/>
  <c r="Q16" i="19"/>
  <c r="Q17" i="19"/>
  <c r="Q10" i="19"/>
  <c r="Q18" i="19"/>
  <c r="Z33" i="18"/>
  <c r="Z32" i="18" s="1"/>
  <c r="AH28" i="18"/>
  <c r="D28" i="18"/>
  <c r="AJ28" i="18"/>
  <c r="D31" i="18"/>
  <c r="D33" i="18"/>
  <c r="D32" i="18" s="1"/>
  <c r="R33" i="18"/>
  <c r="R32" i="18" s="1"/>
  <c r="F28" i="18"/>
  <c r="H28" i="18"/>
  <c r="AN28" i="18"/>
  <c r="O40" i="17"/>
  <c r="AJ40" i="17"/>
  <c r="M39" i="17"/>
  <c r="M36" i="17"/>
  <c r="BH29" i="17"/>
  <c r="C77" i="17"/>
  <c r="AU40" i="17"/>
  <c r="BE29" i="17"/>
  <c r="BE40" i="17"/>
  <c r="AC39" i="17"/>
  <c r="AQ39" i="17"/>
  <c r="AQ36" i="17"/>
  <c r="I11" i="17"/>
  <c r="R40" i="17"/>
  <c r="AM11" i="17"/>
  <c r="AV29" i="17"/>
  <c r="AV40" i="17"/>
  <c r="BF40" i="17"/>
  <c r="AM12" i="17"/>
  <c r="AM13" i="17"/>
  <c r="AM14" i="17"/>
  <c r="AM15" i="17"/>
  <c r="I16" i="17"/>
  <c r="AM16" i="17"/>
  <c r="AM17" i="17"/>
  <c r="Q29" i="17"/>
  <c r="BG39" i="17"/>
  <c r="BG36" i="17"/>
  <c r="BG37" i="17" s="1"/>
  <c r="S39" i="17"/>
  <c r="S36" i="17"/>
  <c r="Y39" i="17"/>
  <c r="AS40" i="17"/>
  <c r="U11" i="17"/>
  <c r="AY11" i="17"/>
  <c r="AY12" i="17"/>
  <c r="AY13" i="17"/>
  <c r="AY14" i="17"/>
  <c r="U15" i="17"/>
  <c r="AY15" i="17"/>
  <c r="U16" i="17"/>
  <c r="AY16" i="17"/>
  <c r="AY17" i="17"/>
  <c r="U18" i="17"/>
  <c r="AY18" i="17"/>
  <c r="U19" i="17"/>
  <c r="AY19" i="17"/>
  <c r="U20" i="17"/>
  <c r="AY20" i="17"/>
  <c r="AY21" i="17"/>
  <c r="AG29" i="17"/>
  <c r="AP11" i="17"/>
  <c r="BD28" i="17"/>
  <c r="W11" i="17"/>
  <c r="BA11" i="17"/>
  <c r="AJ29" i="17"/>
  <c r="AD40" i="17"/>
  <c r="AM31" i="17"/>
  <c r="AC36" i="17"/>
  <c r="AC37" i="17" s="1"/>
  <c r="AK36" i="17"/>
  <c r="AE41" i="17"/>
  <c r="BC41" i="17"/>
  <c r="G36" i="17"/>
  <c r="AP31" i="17"/>
  <c r="DD40" i="16"/>
  <c r="DD29" i="16"/>
  <c r="P29" i="16"/>
  <c r="Y29" i="16"/>
  <c r="AQ29" i="16"/>
  <c r="BX29" i="16"/>
  <c r="CW29" i="16"/>
  <c r="Z40" i="16"/>
  <c r="BF40" i="16"/>
  <c r="CN40" i="16"/>
  <c r="CH14" i="16"/>
  <c r="DI14" i="16" s="1"/>
  <c r="F29" i="16"/>
  <c r="Q29" i="16"/>
  <c r="AI29" i="16"/>
  <c r="AR29" i="16"/>
  <c r="BL29" i="16"/>
  <c r="BY29" i="16"/>
  <c r="CM29" i="16"/>
  <c r="AB40" i="16"/>
  <c r="BH40" i="16"/>
  <c r="CP40" i="16"/>
  <c r="CD40" i="16"/>
  <c r="CD29" i="16"/>
  <c r="G29" i="16"/>
  <c r="R29" i="16"/>
  <c r="AA29" i="16"/>
  <c r="AJ29" i="16"/>
  <c r="BM29" i="16"/>
  <c r="BZ29" i="16"/>
  <c r="V33" i="16"/>
  <c r="V41" i="16" s="1"/>
  <c r="CJ33" i="16"/>
  <c r="CJ41" i="16" s="1"/>
  <c r="BV40" i="16"/>
  <c r="BV29" i="16"/>
  <c r="CI31" i="16"/>
  <c r="J29" i="16"/>
  <c r="S29" i="16"/>
  <c r="BD29" i="16"/>
  <c r="CO29" i="16"/>
  <c r="DE29" i="16"/>
  <c r="DF33" i="16"/>
  <c r="DF41" i="16" s="1"/>
  <c r="BR40" i="16"/>
  <c r="U29" i="16"/>
  <c r="U40" i="16"/>
  <c r="AC29" i="16"/>
  <c r="AC40" i="16"/>
  <c r="AK29" i="16"/>
  <c r="AK40" i="16"/>
  <c r="AS29" i="16"/>
  <c r="AS40" i="16"/>
  <c r="BA29" i="16"/>
  <c r="BA40" i="16"/>
  <c r="BI29" i="16"/>
  <c r="BI40" i="16"/>
  <c r="BS29" i="16"/>
  <c r="BS40" i="16"/>
  <c r="CA29" i="16"/>
  <c r="CA40" i="16"/>
  <c r="CQ29" i="16"/>
  <c r="CQ40" i="16"/>
  <c r="K29" i="16"/>
  <c r="AV29" i="16"/>
  <c r="BE29" i="16"/>
  <c r="BO29" i="16"/>
  <c r="CE29" i="16"/>
  <c r="DF29" i="16"/>
  <c r="F33" i="16"/>
  <c r="F41" i="16" s="1"/>
  <c r="CV33" i="16"/>
  <c r="CV41" i="16" s="1"/>
  <c r="CH31" i="16"/>
  <c r="CT40" i="16"/>
  <c r="CT29" i="16"/>
  <c r="X29" i="16"/>
  <c r="V40" i="16"/>
  <c r="AD40" i="16"/>
  <c r="AL40" i="16"/>
  <c r="AT40" i="16"/>
  <c r="BB40" i="16"/>
  <c r="BJ40" i="16"/>
  <c r="BT40" i="16"/>
  <c r="CB40" i="16"/>
  <c r="CJ40" i="16"/>
  <c r="CR40" i="16"/>
  <c r="DB40" i="16"/>
  <c r="V29" i="16"/>
  <c r="AN29" i="16"/>
  <c r="AW29" i="16"/>
  <c r="CF29" i="16"/>
  <c r="CR29" i="16"/>
  <c r="DG29" i="16"/>
  <c r="CL40" i="16"/>
  <c r="CL29" i="16"/>
  <c r="W40" i="16"/>
  <c r="AE40" i="16"/>
  <c r="AM40" i="16"/>
  <c r="AU40" i="16"/>
  <c r="BC40" i="16"/>
  <c r="BK40" i="16"/>
  <c r="BK29" i="16"/>
  <c r="BU40" i="16"/>
  <c r="BU29" i="16"/>
  <c r="CC40" i="16"/>
  <c r="CC29" i="16"/>
  <c r="CS40" i="16"/>
  <c r="CS29" i="16"/>
  <c r="DC40" i="16"/>
  <c r="DC29" i="16"/>
  <c r="W29" i="16"/>
  <c r="AF29" i="16"/>
  <c r="AO29" i="16"/>
  <c r="AX29" i="16"/>
  <c r="BG29" i="16"/>
  <c r="BT29" i="16"/>
  <c r="CG29" i="16"/>
  <c r="CU29" i="16"/>
  <c r="S33" i="16"/>
  <c r="S41" i="16" s="1"/>
  <c r="AA33" i="16"/>
  <c r="AA41" i="16" s="1"/>
  <c r="AI33" i="16"/>
  <c r="AI41" i="16" s="1"/>
  <c r="AQ33" i="16"/>
  <c r="AQ41" i="16" s="1"/>
  <c r="AY33" i="16"/>
  <c r="AY41" i="16" s="1"/>
  <c r="BG33" i="16"/>
  <c r="BG41" i="16" s="1"/>
  <c r="BO33" i="16"/>
  <c r="BO41" i="16" s="1"/>
  <c r="D15" i="12"/>
  <c r="E15" i="12"/>
  <c r="H59" i="11"/>
  <c r="D171" i="11"/>
  <c r="I272" i="11"/>
  <c r="F19" i="11"/>
  <c r="D62" i="11"/>
  <c r="F63" i="11"/>
  <c r="D84" i="11"/>
  <c r="C12" i="7" s="1"/>
  <c r="F12" i="7" s="1"/>
  <c r="D258" i="11"/>
  <c r="E547" i="11"/>
  <c r="H547" i="11" s="1"/>
  <c r="F34" i="11"/>
  <c r="F38" i="11"/>
  <c r="G40" i="11"/>
  <c r="G34" i="11" s="1"/>
  <c r="I34" i="11" s="1"/>
  <c r="H52" i="11"/>
  <c r="D61" i="11"/>
  <c r="F80" i="11"/>
  <c r="E127" i="11"/>
  <c r="G184" i="11"/>
  <c r="D186" i="11"/>
  <c r="G187" i="11"/>
  <c r="I187" i="11" s="1"/>
  <c r="D189" i="11"/>
  <c r="D529" i="11" s="1"/>
  <c r="G212" i="11"/>
  <c r="I212" i="11" s="1"/>
  <c r="I218" i="11"/>
  <c r="E239" i="11"/>
  <c r="H239" i="11" s="1"/>
  <c r="H238" i="11"/>
  <c r="F133" i="11"/>
  <c r="I9" i="7" s="1"/>
  <c r="G9" i="7" s="1"/>
  <c r="G303" i="11"/>
  <c r="F438" i="11"/>
  <c r="H437" i="11"/>
  <c r="E145" i="11"/>
  <c r="H6" i="7" s="1"/>
  <c r="F171" i="11"/>
  <c r="E14" i="11"/>
  <c r="G38" i="11"/>
  <c r="G56" i="11"/>
  <c r="I56" i="11" s="1"/>
  <c r="I58" i="11"/>
  <c r="H122" i="11"/>
  <c r="G122" i="11"/>
  <c r="I122" i="11" s="1"/>
  <c r="E124" i="11"/>
  <c r="G143" i="11"/>
  <c r="I143" i="11" s="1"/>
  <c r="F230" i="11"/>
  <c r="D248" i="11"/>
  <c r="E345" i="11"/>
  <c r="H345" i="11" s="1"/>
  <c r="H344" i="11"/>
  <c r="G344" i="11"/>
  <c r="I344" i="11" s="1"/>
  <c r="H246" i="11"/>
  <c r="E55" i="11"/>
  <c r="H56" i="11"/>
  <c r="D94" i="11"/>
  <c r="J92" i="11"/>
  <c r="D216" i="11"/>
  <c r="G216" i="11" s="1"/>
  <c r="I216" i="11" s="1"/>
  <c r="G213" i="11"/>
  <c r="I213" i="11" s="1"/>
  <c r="D204" i="11"/>
  <c r="D207" i="11" s="1"/>
  <c r="G238" i="11"/>
  <c r="I238" i="11" s="1"/>
  <c r="H131" i="11"/>
  <c r="I134" i="11"/>
  <c r="G261" i="11"/>
  <c r="I260" i="11"/>
  <c r="G391" i="11"/>
  <c r="I391" i="11" s="1"/>
  <c r="I390" i="11"/>
  <c r="E335" i="11"/>
  <c r="H335" i="11" s="1"/>
  <c r="H363" i="11"/>
  <c r="G363" i="11"/>
  <c r="I363" i="11" s="1"/>
  <c r="F10" i="11"/>
  <c r="J18" i="11"/>
  <c r="I49" i="11"/>
  <c r="D68" i="11"/>
  <c r="H146" i="11"/>
  <c r="J184" i="11"/>
  <c r="E220" i="11"/>
  <c r="H217" i="11"/>
  <c r="G217" i="11"/>
  <c r="H14" i="11"/>
  <c r="G81" i="11"/>
  <c r="I81" i="11" s="1"/>
  <c r="H128" i="11"/>
  <c r="F216" i="11"/>
  <c r="H213" i="11"/>
  <c r="G456" i="11"/>
  <c r="I456" i="11" s="1"/>
  <c r="I460" i="11"/>
  <c r="F160" i="11"/>
  <c r="H209" i="11"/>
  <c r="F224" i="11"/>
  <c r="H283" i="11"/>
  <c r="D530" i="11"/>
  <c r="H302" i="11"/>
  <c r="D315" i="11"/>
  <c r="G315" i="11" s="1"/>
  <c r="I315" i="11" s="1"/>
  <c r="G314" i="11"/>
  <c r="I314" i="11" s="1"/>
  <c r="E388" i="11"/>
  <c r="H388" i="11" s="1"/>
  <c r="G387" i="11"/>
  <c r="F391" i="11"/>
  <c r="H390" i="11"/>
  <c r="F408" i="11"/>
  <c r="H408" i="11" s="1"/>
  <c r="H407" i="11"/>
  <c r="H441" i="11"/>
  <c r="F500" i="11"/>
  <c r="F495" i="11" s="1"/>
  <c r="F497" i="11" s="1"/>
  <c r="H499" i="11"/>
  <c r="D494" i="11"/>
  <c r="C25" i="6"/>
  <c r="F25" i="6" s="1"/>
  <c r="H125" i="11"/>
  <c r="H143" i="11"/>
  <c r="D192" i="11"/>
  <c r="C15" i="7" s="1"/>
  <c r="F15" i="7" s="1"/>
  <c r="I222" i="11"/>
  <c r="E286" i="11"/>
  <c r="G286" i="11" s="1"/>
  <c r="D312" i="11"/>
  <c r="D268" i="11" s="1"/>
  <c r="F324" i="11"/>
  <c r="H324" i="11" s="1"/>
  <c r="H323" i="11"/>
  <c r="I341" i="11"/>
  <c r="I451" i="11"/>
  <c r="F261" i="11"/>
  <c r="G263" i="11"/>
  <c r="I263" i="11" s="1"/>
  <c r="F273" i="11"/>
  <c r="E354" i="11"/>
  <c r="G351" i="11"/>
  <c r="I351" i="11" s="1"/>
  <c r="D367" i="11"/>
  <c r="F403" i="11"/>
  <c r="H403" i="11" s="1"/>
  <c r="H400" i="11"/>
  <c r="H426" i="11"/>
  <c r="G506" i="11"/>
  <c r="G495" i="11" s="1"/>
  <c r="F189" i="11"/>
  <c r="E136" i="11"/>
  <c r="H330" i="11"/>
  <c r="H351" i="11"/>
  <c r="G384" i="11"/>
  <c r="I384" i="11" s="1"/>
  <c r="I395" i="11"/>
  <c r="F548" i="11"/>
  <c r="E471" i="11"/>
  <c r="G470" i="11"/>
  <c r="H474" i="11"/>
  <c r="H506" i="11"/>
  <c r="F121" i="11"/>
  <c r="D183" i="11"/>
  <c r="C21" i="6" s="1"/>
  <c r="F21" i="6" s="1"/>
  <c r="H184" i="11"/>
  <c r="D383" i="11"/>
  <c r="D385" i="11" s="1"/>
  <c r="I467" i="11"/>
  <c r="G468" i="11"/>
  <c r="I468" i="11" s="1"/>
  <c r="E483" i="11"/>
  <c r="H482" i="11"/>
  <c r="G482" i="11"/>
  <c r="I482" i="11" s="1"/>
  <c r="H119" i="11"/>
  <c r="G153" i="11"/>
  <c r="G291" i="11"/>
  <c r="H303" i="11"/>
  <c r="D334" i="11"/>
  <c r="D336" i="11" s="1"/>
  <c r="G339" i="11"/>
  <c r="I339" i="11" s="1"/>
  <c r="E359" i="11"/>
  <c r="G359" i="11" s="1"/>
  <c r="I359" i="11" s="1"/>
  <c r="H358" i="11"/>
  <c r="G358" i="11"/>
  <c r="I358" i="11" s="1"/>
  <c r="H411" i="11"/>
  <c r="I428" i="11"/>
  <c r="G323" i="11"/>
  <c r="F342" i="11"/>
  <c r="G400" i="11"/>
  <c r="I400" i="11" s="1"/>
  <c r="G407" i="11"/>
  <c r="I407" i="11" s="1"/>
  <c r="E417" i="11"/>
  <c r="G417" i="11" s="1"/>
  <c r="I417" i="11" s="1"/>
  <c r="G437" i="11"/>
  <c r="H440" i="11"/>
  <c r="H447" i="11"/>
  <c r="H451" i="11"/>
  <c r="H460" i="11"/>
  <c r="E468" i="11"/>
  <c r="G329" i="11"/>
  <c r="F339" i="11"/>
  <c r="H339" i="11" s="1"/>
  <c r="F377" i="11"/>
  <c r="F549" i="11" s="1"/>
  <c r="F399" i="11"/>
  <c r="E414" i="11"/>
  <c r="H414" i="11" s="1"/>
  <c r="E429" i="11"/>
  <c r="H429" i="11" s="1"/>
  <c r="F432" i="11"/>
  <c r="E325" i="11"/>
  <c r="G325" i="11" s="1"/>
  <c r="I325" i="11" s="1"/>
  <c r="H329" i="11"/>
  <c r="E362" i="11"/>
  <c r="G362" i="11" s="1"/>
  <c r="I362" i="11" s="1"/>
  <c r="E376" i="11"/>
  <c r="G376" i="11" s="1"/>
  <c r="I376" i="11" s="1"/>
  <c r="E394" i="11"/>
  <c r="G394" i="11" s="1"/>
  <c r="I394" i="11" s="1"/>
  <c r="G434" i="11"/>
  <c r="H453" i="11"/>
  <c r="H459" i="11"/>
  <c r="G484" i="11"/>
  <c r="G416" i="11"/>
  <c r="I416" i="11" s="1"/>
  <c r="E452" i="11"/>
  <c r="G452" i="11" s="1"/>
  <c r="I453" i="11"/>
  <c r="D548" i="11"/>
  <c r="F8" i="9"/>
  <c r="G10" i="9"/>
  <c r="F14" i="9"/>
  <c r="G16" i="9"/>
  <c r="I29" i="9"/>
  <c r="H47" i="9"/>
  <c r="G22" i="9"/>
  <c r="I22" i="9" s="1"/>
  <c r="G38" i="9"/>
  <c r="F6" i="7"/>
  <c r="BJ28" i="5"/>
  <c r="Z28" i="5"/>
  <c r="JN10" i="5"/>
  <c r="JN28" i="5" s="1"/>
  <c r="KP28" i="5"/>
  <c r="LA28" i="5"/>
  <c r="HB11" i="5"/>
  <c r="HB12" i="5"/>
  <c r="HB13" i="5"/>
  <c r="HN18" i="5"/>
  <c r="DA28" i="5"/>
  <c r="KQ10" i="5"/>
  <c r="DC16" i="5"/>
  <c r="DN10" i="5"/>
  <c r="JD28" i="5"/>
  <c r="DC10" i="5"/>
  <c r="HF10" i="5"/>
  <c r="HF28" i="5" s="1"/>
  <c r="IJ28" i="5"/>
  <c r="IJ35" i="5" s="1"/>
  <c r="IT10" i="5"/>
  <c r="IT28" i="5" s="1"/>
  <c r="JR10" i="5"/>
  <c r="JR28" i="5" s="1"/>
  <c r="KH28" i="5"/>
  <c r="KS28" i="5"/>
  <c r="LC28" i="5"/>
  <c r="LC35" i="5" s="1"/>
  <c r="KD10" i="5"/>
  <c r="KD28" i="5" s="1"/>
  <c r="AW28" i="5"/>
  <c r="GS28" i="5"/>
  <c r="BZ10" i="5"/>
  <c r="BZ28" i="5" s="1"/>
  <c r="BM28" i="5"/>
  <c r="CS28" i="5"/>
  <c r="KQ15" i="5"/>
  <c r="KQ17" i="5"/>
  <c r="DC18" i="5"/>
  <c r="CL10" i="5"/>
  <c r="CL28" i="5" s="1"/>
  <c r="BI28" i="5"/>
  <c r="HR10" i="5"/>
  <c r="DR10" i="5"/>
  <c r="DR28" i="5" s="1"/>
  <c r="BB28" i="5"/>
  <c r="BN10" i="5"/>
  <c r="BN28" i="5" s="1"/>
  <c r="CT10" i="5"/>
  <c r="CT28" i="5" s="1"/>
  <c r="DV10" i="5"/>
  <c r="DV28" i="5" s="1"/>
  <c r="GV28" i="5"/>
  <c r="GV35" i="5" s="1"/>
  <c r="HJ10" i="5"/>
  <c r="HJ28" i="5" s="1"/>
  <c r="IX10" i="5"/>
  <c r="IX28" i="5" s="1"/>
  <c r="IX35" i="5" s="1"/>
  <c r="KU10" i="5"/>
  <c r="AT28" i="5"/>
  <c r="FT28" i="5"/>
  <c r="FT35" i="5" s="1"/>
  <c r="GE10" i="5"/>
  <c r="GE28" i="5" s="1"/>
  <c r="IQ10" i="5"/>
  <c r="AB28" i="5"/>
  <c r="CP10" i="5"/>
  <c r="CP28" i="5" s="1"/>
  <c r="EH10" i="5"/>
  <c r="EH28" i="5" s="1"/>
  <c r="BA28" i="5"/>
  <c r="V28" i="5"/>
  <c r="CD10" i="5"/>
  <c r="CD28" i="5" s="1"/>
  <c r="DF10" i="5"/>
  <c r="DF28" i="5" s="1"/>
  <c r="EN10" i="5"/>
  <c r="EN28" i="5" s="1"/>
  <c r="EN35" i="5" s="1"/>
  <c r="GL10" i="5"/>
  <c r="GL28" i="5" s="1"/>
  <c r="HV10" i="5"/>
  <c r="HV28" i="5" s="1"/>
  <c r="W28" i="5"/>
  <c r="BD28" i="5"/>
  <c r="BD35" i="5" s="1"/>
  <c r="CG28" i="5"/>
  <c r="DI28" i="5"/>
  <c r="DY28" i="5"/>
  <c r="EO28" i="5"/>
  <c r="FQ28" i="5"/>
  <c r="FY28" i="5"/>
  <c r="GO28" i="5"/>
  <c r="IM10" i="5"/>
  <c r="CY16" i="5"/>
  <c r="HN16" i="5"/>
  <c r="DC17" i="5"/>
  <c r="KQ19" i="5"/>
  <c r="CY20" i="5"/>
  <c r="BH28" i="5"/>
  <c r="BH35" i="5" s="1"/>
  <c r="EW28" i="5"/>
  <c r="HB10" i="5"/>
  <c r="X28" i="5"/>
  <c r="BE28" i="5"/>
  <c r="CH28" i="5"/>
  <c r="CX28" i="5"/>
  <c r="DJ28" i="5"/>
  <c r="DZ28" i="5"/>
  <c r="ER28" i="5"/>
  <c r="ER35" i="5" s="1"/>
  <c r="FR28" i="5"/>
  <c r="GA28" i="5"/>
  <c r="HN10" i="5"/>
  <c r="KM28" i="5"/>
  <c r="KM35" i="5" s="1"/>
  <c r="DC19" i="5"/>
  <c r="KQ20" i="5"/>
  <c r="IQ22" i="5"/>
  <c r="DC23" i="5"/>
  <c r="CL30" i="5"/>
  <c r="CL32" i="5" s="1"/>
  <c r="CK32" i="5"/>
  <c r="HI32" i="5"/>
  <c r="HJ30" i="5"/>
  <c r="HJ32" i="5" s="1"/>
  <c r="DC22" i="5"/>
  <c r="HR22" i="5"/>
  <c r="R22" i="5" s="1"/>
  <c r="G22" i="5" s="1"/>
  <c r="KQ23" i="5"/>
  <c r="DC21" i="5"/>
  <c r="KQ22" i="5"/>
  <c r="KQ26" i="5"/>
  <c r="DC27" i="5"/>
  <c r="JW35" i="5"/>
  <c r="CY23" i="5"/>
  <c r="DC24" i="5"/>
  <c r="KQ21" i="5"/>
  <c r="KQ24" i="5"/>
  <c r="HH35" i="5"/>
  <c r="AO32" i="5"/>
  <c r="AP30" i="5"/>
  <c r="AP32" i="5" s="1"/>
  <c r="FM32" i="5"/>
  <c r="FN30" i="5"/>
  <c r="FN32" i="5" s="1"/>
  <c r="FN35" i="5" s="1"/>
  <c r="JV32" i="5"/>
  <c r="AS32" i="5"/>
  <c r="AT30" i="5"/>
  <c r="AT32" i="5" s="1"/>
  <c r="DQ32" i="5"/>
  <c r="DR30" i="5"/>
  <c r="DR32" i="5" s="1"/>
  <c r="IO32" i="5"/>
  <c r="IP30" i="5"/>
  <c r="IP32" i="5" s="1"/>
  <c r="BU32" i="5"/>
  <c r="BV30" i="5"/>
  <c r="BV32" i="5" s="1"/>
  <c r="GS32" i="5"/>
  <c r="GT30" i="5"/>
  <c r="GT32" i="5" s="1"/>
  <c r="GT35" i="5" s="1"/>
  <c r="KC32" i="5"/>
  <c r="KD30" i="5"/>
  <c r="KD32" i="5" s="1"/>
  <c r="JJ31" i="5"/>
  <c r="JJ32" i="5" s="1"/>
  <c r="AN35" i="5"/>
  <c r="DA32" i="5"/>
  <c r="DB30" i="5"/>
  <c r="DB32" i="5" s="1"/>
  <c r="HY32" i="5"/>
  <c r="HZ30" i="5"/>
  <c r="HZ32" i="5" s="1"/>
  <c r="BE32" i="5"/>
  <c r="BF30" i="5"/>
  <c r="BF32" i="5" s="1"/>
  <c r="GC32" i="5"/>
  <c r="GE30" i="5"/>
  <c r="GE32" i="5" s="1"/>
  <c r="EG32" i="5"/>
  <c r="EH30" i="5"/>
  <c r="EH32" i="5" s="1"/>
  <c r="IH32" i="5"/>
  <c r="IH35" i="5" s="1"/>
  <c r="JM32" i="5"/>
  <c r="JN30" i="5"/>
  <c r="JN32" i="5" s="1"/>
  <c r="BM32" i="5"/>
  <c r="DY32" i="5"/>
  <c r="KK32" i="5"/>
  <c r="GK32" i="5"/>
  <c r="IW32" i="5"/>
  <c r="BZ30" i="5"/>
  <c r="BZ32" i="5" s="1"/>
  <c r="DF30" i="5"/>
  <c r="DF32" i="5" s="1"/>
  <c r="FR30" i="5"/>
  <c r="FR32" i="5" s="1"/>
  <c r="GX30" i="5"/>
  <c r="GX32" i="5" s="1"/>
  <c r="ID30" i="5"/>
  <c r="ID32" i="5" s="1"/>
  <c r="ID35" i="5" s="1"/>
  <c r="JR30" i="5"/>
  <c r="JR32" i="5" s="1"/>
  <c r="KH30" i="5"/>
  <c r="KH32" i="5" s="1"/>
  <c r="KU30" i="5"/>
  <c r="HA32" i="5"/>
  <c r="CT30" i="5"/>
  <c r="CT32" i="5" s="1"/>
  <c r="DJ30" i="5"/>
  <c r="DJ32" i="5" s="1"/>
  <c r="FF30" i="5"/>
  <c r="FF32" i="5" s="1"/>
  <c r="HR30" i="5"/>
  <c r="HR32" i="5" s="1"/>
  <c r="JH32" i="5"/>
  <c r="KX30" i="5"/>
  <c r="KX32" i="5" s="1"/>
  <c r="HE32" i="5"/>
  <c r="HU32" i="5"/>
  <c r="IK32" i="5"/>
  <c r="JA32" i="5"/>
  <c r="JI32" i="5"/>
  <c r="HF32" i="5"/>
  <c r="HV32" i="5"/>
  <c r="IL32" i="5"/>
  <c r="S17" i="5" l="1"/>
  <c r="H17" i="5" s="1"/>
  <c r="E495" i="11"/>
  <c r="E497" i="11" s="1"/>
  <c r="G494" i="11"/>
  <c r="G497" i="11" s="1"/>
  <c r="D513" i="11"/>
  <c r="D497" i="11"/>
  <c r="H9" i="7"/>
  <c r="G136" i="11"/>
  <c r="I136" i="11" s="1"/>
  <c r="I8" i="10"/>
  <c r="Q26" i="5"/>
  <c r="BF35" i="5"/>
  <c r="G115" i="11"/>
  <c r="I115" i="11" s="1"/>
  <c r="F117" i="11"/>
  <c r="E18" i="19"/>
  <c r="UY22" i="21" s="1"/>
  <c r="G121" i="11"/>
  <c r="E117" i="11"/>
  <c r="G547" i="11"/>
  <c r="I547" i="11" s="1"/>
  <c r="D528" i="11"/>
  <c r="HR26" i="5"/>
  <c r="R26" i="5" s="1"/>
  <c r="G26" i="5" s="1"/>
  <c r="F180" i="11"/>
  <c r="F183" i="11" s="1"/>
  <c r="I21" i="6" s="1"/>
  <c r="G21" i="6" s="1"/>
  <c r="IG35" i="5"/>
  <c r="I30" i="9"/>
  <c r="G61" i="9"/>
  <c r="F529" i="11"/>
  <c r="BV28" i="5"/>
  <c r="BV35" i="5" s="1"/>
  <c r="S24" i="5"/>
  <c r="H24" i="5" s="1"/>
  <c r="F369" i="11"/>
  <c r="F370" i="11" s="1"/>
  <c r="Q13" i="5"/>
  <c r="L13" i="5" s="1"/>
  <c r="Q16" i="5"/>
  <c r="L16" i="5" s="1"/>
  <c r="BU28" i="5"/>
  <c r="BU35" i="5" s="1"/>
  <c r="R16" i="5"/>
  <c r="G16" i="5" s="1"/>
  <c r="Q10" i="5"/>
  <c r="L10" i="5" s="1"/>
  <c r="JC35" i="5"/>
  <c r="S21" i="5"/>
  <c r="H21" i="5" s="1"/>
  <c r="F21" i="5" s="1"/>
  <c r="I13" i="7"/>
  <c r="G13" i="7" s="1"/>
  <c r="E20" i="12"/>
  <c r="Q14" i="5"/>
  <c r="L14" i="5" s="1"/>
  <c r="K184" i="11"/>
  <c r="K125" i="11"/>
  <c r="K37" i="11"/>
  <c r="I323" i="11"/>
  <c r="BR32" i="5"/>
  <c r="E21" i="19"/>
  <c r="UY25" i="21" s="1"/>
  <c r="AZ27" i="17"/>
  <c r="Q15" i="5"/>
  <c r="L15" i="5" s="1"/>
  <c r="F528" i="11"/>
  <c r="F530" i="11"/>
  <c r="F41" i="3"/>
  <c r="F176" i="11"/>
  <c r="F179" i="11" s="1"/>
  <c r="I20" i="6" s="1"/>
  <c r="G20" i="6" s="1"/>
  <c r="E12" i="19"/>
  <c r="UY16" i="21" s="1"/>
  <c r="HR19" i="5"/>
  <c r="R19" i="5" s="1"/>
  <c r="G19" i="5" s="1"/>
  <c r="E16" i="19"/>
  <c r="UY20" i="21" s="1"/>
  <c r="E20" i="19"/>
  <c r="UY24" i="21" s="1"/>
  <c r="HR18" i="5"/>
  <c r="R18" i="5" s="1"/>
  <c r="G18" i="5" s="1"/>
  <c r="BQ32" i="5"/>
  <c r="AZ28" i="17"/>
  <c r="Q21" i="5"/>
  <c r="L21" i="5" s="1"/>
  <c r="G290" i="11"/>
  <c r="I303" i="11"/>
  <c r="Q17" i="5"/>
  <c r="L17" i="5" s="1"/>
  <c r="AS26" i="20"/>
  <c r="AZ22" i="17"/>
  <c r="HQ28" i="5"/>
  <c r="HQ35" i="5" s="1"/>
  <c r="E13" i="19"/>
  <c r="UY17" i="21" s="1"/>
  <c r="BQ28" i="5"/>
  <c r="Q25" i="5"/>
  <c r="L25" i="5" s="1"/>
  <c r="HR25" i="5"/>
  <c r="R25" i="5" s="1"/>
  <c r="G25" i="5" s="1"/>
  <c r="E25" i="19"/>
  <c r="UY29" i="21" s="1"/>
  <c r="I42" i="9"/>
  <c r="S15" i="5"/>
  <c r="H15" i="5" s="1"/>
  <c r="F15" i="5" s="1"/>
  <c r="S20" i="5"/>
  <c r="H20" i="5" s="1"/>
  <c r="F20" i="5" s="1"/>
  <c r="S19" i="5"/>
  <c r="H19" i="5" s="1"/>
  <c r="R24" i="5"/>
  <c r="G24" i="5" s="1"/>
  <c r="FF35" i="5"/>
  <c r="JB35" i="5"/>
  <c r="S18" i="5"/>
  <c r="H18" i="5" s="1"/>
  <c r="R13" i="5"/>
  <c r="G13" i="5" s="1"/>
  <c r="R31" i="5"/>
  <c r="G31" i="5" s="1"/>
  <c r="F31" i="5" s="1"/>
  <c r="R12" i="5"/>
  <c r="G12" i="5" s="1"/>
  <c r="R11" i="5"/>
  <c r="G11" i="5" s="1"/>
  <c r="S23" i="5"/>
  <c r="H23" i="5" s="1"/>
  <c r="F23" i="5" s="1"/>
  <c r="S13" i="5"/>
  <c r="H13" i="5" s="1"/>
  <c r="S22" i="5"/>
  <c r="H22" i="5" s="1"/>
  <c r="F22" i="5" s="1"/>
  <c r="AO12" i="21"/>
  <c r="AH11" i="17" s="1"/>
  <c r="BC39" i="16"/>
  <c r="F235" i="11"/>
  <c r="F236" i="11" s="1"/>
  <c r="F205" i="11" s="1"/>
  <c r="S11" i="5"/>
  <c r="H11" i="5" s="1"/>
  <c r="Y32" i="5"/>
  <c r="S25" i="5"/>
  <c r="H25" i="5" s="1"/>
  <c r="JD35" i="5"/>
  <c r="S27" i="5"/>
  <c r="H27" i="5" s="1"/>
  <c r="S30" i="5"/>
  <c r="H30" i="5" s="1"/>
  <c r="H32" i="5" s="1"/>
  <c r="S12" i="5"/>
  <c r="H12" i="5" s="1"/>
  <c r="CC32" i="5"/>
  <c r="CC35" i="5" s="1"/>
  <c r="GK35" i="5"/>
  <c r="S16" i="5"/>
  <c r="H16" i="5" s="1"/>
  <c r="FE35" i="5"/>
  <c r="S26" i="5"/>
  <c r="H26" i="5" s="1"/>
  <c r="C33" i="8"/>
  <c r="C34" i="8" s="1"/>
  <c r="E10" i="19"/>
  <c r="UY14" i="21" s="1"/>
  <c r="E22" i="19"/>
  <c r="UY26" i="21" s="1"/>
  <c r="H186" i="11"/>
  <c r="C9" i="20"/>
  <c r="UU13" i="21" s="1"/>
  <c r="AO13" i="21" s="1"/>
  <c r="AE43" i="20"/>
  <c r="AE45" i="20" s="1"/>
  <c r="BA20" i="17"/>
  <c r="BH33" i="20"/>
  <c r="BH43" i="20" s="1"/>
  <c r="E30" i="11" s="1"/>
  <c r="O16" i="5"/>
  <c r="D16" i="5" s="1"/>
  <c r="E23" i="19"/>
  <c r="UY27" i="21" s="1"/>
  <c r="F490" i="11"/>
  <c r="F491" i="11" s="1"/>
  <c r="F487" i="11" s="1"/>
  <c r="O30" i="5"/>
  <c r="D30" i="5" s="1"/>
  <c r="D32" i="5" s="1"/>
  <c r="E11" i="19"/>
  <c r="UY15" i="21" s="1"/>
  <c r="E24" i="19"/>
  <c r="UY28" i="21" s="1"/>
  <c r="C21" i="20"/>
  <c r="UU25" i="21" s="1"/>
  <c r="AO25" i="21" s="1"/>
  <c r="AH23" i="17" s="1"/>
  <c r="AU38" i="21"/>
  <c r="F30" i="11"/>
  <c r="F31" i="11" s="1"/>
  <c r="U30" i="20"/>
  <c r="U38" i="20" s="1"/>
  <c r="S14" i="5"/>
  <c r="H14" i="5" s="1"/>
  <c r="F14" i="5" s="1"/>
  <c r="R27" i="5"/>
  <c r="G27" i="5" s="1"/>
  <c r="Y28" i="5"/>
  <c r="S10" i="5"/>
  <c r="H10" i="5" s="1"/>
  <c r="I28" i="5"/>
  <c r="I35" i="5" s="1"/>
  <c r="Q23" i="5"/>
  <c r="L23" i="5" s="1"/>
  <c r="O20" i="5"/>
  <c r="D20" i="5" s="1"/>
  <c r="R10" i="5"/>
  <c r="G10" i="5" s="1"/>
  <c r="O12" i="5"/>
  <c r="D12" i="5" s="1"/>
  <c r="Q30" i="5"/>
  <c r="L30" i="5" s="1"/>
  <c r="Q31" i="5"/>
  <c r="L31" i="5" s="1"/>
  <c r="AZ23" i="17"/>
  <c r="Q24" i="5"/>
  <c r="L24" i="5" s="1"/>
  <c r="Q27" i="5"/>
  <c r="L27" i="5" s="1"/>
  <c r="I161" i="11"/>
  <c r="O24" i="5"/>
  <c r="D24" i="5" s="1"/>
  <c r="O27" i="5"/>
  <c r="D27" i="5" s="1"/>
  <c r="O26" i="5"/>
  <c r="D26" i="5" s="1"/>
  <c r="O21" i="5"/>
  <c r="D21" i="5" s="1"/>
  <c r="O25" i="5"/>
  <c r="D25" i="5" s="1"/>
  <c r="O19" i="5"/>
  <c r="D19" i="5" s="1"/>
  <c r="O13" i="5"/>
  <c r="D13" i="5" s="1"/>
  <c r="O18" i="5"/>
  <c r="D18" i="5" s="1"/>
  <c r="O10" i="5"/>
  <c r="D10" i="5" s="1"/>
  <c r="O17" i="5"/>
  <c r="D17" i="5" s="1"/>
  <c r="O23" i="5"/>
  <c r="D23" i="5" s="1"/>
  <c r="V31" i="5"/>
  <c r="U32" i="5"/>
  <c r="P10" i="5"/>
  <c r="E10" i="5" s="1"/>
  <c r="E28" i="5" s="1"/>
  <c r="I119" i="11"/>
  <c r="G539" i="11"/>
  <c r="HA35" i="5"/>
  <c r="G186" i="11"/>
  <c r="I186" i="11" s="1"/>
  <c r="C13" i="7"/>
  <c r="F13" i="7" s="1"/>
  <c r="C22" i="6"/>
  <c r="F22" i="6" s="1"/>
  <c r="C11" i="6"/>
  <c r="H362" i="11"/>
  <c r="C14" i="7"/>
  <c r="D543" i="11"/>
  <c r="G257" i="11"/>
  <c r="I257" i="11" s="1"/>
  <c r="D140" i="11"/>
  <c r="C7" i="7"/>
  <c r="DI35" i="5"/>
  <c r="E33" i="16"/>
  <c r="E41" i="16" s="1"/>
  <c r="BA16" i="17"/>
  <c r="BA21" i="17"/>
  <c r="BA17" i="17"/>
  <c r="BA13" i="17"/>
  <c r="AR22" i="17"/>
  <c r="BA18" i="17"/>
  <c r="BA26" i="17"/>
  <c r="BA12" i="17"/>
  <c r="BA14" i="17"/>
  <c r="BA27" i="17"/>
  <c r="BA28" i="17"/>
  <c r="C23" i="20"/>
  <c r="UU27" i="21" s="1"/>
  <c r="AO27" i="21" s="1"/>
  <c r="AH26" i="17" s="1"/>
  <c r="C28" i="20"/>
  <c r="C24" i="20"/>
  <c r="UU28" i="21" s="1"/>
  <c r="AO28" i="21" s="1"/>
  <c r="AH27" i="17" s="1"/>
  <c r="C29" i="20"/>
  <c r="UU33" i="21" s="1"/>
  <c r="AO33" i="21" s="1"/>
  <c r="C15" i="20"/>
  <c r="UU19" i="21" s="1"/>
  <c r="AO19" i="21" s="1"/>
  <c r="AH16" i="17" s="1"/>
  <c r="C16" i="20"/>
  <c r="UU20" i="21" s="1"/>
  <c r="AO20" i="21" s="1"/>
  <c r="AH17" i="17" s="1"/>
  <c r="C13" i="20"/>
  <c r="UU17" i="21" s="1"/>
  <c r="AO17" i="21" s="1"/>
  <c r="C22" i="20"/>
  <c r="UU26" i="21" s="1"/>
  <c r="AO26" i="21" s="1"/>
  <c r="AH25" i="17" s="1"/>
  <c r="C14" i="20"/>
  <c r="UU18" i="21" s="1"/>
  <c r="AO18" i="21" s="1"/>
  <c r="AH14" i="17" s="1"/>
  <c r="AT20" i="17"/>
  <c r="AT15" i="17"/>
  <c r="BN14" i="17"/>
  <c r="DQ35" i="5"/>
  <c r="CD35" i="5"/>
  <c r="L26" i="5"/>
  <c r="KC35" i="5"/>
  <c r="H471" i="11"/>
  <c r="AU36" i="16"/>
  <c r="BW39" i="16"/>
  <c r="L22" i="5"/>
  <c r="GC35" i="5"/>
  <c r="KT35" i="5"/>
  <c r="L11" i="5"/>
  <c r="AE36" i="16"/>
  <c r="JU35" i="5"/>
  <c r="L12" i="5"/>
  <c r="AX30" i="5"/>
  <c r="AX32" i="5" s="1"/>
  <c r="AX35" i="5" s="1"/>
  <c r="EG35" i="5"/>
  <c r="JF35" i="5"/>
  <c r="L18" i="5"/>
  <c r="EO32" i="5"/>
  <c r="EO35" i="5" s="1"/>
  <c r="EO36" i="5" s="1"/>
  <c r="L20" i="5"/>
  <c r="GL35" i="5"/>
  <c r="LA35" i="5"/>
  <c r="EW35" i="5"/>
  <c r="EW36" i="5" s="1"/>
  <c r="L19" i="5"/>
  <c r="AP39" i="16"/>
  <c r="AM36" i="16"/>
  <c r="AR27" i="17"/>
  <c r="AG36" i="16"/>
  <c r="AU39" i="16"/>
  <c r="IP35" i="5"/>
  <c r="AE39" i="16"/>
  <c r="H278" i="11"/>
  <c r="E8" i="19"/>
  <c r="UY12" i="21" s="1"/>
  <c r="E15" i="19"/>
  <c r="UY19" i="21" s="1"/>
  <c r="VE13" i="21"/>
  <c r="AI15" i="17" s="1"/>
  <c r="ED10" i="5"/>
  <c r="ED28" i="5" s="1"/>
  <c r="ED35" i="5" s="1"/>
  <c r="BA22" i="17"/>
  <c r="AO22" i="17"/>
  <c r="FY35" i="5"/>
  <c r="AO26" i="17"/>
  <c r="AZ13" i="17"/>
  <c r="AR13" i="17"/>
  <c r="F15" i="11"/>
  <c r="F16" i="11" s="1"/>
  <c r="AO16" i="17"/>
  <c r="KW35" i="5"/>
  <c r="HN30" i="5"/>
  <c r="HN32" i="5" s="1"/>
  <c r="CW28" i="5"/>
  <c r="CW35" i="5" s="1"/>
  <c r="AR28" i="17"/>
  <c r="AD39" i="16"/>
  <c r="FB30" i="5"/>
  <c r="FB32" i="5" s="1"/>
  <c r="FB35" i="5" s="1"/>
  <c r="AR24" i="17"/>
  <c r="AZ24" i="17"/>
  <c r="AX24" i="17" s="1"/>
  <c r="CP36" i="16"/>
  <c r="BA25" i="17"/>
  <c r="AU29" i="17"/>
  <c r="AU39" i="17" s="1"/>
  <c r="AR17" i="17"/>
  <c r="AZ17" i="17"/>
  <c r="C12" i="20"/>
  <c r="UU16" i="21" s="1"/>
  <c r="AO16" i="21" s="1"/>
  <c r="AZ25" i="17"/>
  <c r="C20" i="20"/>
  <c r="UU24" i="21" s="1"/>
  <c r="AO24" i="21" s="1"/>
  <c r="C17" i="20"/>
  <c r="UU21" i="21" s="1"/>
  <c r="AO21" i="21" s="1"/>
  <c r="C18" i="20"/>
  <c r="UU22" i="21" s="1"/>
  <c r="AO22" i="21" s="1"/>
  <c r="AL39" i="16"/>
  <c r="C19" i="20"/>
  <c r="UU23" i="21" s="1"/>
  <c r="C25" i="20"/>
  <c r="UU29" i="21" s="1"/>
  <c r="AO29" i="21" s="1"/>
  <c r="G450" i="11"/>
  <c r="I450" i="11" s="1"/>
  <c r="C10" i="20"/>
  <c r="C11" i="20"/>
  <c r="UU15" i="21" s="1"/>
  <c r="AO15" i="21" s="1"/>
  <c r="AR25" i="17"/>
  <c r="AR14" i="17"/>
  <c r="AO19" i="17"/>
  <c r="AO27" i="17"/>
  <c r="AO20" i="17"/>
  <c r="AZ16" i="17"/>
  <c r="AO25" i="17"/>
  <c r="AO18" i="17"/>
  <c r="AO28" i="17"/>
  <c r="AO12" i="17"/>
  <c r="AR26" i="17"/>
  <c r="AZ26" i="17"/>
  <c r="AO14" i="17"/>
  <c r="AO24" i="17"/>
  <c r="AR16" i="17"/>
  <c r="BA23" i="17"/>
  <c r="AR23" i="17"/>
  <c r="AO23" i="17"/>
  <c r="VE51" i="21"/>
  <c r="VE53" i="21" s="1"/>
  <c r="VO40" i="21"/>
  <c r="VO37" i="21"/>
  <c r="VM41" i="21"/>
  <c r="VM30" i="21"/>
  <c r="VG12" i="21"/>
  <c r="VE12" i="21" s="1"/>
  <c r="CK11" i="16"/>
  <c r="AZ14" i="17"/>
  <c r="AR33" i="20"/>
  <c r="AR43" i="20" s="1"/>
  <c r="E199" i="11" s="1"/>
  <c r="AZ11" i="17"/>
  <c r="AO32" i="17"/>
  <c r="BB39" i="16"/>
  <c r="EL32" i="5"/>
  <c r="EL35" i="5" s="1"/>
  <c r="AR11" i="17"/>
  <c r="V30" i="5"/>
  <c r="EC35" i="5"/>
  <c r="G33" i="8"/>
  <c r="AS39" i="17"/>
  <c r="AO28" i="5"/>
  <c r="BC36" i="16"/>
  <c r="AB36" i="16"/>
  <c r="JG35" i="5"/>
  <c r="CY33" i="16"/>
  <c r="CY41" i="16" s="1"/>
  <c r="CB36" i="16"/>
  <c r="AP28" i="5"/>
  <c r="G41" i="5" s="1"/>
  <c r="JY32" i="5"/>
  <c r="JY35" i="5" s="1"/>
  <c r="BN35" i="5"/>
  <c r="AY39" i="16"/>
  <c r="D33" i="16"/>
  <c r="D41" i="16" s="1"/>
  <c r="ES35" i="5"/>
  <c r="ES36" i="5" s="1"/>
  <c r="FM35" i="5"/>
  <c r="FM36" i="5" s="1"/>
  <c r="H450" i="11"/>
  <c r="DZ35" i="5"/>
  <c r="GO35" i="5"/>
  <c r="GO36" i="5" s="1"/>
  <c r="KS35" i="5"/>
  <c r="FI35" i="5"/>
  <c r="FI36" i="5" s="1"/>
  <c r="FV30" i="5"/>
  <c r="FV32" i="5" s="1"/>
  <c r="FV35" i="5" s="1"/>
  <c r="AW35" i="5"/>
  <c r="I7" i="7"/>
  <c r="G7" i="7" s="1"/>
  <c r="HY35" i="5"/>
  <c r="AM39" i="16"/>
  <c r="AG39" i="16"/>
  <c r="KL35" i="5"/>
  <c r="IO28" i="5"/>
  <c r="IO35" i="5" s="1"/>
  <c r="FU35" i="5"/>
  <c r="CB39" i="16"/>
  <c r="LB35" i="5"/>
  <c r="M17" i="16"/>
  <c r="C17" i="16" s="1"/>
  <c r="M13" i="16"/>
  <c r="C13" i="16" s="1"/>
  <c r="CP30" i="5"/>
  <c r="CP32" i="5" s="1"/>
  <c r="CP35" i="5" s="1"/>
  <c r="E9" i="19"/>
  <c r="UY13" i="21" s="1"/>
  <c r="O43" i="20"/>
  <c r="O45" i="20" s="1"/>
  <c r="F326" i="11"/>
  <c r="H33" i="20"/>
  <c r="H43" i="20" s="1"/>
  <c r="E490" i="11" s="1"/>
  <c r="E486" i="11" s="1"/>
  <c r="N22" i="17"/>
  <c r="KQ32" i="5"/>
  <c r="E17" i="19"/>
  <c r="UY21" i="21" s="1"/>
  <c r="F8" i="19"/>
  <c r="UZ12" i="21" s="1"/>
  <c r="AB11" i="17" s="1"/>
  <c r="AA35" i="5"/>
  <c r="AL10" i="5"/>
  <c r="FQ35" i="5"/>
  <c r="E14" i="19"/>
  <c r="UY18" i="21" s="1"/>
  <c r="M28" i="16"/>
  <c r="C28" i="16" s="1"/>
  <c r="AT39" i="16"/>
  <c r="Z36" i="20"/>
  <c r="KX35" i="5"/>
  <c r="KP35" i="5"/>
  <c r="BH36" i="16"/>
  <c r="AT36" i="16"/>
  <c r="H36" i="20"/>
  <c r="HM35" i="5"/>
  <c r="AP36" i="16"/>
  <c r="IT30" i="5"/>
  <c r="IT32" i="5" s="1"/>
  <c r="IT35" i="5" s="1"/>
  <c r="BR36" i="16"/>
  <c r="CJ39" i="16"/>
  <c r="U37" i="20"/>
  <c r="N24" i="17"/>
  <c r="JZ35" i="5"/>
  <c r="U26" i="20"/>
  <c r="E258" i="11"/>
  <c r="KG35" i="5"/>
  <c r="CP39" i="16"/>
  <c r="N19" i="17"/>
  <c r="AR18" i="17"/>
  <c r="AR12" i="17"/>
  <c r="H35" i="9"/>
  <c r="CV39" i="16"/>
  <c r="AO17" i="17"/>
  <c r="AO13" i="17"/>
  <c r="AX33" i="20"/>
  <c r="AX43" i="20" s="1"/>
  <c r="E111" i="11" s="1"/>
  <c r="E112" i="11" s="1"/>
  <c r="Z36" i="16"/>
  <c r="AK35" i="5"/>
  <c r="M21" i="16"/>
  <c r="C21" i="16" s="1"/>
  <c r="BF36" i="20"/>
  <c r="FA35" i="5"/>
  <c r="BR39" i="16"/>
  <c r="DB36" i="16"/>
  <c r="BB40" i="17"/>
  <c r="I33" i="8"/>
  <c r="EK32" i="5"/>
  <c r="EK35" i="5" s="1"/>
  <c r="JJ35" i="5"/>
  <c r="M16" i="16"/>
  <c r="C16" i="16" s="1"/>
  <c r="BH39" i="16"/>
  <c r="M24" i="16"/>
  <c r="C24" i="16" s="1"/>
  <c r="M26" i="16"/>
  <c r="C26" i="16" s="1"/>
  <c r="M12" i="16"/>
  <c r="C12" i="16" s="1"/>
  <c r="M18" i="16"/>
  <c r="C18" i="16" s="1"/>
  <c r="DB35" i="5"/>
  <c r="HI35" i="5"/>
  <c r="BY35" i="5"/>
  <c r="JE35" i="5"/>
  <c r="H298" i="11"/>
  <c r="G51" i="11"/>
  <c r="I51" i="11" s="1"/>
  <c r="BJ36" i="16"/>
  <c r="F17" i="5"/>
  <c r="M22" i="16"/>
  <c r="C22" i="16" s="1"/>
  <c r="AM33" i="17"/>
  <c r="AM41" i="17" s="1"/>
  <c r="BB36" i="16"/>
  <c r="M20" i="16"/>
  <c r="C20" i="16" s="1"/>
  <c r="M14" i="16"/>
  <c r="C14" i="16" s="1"/>
  <c r="CS35" i="5"/>
  <c r="G239" i="11"/>
  <c r="I239" i="11" s="1"/>
  <c r="BJ39" i="16"/>
  <c r="M32" i="16"/>
  <c r="C32" i="16" s="1"/>
  <c r="G130" i="11"/>
  <c r="I130" i="11" s="1"/>
  <c r="H216" i="11"/>
  <c r="I11" i="6"/>
  <c r="G11" i="6" s="1"/>
  <c r="JH35" i="5"/>
  <c r="F325" i="11"/>
  <c r="H325" i="11" s="1"/>
  <c r="H224" i="11"/>
  <c r="I12" i="6"/>
  <c r="G12" i="6" s="1"/>
  <c r="CN39" i="16"/>
  <c r="IS35" i="5"/>
  <c r="KU28" i="5"/>
  <c r="CH35" i="5"/>
  <c r="I447" i="11"/>
  <c r="H160" i="11"/>
  <c r="I16" i="6"/>
  <c r="G16" i="6" s="1"/>
  <c r="Z39" i="16"/>
  <c r="M25" i="16"/>
  <c r="C25" i="16" s="1"/>
  <c r="GX35" i="5"/>
  <c r="I8" i="6"/>
  <c r="G8" i="6" s="1"/>
  <c r="H47" i="11"/>
  <c r="DE35" i="5"/>
  <c r="CK35" i="5"/>
  <c r="IW35" i="5"/>
  <c r="IW36" i="5" s="1"/>
  <c r="JM35" i="5"/>
  <c r="H115" i="11"/>
  <c r="BW36" i="16"/>
  <c r="CO35" i="5"/>
  <c r="F479" i="11"/>
  <c r="F250" i="11"/>
  <c r="AP36" i="20"/>
  <c r="UW41" i="21"/>
  <c r="S43" i="20"/>
  <c r="S45" i="20" s="1"/>
  <c r="F372" i="11"/>
  <c r="F378" i="11"/>
  <c r="F379" i="11" s="1"/>
  <c r="AH33" i="20"/>
  <c r="AH43" i="20" s="1"/>
  <c r="E104" i="11" s="1"/>
  <c r="E106" i="11" s="1"/>
  <c r="D23" i="19"/>
  <c r="UX27" i="21" s="1"/>
  <c r="F508" i="11"/>
  <c r="F510" i="11" s="1"/>
  <c r="C19" i="18"/>
  <c r="H391" i="11"/>
  <c r="KO35" i="5"/>
  <c r="BF39" i="16"/>
  <c r="CN36" i="16"/>
  <c r="S32" i="18"/>
  <c r="BA26" i="19"/>
  <c r="X40" i="17"/>
  <c r="S28" i="18"/>
  <c r="I443" i="11"/>
  <c r="JA35" i="5"/>
  <c r="AS35" i="5"/>
  <c r="BB29" i="17"/>
  <c r="BH36" i="20"/>
  <c r="U28" i="5"/>
  <c r="IC35" i="5"/>
  <c r="IC36" i="5" s="1"/>
  <c r="JQ35" i="5"/>
  <c r="BJ30" i="5"/>
  <c r="F108" i="11"/>
  <c r="AR36" i="20"/>
  <c r="F305" i="11"/>
  <c r="AJ33" i="20"/>
  <c r="AJ43" i="20" s="1"/>
  <c r="AR38" i="21" s="1"/>
  <c r="VF34" i="21"/>
  <c r="VF42" i="21" s="1"/>
  <c r="VE32" i="21"/>
  <c r="AP33" i="17"/>
  <c r="AP41" i="17" s="1"/>
  <c r="D22" i="19"/>
  <c r="UX26" i="21" s="1"/>
  <c r="F196" i="11"/>
  <c r="F198" i="11" s="1"/>
  <c r="I17" i="7" s="1"/>
  <c r="G17" i="7" s="1"/>
  <c r="N15" i="17"/>
  <c r="VI41" i="21"/>
  <c r="I440" i="11"/>
  <c r="F88" i="11"/>
  <c r="BD40" i="17"/>
  <c r="AB26" i="19"/>
  <c r="VF41" i="21"/>
  <c r="HN28" i="5"/>
  <c r="F165" i="11"/>
  <c r="F168" i="11" s="1"/>
  <c r="I18" i="6" s="1"/>
  <c r="R36" i="20"/>
  <c r="AT26" i="19"/>
  <c r="DV30" i="5"/>
  <c r="F308" i="11"/>
  <c r="F309" i="11" s="1"/>
  <c r="P33" i="20"/>
  <c r="P43" i="20" s="1"/>
  <c r="E369" i="11" s="1"/>
  <c r="E370" i="11" s="1"/>
  <c r="G370" i="11" s="1"/>
  <c r="I370" i="11" s="1"/>
  <c r="V19" i="17"/>
  <c r="AZ18" i="17"/>
  <c r="N18" i="17"/>
  <c r="AZ12" i="17"/>
  <c r="UT32" i="21"/>
  <c r="G127" i="11"/>
  <c r="I127" i="11" s="1"/>
  <c r="H8" i="7"/>
  <c r="D11" i="19"/>
  <c r="UX15" i="21" s="1"/>
  <c r="UV41" i="21"/>
  <c r="R26" i="19"/>
  <c r="AD41" i="20"/>
  <c r="G145" i="11"/>
  <c r="I145" i="11" s="1"/>
  <c r="AD36" i="16"/>
  <c r="N27" i="17"/>
  <c r="D21" i="19"/>
  <c r="UX25" i="21" s="1"/>
  <c r="D17" i="19"/>
  <c r="UX21" i="21" s="1"/>
  <c r="H55" i="11"/>
  <c r="H23" i="6"/>
  <c r="H14" i="9"/>
  <c r="I504" i="11"/>
  <c r="V26" i="19"/>
  <c r="D10" i="19"/>
  <c r="UX14" i="21" s="1"/>
  <c r="H127" i="11"/>
  <c r="BF36" i="16"/>
  <c r="CH40" i="16"/>
  <c r="D15" i="19"/>
  <c r="UX19" i="21" s="1"/>
  <c r="AH36" i="20"/>
  <c r="G278" i="11"/>
  <c r="I278" i="11" s="1"/>
  <c r="H6" i="6"/>
  <c r="H420" i="11"/>
  <c r="JI35" i="5"/>
  <c r="AB39" i="16"/>
  <c r="AL36" i="16"/>
  <c r="HU35" i="5"/>
  <c r="CG35" i="5"/>
  <c r="I425" i="11"/>
  <c r="G220" i="11"/>
  <c r="I220" i="11" s="1"/>
  <c r="H12" i="6"/>
  <c r="H34" i="11"/>
  <c r="DB39" i="16"/>
  <c r="T39" i="16"/>
  <c r="UV23" i="21"/>
  <c r="D9" i="19"/>
  <c r="UX13" i="21" s="1"/>
  <c r="BM26" i="19"/>
  <c r="BF33" i="20"/>
  <c r="BF43" i="20" s="1"/>
  <c r="E235" i="11" s="1"/>
  <c r="HE35" i="5"/>
  <c r="CX35" i="5"/>
  <c r="D24" i="19"/>
  <c r="UX28" i="21" s="1"/>
  <c r="D14" i="19"/>
  <c r="UX18" i="21" s="1"/>
  <c r="P36" i="20"/>
  <c r="G242" i="11"/>
  <c r="I242" i="11" s="1"/>
  <c r="GW35" i="5"/>
  <c r="G298" i="11"/>
  <c r="I298" i="11" s="1"/>
  <c r="H7" i="6"/>
  <c r="IG36" i="5"/>
  <c r="BG26" i="19"/>
  <c r="M19" i="16"/>
  <c r="C19" i="16" s="1"/>
  <c r="D19" i="19"/>
  <c r="UX23" i="21" s="1"/>
  <c r="D20" i="19"/>
  <c r="UX24" i="21" s="1"/>
  <c r="AJ36" i="20"/>
  <c r="AX36" i="20"/>
  <c r="GE35" i="5"/>
  <c r="JV35" i="5"/>
  <c r="P26" i="19"/>
  <c r="DR35" i="5"/>
  <c r="Z33" i="20"/>
  <c r="Z43" i="20" s="1"/>
  <c r="E176" i="11" s="1"/>
  <c r="H44" i="11"/>
  <c r="BR28" i="5"/>
  <c r="AT35" i="5"/>
  <c r="G414" i="11"/>
  <c r="I414" i="11" s="1"/>
  <c r="H359" i="11"/>
  <c r="G55" i="11"/>
  <c r="I55" i="11" s="1"/>
  <c r="CV36" i="16"/>
  <c r="M23" i="16"/>
  <c r="C23" i="16" s="1"/>
  <c r="M15" i="16"/>
  <c r="C15" i="16" s="1"/>
  <c r="BE35" i="5"/>
  <c r="BE36" i="5" s="1"/>
  <c r="H145" i="11"/>
  <c r="D16" i="19"/>
  <c r="UX20" i="21" s="1"/>
  <c r="AN26" i="19"/>
  <c r="H282" i="11"/>
  <c r="FR35" i="5"/>
  <c r="EH35" i="5"/>
  <c r="JN35" i="5"/>
  <c r="T28" i="5"/>
  <c r="T35" i="5" s="1"/>
  <c r="H468" i="11"/>
  <c r="H354" i="11"/>
  <c r="G354" i="11"/>
  <c r="I354" i="11" s="1"/>
  <c r="M27" i="16"/>
  <c r="C27" i="16" s="1"/>
  <c r="HB28" i="5"/>
  <c r="HB35" i="5" s="1"/>
  <c r="KK35" i="5"/>
  <c r="D13" i="19"/>
  <c r="UX17" i="21" s="1"/>
  <c r="R33" i="20"/>
  <c r="AP33" i="20"/>
  <c r="AP43" i="20" s="1"/>
  <c r="E250" i="11" s="1"/>
  <c r="F36" i="20"/>
  <c r="F33" i="20"/>
  <c r="F43" i="20" s="1"/>
  <c r="E479" i="11" s="1"/>
  <c r="T36" i="20"/>
  <c r="T33" i="20"/>
  <c r="T43" i="20" s="1"/>
  <c r="E422" i="11" s="1"/>
  <c r="BD36" i="20"/>
  <c r="BD33" i="20"/>
  <c r="BD43" i="20" s="1"/>
  <c r="E27" i="11" s="1"/>
  <c r="L36" i="20"/>
  <c r="L33" i="20"/>
  <c r="L43" i="20" s="1"/>
  <c r="E308" i="11" s="1"/>
  <c r="BC36" i="20"/>
  <c r="BC33" i="20"/>
  <c r="BC43" i="20" s="1"/>
  <c r="BC45" i="20" s="1"/>
  <c r="D36" i="20"/>
  <c r="D33" i="20"/>
  <c r="D43" i="20" s="1"/>
  <c r="AN36" i="20"/>
  <c r="AN33" i="20"/>
  <c r="AN43" i="20" s="1"/>
  <c r="E196" i="11" s="1"/>
  <c r="E198" i="11" s="1"/>
  <c r="AF36" i="20"/>
  <c r="AF33" i="20"/>
  <c r="AF43" i="20" s="1"/>
  <c r="E88" i="11" s="1"/>
  <c r="BB36" i="20"/>
  <c r="BB33" i="20"/>
  <c r="BB43" i="20" s="1"/>
  <c r="E24" i="11" s="1"/>
  <c r="AT36" i="20"/>
  <c r="AT33" i="20"/>
  <c r="AT43" i="20" s="1"/>
  <c r="E378" i="11" s="1"/>
  <c r="N36" i="20"/>
  <c r="N33" i="20"/>
  <c r="AL36" i="20"/>
  <c r="AL33" i="20"/>
  <c r="M19" i="19"/>
  <c r="K19" i="19" s="1"/>
  <c r="I26" i="19"/>
  <c r="U41" i="20" s="1"/>
  <c r="C41" i="20" s="1"/>
  <c r="C19" i="19"/>
  <c r="BB26" i="19"/>
  <c r="Q26" i="19"/>
  <c r="J26" i="19"/>
  <c r="D8" i="19"/>
  <c r="Q36" i="17"/>
  <c r="Q39" i="17"/>
  <c r="W29" i="17"/>
  <c r="W40" i="17"/>
  <c r="AJ39" i="17"/>
  <c r="AJ36" i="17"/>
  <c r="BE36" i="17"/>
  <c r="BE39" i="17"/>
  <c r="AG39" i="17"/>
  <c r="AG36" i="17"/>
  <c r="AY40" i="17"/>
  <c r="AY29" i="17"/>
  <c r="AV36" i="17"/>
  <c r="AV39" i="17"/>
  <c r="BA40" i="17"/>
  <c r="AM29" i="17"/>
  <c r="O76" i="17"/>
  <c r="O79" i="17" s="1"/>
  <c r="AM40" i="17"/>
  <c r="AP29" i="17"/>
  <c r="AP40" i="17"/>
  <c r="O85" i="17"/>
  <c r="U40" i="17"/>
  <c r="BH39" i="17"/>
  <c r="BH36" i="17"/>
  <c r="AF39" i="16"/>
  <c r="AF36" i="16"/>
  <c r="CC36" i="16"/>
  <c r="CC39" i="16"/>
  <c r="AV39" i="16"/>
  <c r="AV36" i="16"/>
  <c r="CX33" i="16"/>
  <c r="CX41" i="16" s="1"/>
  <c r="CX40" i="16"/>
  <c r="CX29" i="16"/>
  <c r="CM39" i="16"/>
  <c r="CM36" i="16"/>
  <c r="AO39" i="16"/>
  <c r="AO36" i="16"/>
  <c r="BE39" i="16"/>
  <c r="BE36" i="16"/>
  <c r="AS36" i="16"/>
  <c r="AS39" i="16"/>
  <c r="J36" i="16"/>
  <c r="J39" i="16"/>
  <c r="W36" i="16"/>
  <c r="W39" i="16"/>
  <c r="DG39" i="16"/>
  <c r="DG36" i="16"/>
  <c r="DI31" i="16"/>
  <c r="CH33" i="16"/>
  <c r="K39" i="16"/>
  <c r="K36" i="16"/>
  <c r="BS36" i="16"/>
  <c r="BS39" i="16"/>
  <c r="AK36" i="16"/>
  <c r="AK39" i="16"/>
  <c r="CI33" i="16"/>
  <c r="DJ31" i="16"/>
  <c r="BZ36" i="16"/>
  <c r="BZ39" i="16"/>
  <c r="CD39" i="16"/>
  <c r="CD36" i="16"/>
  <c r="BY39" i="16"/>
  <c r="BY36" i="16"/>
  <c r="Y39" i="16"/>
  <c r="Y36" i="16"/>
  <c r="CJ36" i="16"/>
  <c r="BG39" i="16"/>
  <c r="BG36" i="16"/>
  <c r="CL39" i="16"/>
  <c r="CL36" i="16"/>
  <c r="CT39" i="16"/>
  <c r="CT36" i="16"/>
  <c r="O33" i="16"/>
  <c r="O41" i="16" s="1"/>
  <c r="M31" i="16"/>
  <c r="AQ39" i="16"/>
  <c r="AQ36" i="16"/>
  <c r="CU39" i="16"/>
  <c r="CU36" i="16"/>
  <c r="DC36" i="16"/>
  <c r="DC39" i="16"/>
  <c r="BU36" i="16"/>
  <c r="BU39" i="16"/>
  <c r="CR39" i="16"/>
  <c r="CR36" i="16"/>
  <c r="CY29" i="16"/>
  <c r="CY40" i="16"/>
  <c r="BV39" i="16"/>
  <c r="BV36" i="16"/>
  <c r="BM39" i="16"/>
  <c r="BM36" i="16"/>
  <c r="BL39" i="16"/>
  <c r="BL36" i="16"/>
  <c r="P39" i="16"/>
  <c r="P36" i="16"/>
  <c r="CA36" i="16"/>
  <c r="CA39" i="16"/>
  <c r="CG39" i="16"/>
  <c r="CG36" i="16"/>
  <c r="O40" i="16"/>
  <c r="O29" i="16"/>
  <c r="CF36" i="16"/>
  <c r="CF39" i="16"/>
  <c r="D40" i="16"/>
  <c r="D29" i="16"/>
  <c r="BI36" i="16"/>
  <c r="BI39" i="16"/>
  <c r="AC36" i="16"/>
  <c r="AC39" i="16"/>
  <c r="DE39" i="16"/>
  <c r="DE36" i="16"/>
  <c r="AJ39" i="16"/>
  <c r="AR36" i="16"/>
  <c r="AR39" i="16"/>
  <c r="DD39" i="16"/>
  <c r="DD36" i="16"/>
  <c r="CH29" i="16"/>
  <c r="BT39" i="16"/>
  <c r="BT36" i="16"/>
  <c r="CS36" i="16"/>
  <c r="CS39" i="16"/>
  <c r="BK36" i="16"/>
  <c r="BK39" i="16"/>
  <c r="E40" i="16"/>
  <c r="E29" i="16"/>
  <c r="AW39" i="16"/>
  <c r="AW36" i="16"/>
  <c r="DF36" i="16"/>
  <c r="DF39" i="16"/>
  <c r="CQ36" i="16"/>
  <c r="CQ39" i="16"/>
  <c r="CO39" i="16"/>
  <c r="CO36" i="16"/>
  <c r="AA39" i="16"/>
  <c r="AA36" i="16"/>
  <c r="AI39" i="16"/>
  <c r="AI36" i="16"/>
  <c r="R39" i="16"/>
  <c r="AY36" i="16"/>
  <c r="AN39" i="16"/>
  <c r="AN36" i="16"/>
  <c r="CE39" i="16"/>
  <c r="CE36" i="16"/>
  <c r="BA36" i="16"/>
  <c r="BA39" i="16"/>
  <c r="U36" i="16"/>
  <c r="U39" i="16"/>
  <c r="BD39" i="16"/>
  <c r="BD36" i="16"/>
  <c r="Q39" i="16"/>
  <c r="Q36" i="16"/>
  <c r="CW39" i="16"/>
  <c r="CW36" i="16"/>
  <c r="AX36" i="16"/>
  <c r="AX39" i="16"/>
  <c r="V39" i="16"/>
  <c r="V36" i="16"/>
  <c r="X39" i="16"/>
  <c r="X36" i="16"/>
  <c r="BO39" i="16"/>
  <c r="BO36" i="16"/>
  <c r="S39" i="16"/>
  <c r="S36" i="16"/>
  <c r="G39" i="16"/>
  <c r="G36" i="16"/>
  <c r="F39" i="16"/>
  <c r="F36" i="16"/>
  <c r="BX36" i="16"/>
  <c r="BX39" i="16"/>
  <c r="I452" i="11"/>
  <c r="I434" i="11"/>
  <c r="G435" i="11"/>
  <c r="H495" i="11"/>
  <c r="H500" i="11"/>
  <c r="I387" i="11"/>
  <c r="G388" i="11"/>
  <c r="I388" i="11" s="1"/>
  <c r="I273" i="11"/>
  <c r="I184" i="11"/>
  <c r="H38" i="11"/>
  <c r="F35" i="11"/>
  <c r="H35" i="11" s="1"/>
  <c r="I506" i="11"/>
  <c r="I495" i="11"/>
  <c r="H376" i="11"/>
  <c r="H417" i="11"/>
  <c r="H438" i="11"/>
  <c r="H133" i="11"/>
  <c r="D63" i="11"/>
  <c r="D64" i="11" s="1"/>
  <c r="E377" i="11"/>
  <c r="H124" i="11"/>
  <c r="F367" i="11"/>
  <c r="I437" i="11"/>
  <c r="G438" i="11"/>
  <c r="H394" i="11"/>
  <c r="H273" i="11"/>
  <c r="I217" i="11"/>
  <c r="G335" i="11"/>
  <c r="I335" i="11" s="1"/>
  <c r="H189" i="11"/>
  <c r="G294" i="11"/>
  <c r="I294" i="11" s="1"/>
  <c r="I291" i="11"/>
  <c r="G124" i="11"/>
  <c r="G44" i="11"/>
  <c r="I484" i="11"/>
  <c r="G465" i="11"/>
  <c r="I465" i="11" s="1"/>
  <c r="I329" i="11"/>
  <c r="G330" i="11"/>
  <c r="I330" i="11" s="1"/>
  <c r="H342" i="11"/>
  <c r="F334" i="11"/>
  <c r="G483" i="11"/>
  <c r="I483" i="11" s="1"/>
  <c r="H483" i="11"/>
  <c r="H261" i="11"/>
  <c r="F256" i="11"/>
  <c r="I261" i="11"/>
  <c r="G256" i="11"/>
  <c r="I256" i="11" s="1"/>
  <c r="G345" i="11"/>
  <c r="E334" i="11"/>
  <c r="G14" i="11"/>
  <c r="E10" i="11"/>
  <c r="H10" i="11" s="1"/>
  <c r="G189" i="11"/>
  <c r="D141" i="11"/>
  <c r="H220" i="11"/>
  <c r="H452" i="11"/>
  <c r="E548" i="11"/>
  <c r="H548" i="11" s="1"/>
  <c r="I470" i="11"/>
  <c r="G471" i="11"/>
  <c r="I471" i="11" s="1"/>
  <c r="G156" i="11"/>
  <c r="I156" i="11" s="1"/>
  <c r="I153" i="11"/>
  <c r="H121" i="11"/>
  <c r="G255" i="11"/>
  <c r="I38" i="11"/>
  <c r="H136" i="11"/>
  <c r="I40" i="11"/>
  <c r="G41" i="11"/>
  <c r="I41" i="11" s="1"/>
  <c r="I16" i="9"/>
  <c r="G14" i="9"/>
  <c r="I14" i="9" s="1"/>
  <c r="I38" i="9"/>
  <c r="H40" i="9"/>
  <c r="I10" i="9"/>
  <c r="G35" i="9"/>
  <c r="I35" i="9" s="1"/>
  <c r="F54" i="9"/>
  <c r="F58" i="9" s="1"/>
  <c r="AO35" i="5"/>
  <c r="KD35" i="5"/>
  <c r="CT35" i="5"/>
  <c r="BM35" i="5"/>
  <c r="X35" i="5"/>
  <c r="H41" i="5"/>
  <c r="DY35" i="5"/>
  <c r="HV35" i="5"/>
  <c r="I41" i="5"/>
  <c r="AB35" i="5"/>
  <c r="KI28" i="5"/>
  <c r="KI35" i="5" s="1"/>
  <c r="KH35" i="5"/>
  <c r="DC28" i="5"/>
  <c r="DC35" i="5" s="1"/>
  <c r="KQ28" i="5"/>
  <c r="E32" i="5"/>
  <c r="P32" i="5"/>
  <c r="W35" i="5"/>
  <c r="J41" i="5"/>
  <c r="BZ35" i="5"/>
  <c r="JR35" i="5"/>
  <c r="GA35" i="5"/>
  <c r="HZ35" i="5"/>
  <c r="DJ35" i="5"/>
  <c r="KU32" i="5"/>
  <c r="Z32" i="5"/>
  <c r="E41" i="5" s="1"/>
  <c r="CY28" i="5"/>
  <c r="CY35" i="5" s="1"/>
  <c r="DF35" i="5"/>
  <c r="HJ35" i="5"/>
  <c r="CL35" i="5"/>
  <c r="GS35" i="5"/>
  <c r="GS36" i="5" s="1"/>
  <c r="IQ28" i="5"/>
  <c r="IQ35" i="5" s="1"/>
  <c r="HF35" i="5"/>
  <c r="DA35" i="5"/>
  <c r="I16" i="7" l="1"/>
  <c r="G16" i="7" s="1"/>
  <c r="GK36" i="5"/>
  <c r="AX27" i="17"/>
  <c r="F26" i="5"/>
  <c r="I121" i="11"/>
  <c r="G117" i="11"/>
  <c r="F16" i="5"/>
  <c r="HI36" i="5"/>
  <c r="FE36" i="5"/>
  <c r="AW36" i="5"/>
  <c r="BU36" i="5"/>
  <c r="AY33" i="20"/>
  <c r="AY43" i="20" s="1"/>
  <c r="AY45" i="20" s="1"/>
  <c r="AY36" i="20"/>
  <c r="AX28" i="17"/>
  <c r="BR35" i="5"/>
  <c r="F531" i="11"/>
  <c r="HR28" i="5"/>
  <c r="HR35" i="5" s="1"/>
  <c r="HQ36" i="5" s="1"/>
  <c r="F18" i="5"/>
  <c r="F19" i="5"/>
  <c r="BQ35" i="5"/>
  <c r="F25" i="5"/>
  <c r="F267" i="11"/>
  <c r="AX22" i="17"/>
  <c r="BE33" i="20"/>
  <c r="BE43" i="20" s="1"/>
  <c r="BE45" i="20" s="1"/>
  <c r="BE36" i="20"/>
  <c r="AS33" i="20"/>
  <c r="AS43" i="20" s="1"/>
  <c r="AS45" i="20" s="1"/>
  <c r="AS36" i="20"/>
  <c r="AL28" i="5"/>
  <c r="AL35" i="5" s="1"/>
  <c r="AK36" i="5" s="1"/>
  <c r="L41" i="5"/>
  <c r="EG36" i="5"/>
  <c r="Y35" i="5"/>
  <c r="F11" i="5"/>
  <c r="F204" i="11"/>
  <c r="F207" i="11" s="1"/>
  <c r="JA36" i="5"/>
  <c r="DQ36" i="5"/>
  <c r="HA36" i="5"/>
  <c r="AX17" i="17"/>
  <c r="F27" i="5"/>
  <c r="JU36" i="5"/>
  <c r="AX26" i="17"/>
  <c r="F14" i="7"/>
  <c r="C19" i="7"/>
  <c r="C21" i="7" s="1"/>
  <c r="AX12" i="17"/>
  <c r="E546" i="11"/>
  <c r="F85" i="11"/>
  <c r="F86" i="11" s="1"/>
  <c r="F62" i="11" s="1"/>
  <c r="UY41" i="21"/>
  <c r="FY36" i="5"/>
  <c r="F486" i="11"/>
  <c r="H486" i="11" s="1"/>
  <c r="AN23" i="17"/>
  <c r="G19" i="7"/>
  <c r="Z14" i="17"/>
  <c r="U35" i="5"/>
  <c r="C25" i="21"/>
  <c r="AF23" i="17" s="1"/>
  <c r="AL23" i="17" s="1"/>
  <c r="I19" i="7"/>
  <c r="I21" i="7" s="1"/>
  <c r="G198" i="11"/>
  <c r="I198" i="11" s="1"/>
  <c r="H17" i="7"/>
  <c r="H198" i="11"/>
  <c r="F140" i="11"/>
  <c r="U33" i="20"/>
  <c r="U43" i="20" s="1"/>
  <c r="AN16" i="17"/>
  <c r="AU47" i="21"/>
  <c r="F546" i="11"/>
  <c r="AN26" i="17"/>
  <c r="G28" i="5"/>
  <c r="AX23" i="17"/>
  <c r="C27" i="21"/>
  <c r="AF26" i="17" s="1"/>
  <c r="AL26" i="17" s="1"/>
  <c r="C19" i="21"/>
  <c r="AF16" i="17" s="1"/>
  <c r="AL16" i="17" s="1"/>
  <c r="AX13" i="17"/>
  <c r="H28" i="5"/>
  <c r="H35" i="5" s="1"/>
  <c r="C28" i="21"/>
  <c r="AF27" i="17" s="1"/>
  <c r="AL27" i="17" s="1"/>
  <c r="R30" i="5"/>
  <c r="G30" i="5" s="1"/>
  <c r="G32" i="5" s="1"/>
  <c r="CC36" i="5"/>
  <c r="DY36" i="5"/>
  <c r="C26" i="21"/>
  <c r="AF25" i="17" s="1"/>
  <c r="AL25" i="17" s="1"/>
  <c r="D531" i="11"/>
  <c r="D536" i="11" s="1"/>
  <c r="AN25" i="17"/>
  <c r="AX16" i="17"/>
  <c r="AX18" i="17"/>
  <c r="AX14" i="17"/>
  <c r="AN27" i="17"/>
  <c r="AN14" i="17"/>
  <c r="KW36" i="5"/>
  <c r="V32" i="5"/>
  <c r="D41" i="5" s="1"/>
  <c r="DI36" i="5"/>
  <c r="KC36" i="5"/>
  <c r="BM36" i="5"/>
  <c r="F7" i="7"/>
  <c r="F11" i="6"/>
  <c r="F29" i="6" s="1"/>
  <c r="C29" i="6"/>
  <c r="C31" i="6" s="1"/>
  <c r="F13" i="5"/>
  <c r="AR20" i="17"/>
  <c r="LA36" i="5"/>
  <c r="HY36" i="5"/>
  <c r="C18" i="21"/>
  <c r="AF14" i="17" s="1"/>
  <c r="AL14" i="17" s="1"/>
  <c r="V14" i="17"/>
  <c r="C17" i="21"/>
  <c r="AF13" i="17" s="1"/>
  <c r="AL13" i="17" s="1"/>
  <c r="AH13" i="17"/>
  <c r="AZ15" i="17"/>
  <c r="AX15" i="17" s="1"/>
  <c r="C30" i="20"/>
  <c r="C38" i="20" s="1"/>
  <c r="UU32" i="21"/>
  <c r="AH32" i="17"/>
  <c r="C33" i="21"/>
  <c r="AF32" i="17" s="1"/>
  <c r="AL32" i="17" s="1"/>
  <c r="AO15" i="17"/>
  <c r="C13" i="21"/>
  <c r="AF15" i="17" s="1"/>
  <c r="AZ20" i="17"/>
  <c r="AX20" i="17" s="1"/>
  <c r="AN17" i="17"/>
  <c r="HN35" i="5"/>
  <c r="HM36" i="5" s="1"/>
  <c r="AR15" i="17"/>
  <c r="BN11" i="17"/>
  <c r="AP35" i="5"/>
  <c r="AO36" i="5" s="1"/>
  <c r="GC36" i="5"/>
  <c r="Q32" i="5"/>
  <c r="L32" i="5" s="1"/>
  <c r="AU36" i="17"/>
  <c r="AH15" i="17"/>
  <c r="JM36" i="5"/>
  <c r="C20" i="21"/>
  <c r="AF17" i="17" s="1"/>
  <c r="AL17" i="17" s="1"/>
  <c r="BA29" i="17"/>
  <c r="BA39" i="17" s="1"/>
  <c r="F24" i="5"/>
  <c r="F12" i="5"/>
  <c r="FA36" i="5"/>
  <c r="Z17" i="17"/>
  <c r="BN17" i="17"/>
  <c r="Z27" i="17"/>
  <c r="BN27" i="17"/>
  <c r="Z22" i="17"/>
  <c r="BN22" i="17"/>
  <c r="Z18" i="17"/>
  <c r="BN18" i="17"/>
  <c r="Z23" i="17"/>
  <c r="BN23" i="17"/>
  <c r="Z24" i="17"/>
  <c r="BN24" i="17"/>
  <c r="Z15" i="17"/>
  <c r="BN15" i="17"/>
  <c r="Z16" i="17"/>
  <c r="BN16" i="17"/>
  <c r="Z28" i="17"/>
  <c r="BN28" i="17"/>
  <c r="T19" i="17"/>
  <c r="BM19" i="17"/>
  <c r="Z21" i="17"/>
  <c r="BN21" i="17"/>
  <c r="Z26" i="17"/>
  <c r="BN26" i="17"/>
  <c r="Z19" i="17"/>
  <c r="BN19" i="17"/>
  <c r="Z20" i="17"/>
  <c r="BN20" i="17"/>
  <c r="Z25" i="17"/>
  <c r="BN25" i="17"/>
  <c r="KK36" i="5"/>
  <c r="AZ19" i="17"/>
  <c r="AX19" i="17" s="1"/>
  <c r="AX25" i="17"/>
  <c r="C37" i="20"/>
  <c r="CS36" i="5"/>
  <c r="Q28" i="5"/>
  <c r="UU14" i="21"/>
  <c r="V22" i="17"/>
  <c r="AR19" i="17"/>
  <c r="VM37" i="21"/>
  <c r="VM40" i="21"/>
  <c r="AR66" i="17"/>
  <c r="CI11" i="16"/>
  <c r="CK40" i="16"/>
  <c r="CK29" i="16"/>
  <c r="VG41" i="21"/>
  <c r="VG30" i="21"/>
  <c r="E76" i="17"/>
  <c r="E79" i="17" s="1"/>
  <c r="CG36" i="5"/>
  <c r="V18" i="17"/>
  <c r="DE36" i="5"/>
  <c r="JI36" i="5"/>
  <c r="KQ35" i="5"/>
  <c r="KO36" i="5" s="1"/>
  <c r="V17" i="17"/>
  <c r="V27" i="17"/>
  <c r="JY36" i="5"/>
  <c r="AX11" i="17"/>
  <c r="V15" i="17"/>
  <c r="V24" i="17"/>
  <c r="EK36" i="5"/>
  <c r="AT40" i="17"/>
  <c r="GW36" i="5"/>
  <c r="EC36" i="5"/>
  <c r="V25" i="17"/>
  <c r="V13" i="17"/>
  <c r="C22" i="21"/>
  <c r="AF20" i="17" s="1"/>
  <c r="C15" i="21"/>
  <c r="AF24" i="17" s="1"/>
  <c r="AL24" i="17" s="1"/>
  <c r="AH22" i="17"/>
  <c r="CW36" i="5"/>
  <c r="BY36" i="5"/>
  <c r="FQ36" i="5"/>
  <c r="KU35" i="5"/>
  <c r="KS36" i="5" s="1"/>
  <c r="FU36" i="5"/>
  <c r="O32" i="5"/>
  <c r="CK36" i="5"/>
  <c r="IO36" i="5"/>
  <c r="AN11" i="17"/>
  <c r="U36" i="20"/>
  <c r="H490" i="11"/>
  <c r="E491" i="11"/>
  <c r="H491" i="11" s="1"/>
  <c r="G490" i="11"/>
  <c r="G491" i="11" s="1"/>
  <c r="I491" i="11" s="1"/>
  <c r="F327" i="11"/>
  <c r="P28" i="5"/>
  <c r="P35" i="5" s="1"/>
  <c r="IS36" i="5"/>
  <c r="JQ36" i="5"/>
  <c r="BB39" i="17"/>
  <c r="C26" i="20"/>
  <c r="CO36" i="5"/>
  <c r="G111" i="11"/>
  <c r="I111" i="11" s="1"/>
  <c r="E202" i="11"/>
  <c r="G199" i="11"/>
  <c r="I199" i="11" s="1"/>
  <c r="BB36" i="17"/>
  <c r="L85" i="17" s="1"/>
  <c r="AS36" i="5"/>
  <c r="JE36" i="5"/>
  <c r="HE36" i="5"/>
  <c r="H117" i="11"/>
  <c r="C41" i="5"/>
  <c r="DA36" i="5"/>
  <c r="H104" i="11"/>
  <c r="F480" i="11"/>
  <c r="F464" i="11" s="1"/>
  <c r="F463" i="11"/>
  <c r="G104" i="11"/>
  <c r="I104" i="11" s="1"/>
  <c r="F373" i="11"/>
  <c r="F366" i="11" s="1"/>
  <c r="F365" i="11"/>
  <c r="I25" i="6"/>
  <c r="G25" i="6" s="1"/>
  <c r="F253" i="11"/>
  <c r="I26" i="6" s="1"/>
  <c r="G26" i="6" s="1"/>
  <c r="F245" i="11"/>
  <c r="F248" i="11" s="1"/>
  <c r="H369" i="11"/>
  <c r="C29" i="21"/>
  <c r="AF28" i="17" s="1"/>
  <c r="AL28" i="17" s="1"/>
  <c r="AH28" i="17"/>
  <c r="G369" i="11"/>
  <c r="I369" i="11" s="1"/>
  <c r="VI23" i="21"/>
  <c r="C32" i="18"/>
  <c r="C28" i="18"/>
  <c r="E85" i="17"/>
  <c r="G18" i="6"/>
  <c r="C12" i="21"/>
  <c r="AF11" i="17" s="1"/>
  <c r="AL11" i="17" s="1"/>
  <c r="VE41" i="21"/>
  <c r="AI11" i="17"/>
  <c r="F306" i="11"/>
  <c r="F24" i="11"/>
  <c r="F25" i="11" s="1"/>
  <c r="F91" i="11"/>
  <c r="I24" i="6" s="1"/>
  <c r="G24" i="6" s="1"/>
  <c r="VE34" i="21"/>
  <c r="AI31" i="17"/>
  <c r="C21" i="21"/>
  <c r="AF18" i="17" s="1"/>
  <c r="AL18" i="17" s="1"/>
  <c r="AH18" i="17"/>
  <c r="F109" i="11"/>
  <c r="E379" i="11"/>
  <c r="H378" i="11"/>
  <c r="G378" i="11"/>
  <c r="I378" i="11" s="1"/>
  <c r="H25" i="6"/>
  <c r="UX12" i="21"/>
  <c r="G27" i="11"/>
  <c r="E28" i="11"/>
  <c r="N43" i="20"/>
  <c r="E326" i="11"/>
  <c r="E31" i="11"/>
  <c r="G30" i="11"/>
  <c r="I30" i="11" s="1"/>
  <c r="H30" i="11"/>
  <c r="E179" i="11"/>
  <c r="H20" i="6" s="1"/>
  <c r="G176" i="11"/>
  <c r="H176" i="11"/>
  <c r="G235" i="11"/>
  <c r="E236" i="11"/>
  <c r="H235" i="11"/>
  <c r="G24" i="11"/>
  <c r="I24" i="11" s="1"/>
  <c r="E25" i="11"/>
  <c r="G479" i="11"/>
  <c r="H479" i="11"/>
  <c r="E480" i="11"/>
  <c r="E463" i="11"/>
  <c r="UZ41" i="21"/>
  <c r="H370" i="11"/>
  <c r="P40" i="17"/>
  <c r="N11" i="17"/>
  <c r="HU36" i="5"/>
  <c r="G88" i="11"/>
  <c r="I88" i="11" s="1"/>
  <c r="E91" i="11"/>
  <c r="H88" i="11"/>
  <c r="G250" i="11"/>
  <c r="E253" i="11"/>
  <c r="E245" i="11"/>
  <c r="H250" i="11"/>
  <c r="C16" i="21"/>
  <c r="AH12" i="17"/>
  <c r="C26" i="19"/>
  <c r="UW23" i="21"/>
  <c r="AT21" i="17" s="1"/>
  <c r="E423" i="11"/>
  <c r="G422" i="11"/>
  <c r="H196" i="11"/>
  <c r="G196" i="11"/>
  <c r="E309" i="11"/>
  <c r="G308" i="11"/>
  <c r="I308" i="11" s="1"/>
  <c r="H308" i="11"/>
  <c r="R43" i="20"/>
  <c r="E372" i="11"/>
  <c r="G112" i="11"/>
  <c r="I112" i="11" s="1"/>
  <c r="E101" i="11"/>
  <c r="H101" i="11" s="1"/>
  <c r="G106" i="11"/>
  <c r="H106" i="11"/>
  <c r="KG36" i="5"/>
  <c r="E19" i="19"/>
  <c r="K26" i="19"/>
  <c r="M26" i="19"/>
  <c r="G19" i="19"/>
  <c r="H85" i="17"/>
  <c r="AP39" i="17"/>
  <c r="AP36" i="17"/>
  <c r="AY39" i="17"/>
  <c r="AY36" i="17"/>
  <c r="L76" i="17" s="1"/>
  <c r="L79" i="17" s="1"/>
  <c r="J85" i="17"/>
  <c r="BH37" i="17"/>
  <c r="AM39" i="17"/>
  <c r="AM36" i="17"/>
  <c r="H76" i="17"/>
  <c r="H79" i="17" s="1"/>
  <c r="J76" i="17"/>
  <c r="J79" i="17" s="1"/>
  <c r="BE37" i="17"/>
  <c r="W39" i="17"/>
  <c r="W36" i="17"/>
  <c r="K83" i="17" s="1"/>
  <c r="CY36" i="16"/>
  <c r="CY39" i="16"/>
  <c r="E36" i="16"/>
  <c r="E37" i="16" s="1"/>
  <c r="E39" i="16"/>
  <c r="D39" i="16"/>
  <c r="D36" i="16"/>
  <c r="D37" i="16" s="1"/>
  <c r="M33" i="16"/>
  <c r="M41" i="16" s="1"/>
  <c r="C31" i="16"/>
  <c r="C33" i="16" s="1"/>
  <c r="C41" i="16" s="1"/>
  <c r="DI33" i="16"/>
  <c r="CH41" i="16"/>
  <c r="CH36" i="16"/>
  <c r="DI29" i="16"/>
  <c r="CH39" i="16"/>
  <c r="DJ33" i="16"/>
  <c r="CI41" i="16"/>
  <c r="O36" i="16"/>
  <c r="O39" i="16"/>
  <c r="CX36" i="16"/>
  <c r="CX39" i="16"/>
  <c r="I345" i="11"/>
  <c r="G334" i="11"/>
  <c r="I334" i="11" s="1"/>
  <c r="I438" i="11"/>
  <c r="E367" i="11"/>
  <c r="H367" i="11" s="1"/>
  <c r="G377" i="11"/>
  <c r="G549" i="11" s="1"/>
  <c r="I549" i="11" s="1"/>
  <c r="E549" i="11"/>
  <c r="H334" i="11"/>
  <c r="F336" i="11"/>
  <c r="G47" i="11"/>
  <c r="I47" i="11" s="1"/>
  <c r="I44" i="11"/>
  <c r="I189" i="11"/>
  <c r="I124" i="11"/>
  <c r="I117" i="11"/>
  <c r="H377" i="11"/>
  <c r="D270" i="11"/>
  <c r="D516" i="11" s="1"/>
  <c r="B15" i="13"/>
  <c r="G35" i="11"/>
  <c r="I35" i="11" s="1"/>
  <c r="H256" i="11"/>
  <c r="F258" i="11"/>
  <c r="H258" i="11" s="1"/>
  <c r="I435" i="11"/>
  <c r="I14" i="11"/>
  <c r="G10" i="11"/>
  <c r="I255" i="11"/>
  <c r="G258" i="11"/>
  <c r="I258" i="11" s="1"/>
  <c r="G548" i="11"/>
  <c r="I548" i="11" s="1"/>
  <c r="S32" i="5"/>
  <c r="H39" i="5"/>
  <c r="E35" i="5"/>
  <c r="Z35" i="5"/>
  <c r="I39" i="5"/>
  <c r="R28" i="5"/>
  <c r="S28" i="5"/>
  <c r="F422" i="11" l="1"/>
  <c r="U45" i="20"/>
  <c r="Y36" i="5"/>
  <c r="F111" i="11"/>
  <c r="C51" i="15"/>
  <c r="C54" i="15" s="1"/>
  <c r="C64" i="15" s="1"/>
  <c r="C75" i="15" s="1"/>
  <c r="F9" i="10"/>
  <c r="BQ36" i="5"/>
  <c r="C33" i="20"/>
  <c r="C43" i="20" s="1"/>
  <c r="F41" i="5"/>
  <c r="B41" i="5" s="1"/>
  <c r="F328" i="11"/>
  <c r="F269" i="11" s="1"/>
  <c r="F268" i="11"/>
  <c r="F27" i="11"/>
  <c r="F8" i="11" s="1"/>
  <c r="F199" i="11"/>
  <c r="F19" i="7"/>
  <c r="F61" i="11"/>
  <c r="F64" i="11" s="1"/>
  <c r="V11" i="17"/>
  <c r="BM11" i="17" s="1"/>
  <c r="V35" i="5"/>
  <c r="U36" i="5" s="1"/>
  <c r="G35" i="5"/>
  <c r="BA36" i="17"/>
  <c r="L83" i="17" s="1"/>
  <c r="AL20" i="17"/>
  <c r="AL15" i="17"/>
  <c r="AR40" i="17"/>
  <c r="AN13" i="17"/>
  <c r="AN32" i="17"/>
  <c r="AO32" i="21"/>
  <c r="UU34" i="21"/>
  <c r="UU42" i="21" s="1"/>
  <c r="AN15" i="17"/>
  <c r="AO23" i="21"/>
  <c r="AO14" i="21"/>
  <c r="C14" i="21" s="1"/>
  <c r="Q35" i="5"/>
  <c r="L28" i="5"/>
  <c r="T24" i="17"/>
  <c r="BM24" i="17"/>
  <c r="T15" i="17"/>
  <c r="BM15" i="17"/>
  <c r="T22" i="17"/>
  <c r="BM22" i="17"/>
  <c r="T18" i="17"/>
  <c r="BM18" i="17"/>
  <c r="T27" i="17"/>
  <c r="BM27" i="17"/>
  <c r="AX40" i="17"/>
  <c r="AZ40" i="17"/>
  <c r="UU41" i="21"/>
  <c r="UU30" i="21"/>
  <c r="E487" i="11"/>
  <c r="H487" i="11" s="1"/>
  <c r="AH20" i="17"/>
  <c r="CK36" i="16"/>
  <c r="CK39" i="16"/>
  <c r="DJ11" i="16"/>
  <c r="CI40" i="16"/>
  <c r="M11" i="16"/>
  <c r="CI29" i="16"/>
  <c r="VG40" i="21"/>
  <c r="VG37" i="21"/>
  <c r="G487" i="11"/>
  <c r="I487" i="11" s="1"/>
  <c r="G486" i="11"/>
  <c r="I486" i="11" s="1"/>
  <c r="I490" i="11"/>
  <c r="AN22" i="17"/>
  <c r="C24" i="21"/>
  <c r="AF22" i="17" s="1"/>
  <c r="AL22" i="17" s="1"/>
  <c r="AH24" i="17"/>
  <c r="R32" i="5"/>
  <c r="R35" i="5" s="1"/>
  <c r="H549" i="11"/>
  <c r="D524" i="11"/>
  <c r="B17" i="13"/>
  <c r="C30" i="6"/>
  <c r="D522" i="11"/>
  <c r="B16" i="13"/>
  <c r="C20" i="7"/>
  <c r="H24" i="11"/>
  <c r="C36" i="20"/>
  <c r="H463" i="11"/>
  <c r="H27" i="6"/>
  <c r="G202" i="11"/>
  <c r="I202" i="11" s="1"/>
  <c r="C85" i="17"/>
  <c r="O37" i="16"/>
  <c r="CY37" i="16"/>
  <c r="CX37" i="16"/>
  <c r="VF23" i="21"/>
  <c r="VI30" i="21"/>
  <c r="VD38" i="21"/>
  <c r="AN28" i="17"/>
  <c r="AO31" i="17"/>
  <c r="AO33" i="17" s="1"/>
  <c r="AI33" i="17"/>
  <c r="AI41" i="17" s="1"/>
  <c r="AN18" i="17"/>
  <c r="VE49" i="21"/>
  <c r="VE42" i="21"/>
  <c r="AO11" i="17"/>
  <c r="AI40" i="17"/>
  <c r="G91" i="11"/>
  <c r="H24" i="6"/>
  <c r="I479" i="11"/>
  <c r="G463" i="11"/>
  <c r="I463" i="11" s="1"/>
  <c r="I196" i="11"/>
  <c r="AF12" i="17"/>
  <c r="I27" i="11"/>
  <c r="UX41" i="21"/>
  <c r="E26" i="19"/>
  <c r="UY23" i="21"/>
  <c r="UY30" i="21" s="1"/>
  <c r="H422" i="11"/>
  <c r="F423" i="11"/>
  <c r="F382" i="11"/>
  <c r="E248" i="11"/>
  <c r="H248" i="11" s="1"/>
  <c r="H245" i="11"/>
  <c r="G309" i="11"/>
  <c r="I309" i="11" s="1"/>
  <c r="H309" i="11"/>
  <c r="AN12" i="17"/>
  <c r="G25" i="11"/>
  <c r="I25" i="11" s="1"/>
  <c r="H25" i="11"/>
  <c r="I106" i="11"/>
  <c r="G101" i="11"/>
  <c r="I101" i="11" s="1"/>
  <c r="I422" i="11"/>
  <c r="F536" i="11"/>
  <c r="I34" i="8"/>
  <c r="G423" i="11"/>
  <c r="G379" i="11"/>
  <c r="I379" i="11" s="1"/>
  <c r="H379" i="11"/>
  <c r="H26" i="6"/>
  <c r="H253" i="11"/>
  <c r="N40" i="17"/>
  <c r="G480" i="11"/>
  <c r="E464" i="11"/>
  <c r="H464" i="11" s="1"/>
  <c r="H480" i="11"/>
  <c r="G236" i="11"/>
  <c r="H236" i="11"/>
  <c r="G179" i="11"/>
  <c r="I176" i="11"/>
  <c r="G31" i="11"/>
  <c r="I31" i="11" s="1"/>
  <c r="H31" i="11"/>
  <c r="E365" i="11"/>
  <c r="H365" i="11" s="1"/>
  <c r="E373" i="11"/>
  <c r="H372" i="11"/>
  <c r="G372" i="11"/>
  <c r="G26" i="19"/>
  <c r="VA23" i="21"/>
  <c r="BF21" i="17" s="1"/>
  <c r="AB40" i="17"/>
  <c r="Z11" i="17"/>
  <c r="G28" i="11"/>
  <c r="UW30" i="21"/>
  <c r="G245" i="11"/>
  <c r="G253" i="11"/>
  <c r="I253" i="11" s="1"/>
  <c r="I250" i="11"/>
  <c r="I235" i="11"/>
  <c r="H326" i="11"/>
  <c r="E327" i="11"/>
  <c r="G326" i="11"/>
  <c r="S35" i="5"/>
  <c r="C76" i="17"/>
  <c r="C79" i="17"/>
  <c r="CH37" i="16"/>
  <c r="DI36" i="16"/>
  <c r="I377" i="11"/>
  <c r="G367" i="11"/>
  <c r="I367" i="11" s="1"/>
  <c r="D520" i="11"/>
  <c r="D517" i="11"/>
  <c r="I10" i="11"/>
  <c r="M39" i="5"/>
  <c r="F10" i="5"/>
  <c r="F28" i="5" s="1"/>
  <c r="F30" i="5"/>
  <c r="F32" i="5" s="1"/>
  <c r="E39" i="5"/>
  <c r="K39" i="5"/>
  <c r="F515" i="11" l="1"/>
  <c r="D16" i="13" s="1"/>
  <c r="F112" i="11"/>
  <c r="F99" i="11"/>
  <c r="H111" i="11"/>
  <c r="F8" i="10"/>
  <c r="H9" i="10"/>
  <c r="F270" i="11"/>
  <c r="E328" i="11"/>
  <c r="E269" i="11" s="1"/>
  <c r="H27" i="11"/>
  <c r="F28" i="11"/>
  <c r="H199" i="11"/>
  <c r="F138" i="11"/>
  <c r="F202" i="11"/>
  <c r="V40" i="17"/>
  <c r="T11" i="17"/>
  <c r="T40" i="17" s="1"/>
  <c r="UU37" i="21"/>
  <c r="AH19" i="17"/>
  <c r="AO41" i="21"/>
  <c r="AO34" i="21"/>
  <c r="C32" i="21"/>
  <c r="AH31" i="17"/>
  <c r="C41" i="21"/>
  <c r="AF19" i="17"/>
  <c r="AL19" i="17" s="1"/>
  <c r="Q37" i="5"/>
  <c r="L35" i="5"/>
  <c r="AN20" i="17"/>
  <c r="UU40" i="21"/>
  <c r="CI39" i="16"/>
  <c r="DJ29" i="16"/>
  <c r="CI36" i="16"/>
  <c r="M29" i="16"/>
  <c r="M40" i="16"/>
  <c r="C11" i="16"/>
  <c r="AN24" i="17"/>
  <c r="F35" i="5"/>
  <c r="Q36" i="5"/>
  <c r="VF30" i="21"/>
  <c r="VE23" i="21"/>
  <c r="C23" i="21" s="1"/>
  <c r="VI40" i="21"/>
  <c r="VI37" i="21"/>
  <c r="AO41" i="17"/>
  <c r="E83" i="17"/>
  <c r="O83" i="17"/>
  <c r="AO40" i="17"/>
  <c r="I372" i="11"/>
  <c r="G365" i="11"/>
  <c r="I365" i="11" s="1"/>
  <c r="I423" i="11"/>
  <c r="AT29" i="17"/>
  <c r="AR21" i="17"/>
  <c r="I236" i="11"/>
  <c r="H327" i="11"/>
  <c r="G327" i="11"/>
  <c r="H373" i="11"/>
  <c r="G373" i="11"/>
  <c r="E366" i="11"/>
  <c r="H366" i="11" s="1"/>
  <c r="Z40" i="17"/>
  <c r="UW40" i="21"/>
  <c r="UW37" i="21"/>
  <c r="AO51" i="21" s="1"/>
  <c r="VA30" i="21"/>
  <c r="I326" i="11"/>
  <c r="I480" i="11"/>
  <c r="G464" i="11"/>
  <c r="I464" i="11" s="1"/>
  <c r="I245" i="11"/>
  <c r="G248" i="11"/>
  <c r="I248" i="11" s="1"/>
  <c r="I28" i="11"/>
  <c r="UY37" i="21"/>
  <c r="UY40" i="21"/>
  <c r="H423" i="11"/>
  <c r="F383" i="11"/>
  <c r="F385" i="11" s="1"/>
  <c r="AH21" i="17"/>
  <c r="AO30" i="21"/>
  <c r="AL12" i="17"/>
  <c r="G39" i="5"/>
  <c r="C39" i="5" s="1"/>
  <c r="F522" i="11" l="1"/>
  <c r="F513" i="11"/>
  <c r="I20" i="7"/>
  <c r="H112" i="11"/>
  <c r="F100" i="11"/>
  <c r="F102" i="11" s="1"/>
  <c r="F14" i="10"/>
  <c r="H14" i="10" s="1"/>
  <c r="H8" i="10"/>
  <c r="G328" i="11"/>
  <c r="G269" i="11" s="1"/>
  <c r="H328" i="11"/>
  <c r="H202" i="11"/>
  <c r="I27" i="6"/>
  <c r="H28" i="11"/>
  <c r="F9" i="11"/>
  <c r="F514" i="11" s="1"/>
  <c r="F141" i="11"/>
  <c r="C43" i="5"/>
  <c r="AN19" i="17"/>
  <c r="AH40" i="17"/>
  <c r="F37" i="5"/>
  <c r="F36" i="5"/>
  <c r="AH33" i="17"/>
  <c r="AH41" i="17" s="1"/>
  <c r="AN31" i="17"/>
  <c r="AN33" i="17" s="1"/>
  <c r="C34" i="21"/>
  <c r="C42" i="21" s="1"/>
  <c r="AF31" i="17"/>
  <c r="AO49" i="21"/>
  <c r="C49" i="21" s="1"/>
  <c r="AO42" i="21"/>
  <c r="AF40" i="17"/>
  <c r="C40" i="16"/>
  <c r="C29" i="16"/>
  <c r="M39" i="16"/>
  <c r="M36" i="16"/>
  <c r="M37" i="16" s="1"/>
  <c r="CI37" i="16"/>
  <c r="DJ36" i="16"/>
  <c r="VE30" i="21"/>
  <c r="AI21" i="17"/>
  <c r="VF37" i="21"/>
  <c r="VF40" i="21"/>
  <c r="VA37" i="21"/>
  <c r="AO52" i="21" s="1"/>
  <c r="VA40" i="21"/>
  <c r="I327" i="11"/>
  <c r="AZ21" i="17"/>
  <c r="BD21" i="17"/>
  <c r="BD29" i="17" s="1"/>
  <c r="BF29" i="17"/>
  <c r="AN21" i="17"/>
  <c r="AH29" i="17"/>
  <c r="AF21" i="17"/>
  <c r="AF29" i="17" s="1"/>
  <c r="C30" i="21"/>
  <c r="AO50" i="21"/>
  <c r="AR65" i="17"/>
  <c r="UU38" i="21"/>
  <c r="G366" i="11"/>
  <c r="I366" i="11" s="1"/>
  <c r="I373" i="11"/>
  <c r="AR29" i="17"/>
  <c r="H269" i="11"/>
  <c r="AO40" i="21"/>
  <c r="AO37" i="21"/>
  <c r="AO38" i="21" s="1"/>
  <c r="AT36" i="17"/>
  <c r="AU35" i="17" s="1"/>
  <c r="AT39" i="17"/>
  <c r="AL40" i="17"/>
  <c r="O74" i="17"/>
  <c r="F516" i="11" l="1"/>
  <c r="F524" i="11" s="1"/>
  <c r="F520" i="11"/>
  <c r="I328" i="11"/>
  <c r="I29" i="6"/>
  <c r="I31" i="6" s="1"/>
  <c r="G27" i="6"/>
  <c r="G29" i="6" s="1"/>
  <c r="O81" i="17"/>
  <c r="O87" i="17" s="1"/>
  <c r="AN40" i="17"/>
  <c r="AN41" i="17"/>
  <c r="E81" i="17"/>
  <c r="AL31" i="17"/>
  <c r="AL33" i="17" s="1"/>
  <c r="AF33" i="17"/>
  <c r="AF41" i="17" s="1"/>
  <c r="F518" i="11"/>
  <c r="C36" i="16"/>
  <c r="C76" i="15" s="1"/>
  <c r="C39" i="16"/>
  <c r="C52" i="21"/>
  <c r="AO21" i="17"/>
  <c r="AI29" i="17"/>
  <c r="VE50" i="21"/>
  <c r="C50" i="21" s="1"/>
  <c r="VE40" i="21"/>
  <c r="VE37" i="21"/>
  <c r="VE38" i="21" s="1"/>
  <c r="AL21" i="17"/>
  <c r="AL29" i="17" s="1"/>
  <c r="AN29" i="17"/>
  <c r="AN36" i="17" s="1"/>
  <c r="AR39" i="17"/>
  <c r="AR36" i="17"/>
  <c r="BD36" i="17"/>
  <c r="J74" i="17" s="1"/>
  <c r="BD39" i="17"/>
  <c r="AO54" i="21"/>
  <c r="AZ29" i="17"/>
  <c r="AX21" i="17"/>
  <c r="AX29" i="17" s="1"/>
  <c r="C40" i="21"/>
  <c r="C37" i="21"/>
  <c r="BF39" i="17"/>
  <c r="BF36" i="17"/>
  <c r="BG35" i="17" s="1"/>
  <c r="AF39" i="17"/>
  <c r="C51" i="21"/>
  <c r="AH36" i="17"/>
  <c r="AH39" i="17"/>
  <c r="I269" i="11"/>
  <c r="D15" i="13" l="1"/>
  <c r="F517" i="11"/>
  <c r="D17" i="13"/>
  <c r="I30" i="6"/>
  <c r="AF36" i="17"/>
  <c r="AL36" i="17"/>
  <c r="AL38" i="17" s="1"/>
  <c r="AL41" i="17"/>
  <c r="E74" i="17"/>
  <c r="E87" i="17" s="1"/>
  <c r="AO53" i="21"/>
  <c r="C53" i="21" s="1"/>
  <c r="AN39" i="17"/>
  <c r="H81" i="17"/>
  <c r="AL39" i="17"/>
  <c r="H74" i="17"/>
  <c r="AI36" i="17"/>
  <c r="AI39" i="17"/>
  <c r="AO29" i="17"/>
  <c r="VE54" i="21"/>
  <c r="AX36" i="17"/>
  <c r="L74" i="17" s="1"/>
  <c r="AX39" i="17"/>
  <c r="AR69" i="17"/>
  <c r="AR37" i="17"/>
  <c r="AR38" i="17"/>
  <c r="AZ39" i="17"/>
  <c r="AZ36" i="17"/>
  <c r="C54" i="21"/>
  <c r="C45" i="21"/>
  <c r="BF37" i="17"/>
  <c r="BD37" i="17" s="1"/>
  <c r="J81" i="17"/>
  <c r="AF37" i="17" l="1"/>
  <c r="L81" i="17"/>
  <c r="C81" i="17" s="1"/>
  <c r="BA35" i="17"/>
  <c r="AI35" i="17"/>
  <c r="H83" i="17"/>
  <c r="AO36" i="17"/>
  <c r="AO39" i="17"/>
  <c r="J87" i="17"/>
  <c r="C74" i="17"/>
  <c r="L87" i="17" l="1"/>
  <c r="AL37" i="17"/>
  <c r="AO35" i="17"/>
  <c r="C83" i="17"/>
  <c r="H87" i="17"/>
  <c r="C88" i="17"/>
  <c r="C87" i="17" l="1"/>
  <c r="P17" i="21" l="1"/>
  <c r="T17" i="21"/>
  <c r="T30" i="21" l="1"/>
  <c r="AA13" i="17"/>
  <c r="D17" i="21"/>
  <c r="R17" i="21"/>
  <c r="O13" i="17"/>
  <c r="AA29" i="17" l="1"/>
  <c r="T37" i="21"/>
  <c r="D52" i="21" s="1"/>
  <c r="T40" i="21"/>
  <c r="I78" i="17"/>
  <c r="U13" i="17"/>
  <c r="C13" i="17"/>
  <c r="AA36" i="17" l="1"/>
  <c r="AA39" i="17"/>
  <c r="I13" i="17"/>
  <c r="I76" i="17" l="1"/>
  <c r="I79" i="17" s="1"/>
  <c r="AA37" i="17"/>
  <c r="P20" i="21" l="1"/>
  <c r="D20" i="21" l="1"/>
  <c r="R20" i="21"/>
  <c r="O17" i="17"/>
  <c r="U17" i="17" l="1"/>
  <c r="C17" i="17"/>
  <c r="I17" i="17" l="1"/>
  <c r="P16" i="21" l="1"/>
  <c r="N13" i="21"/>
  <c r="N23" i="21"/>
  <c r="P23" i="21"/>
  <c r="N25" i="21"/>
  <c r="P26" i="21"/>
  <c r="N27" i="21"/>
  <c r="P27" i="21"/>
  <c r="P29" i="21"/>
  <c r="N32" i="21"/>
  <c r="D32" i="21" l="1"/>
  <c r="R29" i="21"/>
  <c r="D29" i="21"/>
  <c r="O28" i="17"/>
  <c r="R27" i="21"/>
  <c r="O26" i="17"/>
  <c r="D26" i="21"/>
  <c r="R26" i="21"/>
  <c r="O25" i="17"/>
  <c r="R23" i="21"/>
  <c r="O21" i="17"/>
  <c r="D16" i="21"/>
  <c r="R16" i="21"/>
  <c r="O12" i="17"/>
  <c r="D27" i="21"/>
  <c r="D23" i="21"/>
  <c r="D13" i="21"/>
  <c r="C31" i="17" l="1"/>
  <c r="U28" i="17"/>
  <c r="C28" i="17"/>
  <c r="U26" i="17"/>
  <c r="U25" i="17"/>
  <c r="C25" i="17"/>
  <c r="U21" i="17"/>
  <c r="U12" i="17"/>
  <c r="C12" i="17"/>
  <c r="C26" i="17"/>
  <c r="C21" i="17"/>
  <c r="C15" i="17"/>
  <c r="I21" i="17" l="1"/>
  <c r="I28" i="17"/>
  <c r="I25" i="17"/>
  <c r="I26" i="17"/>
  <c r="I31" i="17"/>
  <c r="I12" i="17"/>
  <c r="I15" i="17"/>
  <c r="YF29" i="21" l="1"/>
  <c r="YF23" i="21"/>
  <c r="YF17" i="21"/>
  <c r="XV29" i="21" l="1"/>
  <c r="YF32" i="21"/>
  <c r="YF33" i="21"/>
  <c r="YF28" i="21"/>
  <c r="YF27" i="21"/>
  <c r="YF26" i="21"/>
  <c r="YF15" i="21"/>
  <c r="YF25" i="21"/>
  <c r="YF24" i="21"/>
  <c r="YF22" i="21"/>
  <c r="YF14" i="21"/>
  <c r="YF21" i="21"/>
  <c r="YF20" i="21"/>
  <c r="YF19" i="21"/>
  <c r="YF13" i="21"/>
  <c r="YF18" i="21"/>
  <c r="YF16" i="21"/>
  <c r="YF12" i="21"/>
  <c r="XV27" i="21" l="1"/>
  <c r="XV14" i="21"/>
  <c r="XV33" i="21"/>
  <c r="XV20" i="21"/>
  <c r="XV16" i="21"/>
  <c r="XV21" i="21"/>
  <c r="XV22" i="21"/>
  <c r="XV18" i="21"/>
  <c r="XV25" i="21"/>
  <c r="XV24" i="21"/>
  <c r="XV19" i="21"/>
  <c r="XV26" i="21"/>
  <c r="YF41" i="21"/>
  <c r="YF30" i="21"/>
  <c r="XV12" i="21"/>
  <c r="WJ12" i="21" s="1"/>
  <c r="YF34" i="21"/>
  <c r="YF42" i="21" s="1"/>
  <c r="WJ21" i="21" l="1"/>
  <c r="F18" i="17" s="1"/>
  <c r="WJ19" i="21"/>
  <c r="F16" i="17" s="1"/>
  <c r="WJ33" i="21"/>
  <c r="F32" i="17" s="1"/>
  <c r="WJ24" i="21"/>
  <c r="F22" i="17" s="1"/>
  <c r="WJ14" i="21"/>
  <c r="F19" i="17" s="1"/>
  <c r="YF37" i="21"/>
  <c r="YF38" i="21" s="1"/>
  <c r="E12" i="9" s="1"/>
  <c r="YF40" i="21"/>
  <c r="L22" i="17" l="1"/>
  <c r="L16" i="17"/>
  <c r="L18" i="17"/>
  <c r="L32" i="17"/>
  <c r="L19" i="17"/>
  <c r="H12" i="9"/>
  <c r="G12" i="9"/>
  <c r="E8" i="9"/>
  <c r="H8" i="9" s="1"/>
  <c r="F11" i="17"/>
  <c r="L11" i="17" l="1"/>
  <c r="I12" i="9"/>
  <c r="G8" i="9"/>
  <c r="I8" i="9" s="1"/>
  <c r="YU27" i="21" l="1"/>
  <c r="YB15" i="21"/>
  <c r="YB23" i="21"/>
  <c r="YU22" i="21"/>
  <c r="YB13" i="21"/>
  <c r="YB17" i="21"/>
  <c r="YV17" i="21"/>
  <c r="YV29" i="21"/>
  <c r="YV26" i="21"/>
  <c r="YV22" i="21"/>
  <c r="YV20" i="21"/>
  <c r="XV23" i="21" l="1"/>
  <c r="ZH22" i="21"/>
  <c r="XV15" i="21"/>
  <c r="ZH17" i="21"/>
  <c r="YR17" i="21"/>
  <c r="YV30" i="21"/>
  <c r="YR29" i="21"/>
  <c r="WJ29" i="21" s="1"/>
  <c r="ZH29" i="21"/>
  <c r="ZD29" i="21" s="1"/>
  <c r="E70" i="9"/>
  <c r="H70" i="9" s="1"/>
  <c r="ZH20" i="21"/>
  <c r="ZD20" i="21" s="1"/>
  <c r="YR20" i="21"/>
  <c r="WJ20" i="21" s="1"/>
  <c r="XV13" i="21"/>
  <c r="WJ13" i="21" s="1"/>
  <c r="YB41" i="21"/>
  <c r="YB30" i="21"/>
  <c r="ZG27" i="21"/>
  <c r="ZD27" i="21" s="1"/>
  <c r="YR27" i="21"/>
  <c r="WJ27" i="21" s="1"/>
  <c r="YR26" i="21"/>
  <c r="WJ26" i="21" s="1"/>
  <c r="ZH26" i="21"/>
  <c r="ZD26" i="21" s="1"/>
  <c r="ZG22" i="21"/>
  <c r="ZD22" i="21" s="1"/>
  <c r="YR22" i="21"/>
  <c r="WJ22" i="21" s="1"/>
  <c r="WJ15" i="21" l="1"/>
  <c r="F24" i="17" s="1"/>
  <c r="YB40" i="21"/>
  <c r="YB37" i="21"/>
  <c r="XV41" i="21"/>
  <c r="YV37" i="21"/>
  <c r="YC38" i="21" s="1"/>
  <c r="YV40" i="21"/>
  <c r="R17" i="17"/>
  <c r="R28" i="17"/>
  <c r="ZD17" i="21"/>
  <c r="ZH30" i="21"/>
  <c r="R26" i="17"/>
  <c r="R20" i="17"/>
  <c r="R25" i="17"/>
  <c r="L24" i="17" l="1"/>
  <c r="X28" i="17"/>
  <c r="F15" i="17"/>
  <c r="WJ41" i="21"/>
  <c r="F25" i="17"/>
  <c r="X20" i="17"/>
  <c r="F20" i="17"/>
  <c r="F26" i="17"/>
  <c r="F17" i="17"/>
  <c r="X25" i="17"/>
  <c r="N25" i="17"/>
  <c r="X26" i="17"/>
  <c r="X17" i="17"/>
  <c r="N17" i="17"/>
  <c r="F28" i="17"/>
  <c r="ZH40" i="21"/>
  <c r="ZH37" i="21"/>
  <c r="L25" i="17" l="1"/>
  <c r="L20" i="17"/>
  <c r="L15" i="17"/>
  <c r="F40" i="17"/>
  <c r="L26" i="17"/>
  <c r="BM25" i="17"/>
  <c r="T25" i="17"/>
  <c r="L17" i="17"/>
  <c r="BM17" i="17"/>
  <c r="T17" i="17"/>
  <c r="L28" i="17"/>
  <c r="L40" i="17" l="1"/>
  <c r="N85" i="17"/>
  <c r="XX32" i="21" l="1"/>
  <c r="XX17" i="21"/>
  <c r="XV17" i="21" l="1"/>
  <c r="XV32" i="21"/>
  <c r="WJ32" i="21" s="1"/>
  <c r="XX34" i="21"/>
  <c r="XX42" i="21" s="1"/>
  <c r="XV34" i="21" l="1"/>
  <c r="XV42" i="21" s="1"/>
  <c r="WJ34" i="21" l="1"/>
  <c r="F31" i="17"/>
  <c r="L31" i="17" l="1"/>
  <c r="F33" i="17"/>
  <c r="WJ42" i="21"/>
  <c r="WJ49" i="21"/>
  <c r="F41" i="17" l="1"/>
  <c r="L33" i="17"/>
  <c r="L41" i="17" l="1"/>
  <c r="D85" i="17"/>
  <c r="XO17" i="21" l="1"/>
  <c r="XN17" i="21" s="1"/>
  <c r="XO16" i="21"/>
  <c r="WJ17" i="21" l="1"/>
  <c r="XT17" i="21"/>
  <c r="R13" i="17"/>
  <c r="XN16" i="21"/>
  <c r="XO30" i="21"/>
  <c r="YU25" i="21"/>
  <c r="YU23" i="21"/>
  <c r="YU18" i="21"/>
  <c r="XX28" i="21"/>
  <c r="WJ16" i="21" l="1"/>
  <c r="XT16" i="21"/>
  <c r="XN30" i="21"/>
  <c r="R12" i="17"/>
  <c r="XO40" i="21"/>
  <c r="XO37" i="21"/>
  <c r="XK38" i="21" s="1"/>
  <c r="E21" i="9" s="1"/>
  <c r="N13" i="17"/>
  <c r="ZG23" i="21"/>
  <c r="ZD23" i="21" s="1"/>
  <c r="YR23" i="21"/>
  <c r="WJ23" i="21" s="1"/>
  <c r="XV28" i="21"/>
  <c r="WJ28" i="21" s="1"/>
  <c r="XX30" i="21"/>
  <c r="F13" i="17"/>
  <c r="ZG25" i="21"/>
  <c r="ZD25" i="21" s="1"/>
  <c r="YR25" i="21"/>
  <c r="WJ25" i="21" s="1"/>
  <c r="ZG18" i="21"/>
  <c r="YU30" i="21"/>
  <c r="YR18" i="21"/>
  <c r="WJ18" i="21" s="1"/>
  <c r="XR17" i="21"/>
  <c r="AD13" i="17"/>
  <c r="X13" i="17" s="1"/>
  <c r="G21" i="9" l="1"/>
  <c r="H21" i="9"/>
  <c r="E19" i="9"/>
  <c r="H19" i="9" s="1"/>
  <c r="BM13" i="17"/>
  <c r="T13" i="17"/>
  <c r="XX37" i="21"/>
  <c r="E31" i="9" s="1"/>
  <c r="E25" i="9" s="1"/>
  <c r="XX40" i="21"/>
  <c r="R23" i="17"/>
  <c r="L13" i="17"/>
  <c r="XV30" i="21"/>
  <c r="XN37" i="21"/>
  <c r="XN40" i="21"/>
  <c r="BN13" i="17"/>
  <c r="Z13" i="17"/>
  <c r="YU40" i="21"/>
  <c r="YU37" i="21"/>
  <c r="YB38" i="21" s="1"/>
  <c r="E51" i="9" s="1"/>
  <c r="R21" i="17"/>
  <c r="F12" i="17"/>
  <c r="R14" i="17"/>
  <c r="YR30" i="21"/>
  <c r="ZG30" i="21"/>
  <c r="ZD18" i="21"/>
  <c r="ZD30" i="21" s="1"/>
  <c r="XR16" i="21"/>
  <c r="XR30" i="21" s="1"/>
  <c r="XT30" i="21"/>
  <c r="AD12" i="17"/>
  <c r="R29" i="17" l="1"/>
  <c r="R39" i="17" s="1"/>
  <c r="ZD37" i="21"/>
  <c r="ZD40" i="21"/>
  <c r="F21" i="17"/>
  <c r="XV37" i="21"/>
  <c r="XV40" i="21"/>
  <c r="ZG40" i="21"/>
  <c r="ZG37" i="21"/>
  <c r="X21" i="17"/>
  <c r="F27" i="17"/>
  <c r="YR37" i="21"/>
  <c r="N68" i="17" s="1"/>
  <c r="YR40" i="21"/>
  <c r="E49" i="9"/>
  <c r="H49" i="9" s="1"/>
  <c r="G51" i="9"/>
  <c r="H51" i="9"/>
  <c r="G31" i="9"/>
  <c r="G25" i="9" s="1"/>
  <c r="H31" i="9"/>
  <c r="F14" i="17"/>
  <c r="X14" i="17"/>
  <c r="F23" i="17"/>
  <c r="AD29" i="17"/>
  <c r="WJ30" i="21"/>
  <c r="X23" i="17"/>
  <c r="XT40" i="21"/>
  <c r="XT37" i="21"/>
  <c r="WJ52" i="21" s="1"/>
  <c r="XR37" i="21"/>
  <c r="XR40" i="21"/>
  <c r="L12" i="17"/>
  <c r="XJ38" i="21"/>
  <c r="N67" i="17"/>
  <c r="X12" i="17"/>
  <c r="I21" i="9"/>
  <c r="G19" i="9"/>
  <c r="I19" i="9" s="1"/>
  <c r="R36" i="17" l="1"/>
  <c r="WJ53" i="21"/>
  <c r="F29" i="17"/>
  <c r="F39" i="17" s="1"/>
  <c r="WJ51" i="21"/>
  <c r="L14" i="17"/>
  <c r="AD36" i="17"/>
  <c r="AD39" i="17"/>
  <c r="I31" i="9"/>
  <c r="L27" i="17"/>
  <c r="L21" i="17"/>
  <c r="L23" i="17"/>
  <c r="H25" i="9"/>
  <c r="H54" i="9" s="1"/>
  <c r="E54" i="9"/>
  <c r="E58" i="9" s="1"/>
  <c r="X29" i="17"/>
  <c r="I51" i="9"/>
  <c r="G49" i="9"/>
  <c r="I49" i="9" s="1"/>
  <c r="WJ40" i="21"/>
  <c r="WJ37" i="21"/>
  <c r="BM14" i="17"/>
  <c r="WJ54" i="21" l="1"/>
  <c r="F36" i="17"/>
  <c r="WJ50" i="21"/>
  <c r="G54" i="9"/>
  <c r="I25" i="9"/>
  <c r="I54" i="9" s="1"/>
  <c r="L29" i="17"/>
  <c r="X36" i="17"/>
  <c r="X39" i="17"/>
  <c r="AD37" i="17"/>
  <c r="I85" i="17"/>
  <c r="F85" i="17" l="1"/>
  <c r="L39" i="17"/>
  <c r="L36" i="17"/>
  <c r="G58" i="9"/>
  <c r="E21" i="12"/>
  <c r="K85" i="17"/>
  <c r="B85" i="17" l="1"/>
  <c r="FZ13" i="21" l="1"/>
  <c r="FY13" i="21"/>
  <c r="FX13" i="21" l="1"/>
  <c r="FY41" i="21"/>
  <c r="FY30" i="21"/>
  <c r="AH15" i="16"/>
  <c r="FZ30" i="21"/>
  <c r="FZ41" i="21"/>
  <c r="FZ40" i="21" l="1"/>
  <c r="FZ37" i="21"/>
  <c r="FZ38" i="21" s="1"/>
  <c r="DM14" i="5"/>
  <c r="AH40" i="16"/>
  <c r="AH29" i="16"/>
  <c r="FY40" i="21"/>
  <c r="FY37" i="21"/>
  <c r="FY38" i="21" s="1"/>
  <c r="E65" i="11" s="1"/>
  <c r="FX30" i="21"/>
  <c r="FX41" i="21"/>
  <c r="CR33" i="21"/>
  <c r="R32" i="16" s="1"/>
  <c r="CQ33" i="21"/>
  <c r="E68" i="11" l="1"/>
  <c r="H65" i="11"/>
  <c r="G65" i="11"/>
  <c r="DN14" i="5"/>
  <c r="DN28" i="5" s="1"/>
  <c r="DN35" i="5" s="1"/>
  <c r="DM28" i="5"/>
  <c r="DM35" i="5" s="1"/>
  <c r="AH39" i="16"/>
  <c r="AH36" i="16"/>
  <c r="E69" i="11"/>
  <c r="B32" i="15"/>
  <c r="FX40" i="21"/>
  <c r="FX37" i="21"/>
  <c r="BA31" i="5"/>
  <c r="DM36" i="5" l="1"/>
  <c r="I65" i="11"/>
  <c r="E72" i="11"/>
  <c r="H22" i="6" s="1"/>
  <c r="G69" i="11"/>
  <c r="I69" i="11" s="1"/>
  <c r="H69" i="11"/>
  <c r="H23" i="8"/>
  <c r="BB31" i="5"/>
  <c r="H68" i="11"/>
  <c r="G68" i="11"/>
  <c r="I68" i="11" s="1"/>
  <c r="K65" i="11" l="1"/>
  <c r="H72" i="11"/>
  <c r="G72" i="11"/>
  <c r="E530" i="11"/>
  <c r="I72" i="11" l="1"/>
  <c r="G530" i="11"/>
  <c r="QB25" i="21" l="1"/>
  <c r="QA25" i="21"/>
  <c r="QB19" i="21"/>
  <c r="QA19" i="21"/>
  <c r="QB16" i="21"/>
  <c r="QA16" i="21"/>
  <c r="PR13" i="21"/>
  <c r="PQ13" i="21"/>
  <c r="OU29" i="21"/>
  <c r="OU27" i="21"/>
  <c r="OU23" i="21"/>
  <c r="J19" i="20"/>
  <c r="QH16" i="21" l="1"/>
  <c r="QB30" i="21"/>
  <c r="BN12" i="16"/>
  <c r="QA30" i="21"/>
  <c r="QG16" i="21"/>
  <c r="PZ16" i="21"/>
  <c r="J26" i="20"/>
  <c r="QG19" i="21"/>
  <c r="PZ19" i="21"/>
  <c r="P16" i="17" s="1"/>
  <c r="OU30" i="21"/>
  <c r="PC23" i="21"/>
  <c r="OR23" i="21"/>
  <c r="QH19" i="21"/>
  <c r="BN16" i="16"/>
  <c r="OR29" i="21"/>
  <c r="PC29" i="21"/>
  <c r="OZ29" i="21" s="1"/>
  <c r="QH25" i="21"/>
  <c r="BN23" i="16"/>
  <c r="PC27" i="21"/>
  <c r="OZ27" i="21" s="1"/>
  <c r="OR27" i="21"/>
  <c r="PZ25" i="21"/>
  <c r="QG25" i="21"/>
  <c r="PQ30" i="21"/>
  <c r="PP13" i="21"/>
  <c r="PQ41" i="21"/>
  <c r="PR41" i="21"/>
  <c r="PR30" i="21"/>
  <c r="IL14" i="5"/>
  <c r="BN15" i="16"/>
  <c r="T26" i="18"/>
  <c r="X27" i="18"/>
  <c r="T27" i="18"/>
  <c r="AD26" i="18"/>
  <c r="QF25" i="21" l="1"/>
  <c r="PQ40" i="21"/>
  <c r="PQ37" i="21"/>
  <c r="PC30" i="21"/>
  <c r="OZ23" i="21"/>
  <c r="OZ30" i="21" s="1"/>
  <c r="OU37" i="21"/>
  <c r="OU40" i="21"/>
  <c r="PZ30" i="21"/>
  <c r="QG30" i="21"/>
  <c r="QF16" i="21"/>
  <c r="IK14" i="5"/>
  <c r="BN40" i="16"/>
  <c r="N16" i="17"/>
  <c r="V16" i="17"/>
  <c r="QA37" i="21"/>
  <c r="QA40" i="21"/>
  <c r="QF19" i="21"/>
  <c r="IK11" i="5"/>
  <c r="BN29" i="16"/>
  <c r="QB40" i="21"/>
  <c r="QB37" i="21"/>
  <c r="IL28" i="5"/>
  <c r="IL35" i="5" s="1"/>
  <c r="PR40" i="21"/>
  <c r="PR37" i="21"/>
  <c r="IK15" i="5"/>
  <c r="PP41" i="21"/>
  <c r="PP30" i="21"/>
  <c r="IK22" i="5"/>
  <c r="OR30" i="21"/>
  <c r="P21" i="17"/>
  <c r="J36" i="20"/>
  <c r="J33" i="20"/>
  <c r="J43" i="20" s="1"/>
  <c r="E305" i="11" s="1"/>
  <c r="QH30" i="21"/>
  <c r="AD31" i="18"/>
  <c r="AD28" i="18"/>
  <c r="T31" i="18"/>
  <c r="AV11" i="20"/>
  <c r="AV17" i="20"/>
  <c r="AV15" i="20"/>
  <c r="QF30" i="21" l="1"/>
  <c r="QF40" i="21" s="1"/>
  <c r="OR40" i="21"/>
  <c r="OR37" i="21"/>
  <c r="N57" i="17" s="1"/>
  <c r="IM14" i="5"/>
  <c r="O14" i="5" s="1"/>
  <c r="D14" i="5" s="1"/>
  <c r="QF37" i="21"/>
  <c r="QG37" i="21"/>
  <c r="QG40" i="21"/>
  <c r="PP37" i="21"/>
  <c r="PP40" i="21"/>
  <c r="IM22" i="5"/>
  <c r="O22" i="5" s="1"/>
  <c r="D22" i="5" s="1"/>
  <c r="QH40" i="21"/>
  <c r="QH37" i="21"/>
  <c r="T16" i="17"/>
  <c r="BM16" i="17"/>
  <c r="PZ37" i="21"/>
  <c r="N58" i="17" s="1"/>
  <c r="PZ40" i="21"/>
  <c r="OZ40" i="21"/>
  <c r="OZ37" i="21"/>
  <c r="E306" i="11"/>
  <c r="G305" i="11"/>
  <c r="H305" i="11"/>
  <c r="BN36" i="16"/>
  <c r="BN39" i="16"/>
  <c r="PC40" i="21"/>
  <c r="PC37" i="21"/>
  <c r="PQ38" i="21"/>
  <c r="E229" i="11" s="1"/>
  <c r="AV37" i="20"/>
  <c r="IM15" i="5"/>
  <c r="O15" i="5" s="1"/>
  <c r="D15" i="5" s="1"/>
  <c r="V21" i="17"/>
  <c r="N21" i="17"/>
  <c r="PR38" i="21"/>
  <c r="IK28" i="5"/>
  <c r="IK35" i="5" s="1"/>
  <c r="IM11" i="5"/>
  <c r="I305" i="11" l="1"/>
  <c r="G306" i="11"/>
  <c r="H306" i="11"/>
  <c r="E232" i="11"/>
  <c r="B31" i="15"/>
  <c r="BM21" i="17"/>
  <c r="T21" i="17"/>
  <c r="O11" i="5"/>
  <c r="IM28" i="5"/>
  <c r="IM35" i="5" s="1"/>
  <c r="IK36" i="5" s="1"/>
  <c r="G229" i="11"/>
  <c r="E230" i="11"/>
  <c r="H229" i="11"/>
  <c r="G232" i="11" l="1"/>
  <c r="K229" i="11" s="1"/>
  <c r="H22" i="8"/>
  <c r="H232" i="11"/>
  <c r="E233" i="11"/>
  <c r="D11" i="5"/>
  <c r="D28" i="5" s="1"/>
  <c r="O28" i="5"/>
  <c r="O35" i="5" s="1"/>
  <c r="I306" i="11"/>
  <c r="H230" i="11"/>
  <c r="I229" i="11"/>
  <c r="G230" i="11"/>
  <c r="J39" i="5" l="1"/>
  <c r="D35" i="5"/>
  <c r="I230" i="11"/>
  <c r="G233" i="11"/>
  <c r="G205" i="11" s="1"/>
  <c r="I205" i="11" s="1"/>
  <c r="I232" i="11"/>
  <c r="H233" i="11"/>
  <c r="E205" i="11"/>
  <c r="H205" i="11" s="1"/>
  <c r="I233" i="11" l="1"/>
  <c r="KK33" i="21" l="1"/>
  <c r="KK32" i="21"/>
  <c r="KK29" i="21"/>
  <c r="KK28" i="21"/>
  <c r="KK27" i="21"/>
  <c r="KK26" i="21"/>
  <c r="KK15" i="21"/>
  <c r="KK25" i="21"/>
  <c r="KK24" i="21"/>
  <c r="KK23" i="21"/>
  <c r="KK22" i="21"/>
  <c r="KK14" i="21"/>
  <c r="KK21" i="21"/>
  <c r="KK19" i="21"/>
  <c r="KK13" i="21"/>
  <c r="KK18" i="21"/>
  <c r="KK17" i="21"/>
  <c r="KK16" i="21"/>
  <c r="KK12" i="21"/>
  <c r="KL33" i="21"/>
  <c r="AZ32" i="16" s="1"/>
  <c r="GG31" i="5" s="1"/>
  <c r="GH31" i="5" s="1"/>
  <c r="KL32" i="21"/>
  <c r="KL29" i="21"/>
  <c r="AZ28" i="16" s="1"/>
  <c r="KL28" i="21"/>
  <c r="AZ27" i="16" s="1"/>
  <c r="KL27" i="21"/>
  <c r="AZ26" i="16" s="1"/>
  <c r="KL26" i="21"/>
  <c r="AZ25" i="16" s="1"/>
  <c r="KL15" i="21"/>
  <c r="AZ24" i="16" s="1"/>
  <c r="KL25" i="21"/>
  <c r="AZ23" i="16" s="1"/>
  <c r="KL24" i="21"/>
  <c r="AZ22" i="16" s="1"/>
  <c r="KL23" i="21"/>
  <c r="AZ21" i="16" s="1"/>
  <c r="KL22" i="21"/>
  <c r="AZ20" i="16" s="1"/>
  <c r="KL14" i="21"/>
  <c r="AZ19" i="16" s="1"/>
  <c r="KL21" i="21"/>
  <c r="AZ18" i="16" s="1"/>
  <c r="KL20" i="21"/>
  <c r="AZ17" i="16" s="1"/>
  <c r="KL19" i="21"/>
  <c r="AZ16" i="16" s="1"/>
  <c r="KL13" i="21"/>
  <c r="AZ15" i="16" s="1"/>
  <c r="KL18" i="21"/>
  <c r="AZ14" i="16" s="1"/>
  <c r="KL17" i="21"/>
  <c r="AZ13" i="16" s="1"/>
  <c r="KL16" i="21"/>
  <c r="AZ12" i="16" s="1"/>
  <c r="KL12" i="21"/>
  <c r="GG19" i="5" l="1"/>
  <c r="N20" i="16"/>
  <c r="L20" i="16" s="1"/>
  <c r="B20" i="16" s="1"/>
  <c r="GG27" i="5"/>
  <c r="N28" i="16"/>
  <c r="L28" i="16" s="1"/>
  <c r="B28" i="16" s="1"/>
  <c r="KH19" i="21"/>
  <c r="KH15" i="21"/>
  <c r="GG20" i="5"/>
  <c r="N21" i="16"/>
  <c r="L21" i="16" s="1"/>
  <c r="B21" i="16" s="1"/>
  <c r="KL34" i="21"/>
  <c r="KL42" i="21" s="1"/>
  <c r="AZ31" i="16"/>
  <c r="KK20" i="21"/>
  <c r="KH26" i="21"/>
  <c r="GG11" i="5"/>
  <c r="N12" i="16"/>
  <c r="L12" i="16" s="1"/>
  <c r="B12" i="16" s="1"/>
  <c r="KH21" i="21"/>
  <c r="KH27" i="21"/>
  <c r="GG13" i="5"/>
  <c r="N14" i="16"/>
  <c r="L14" i="16" s="1"/>
  <c r="B14" i="16" s="1"/>
  <c r="GG22" i="5"/>
  <c r="N23" i="16"/>
  <c r="L23" i="16" s="1"/>
  <c r="B23" i="16" s="1"/>
  <c r="KK41" i="21"/>
  <c r="KH12" i="21"/>
  <c r="KH14" i="21"/>
  <c r="KH28" i="21"/>
  <c r="GG12" i="5"/>
  <c r="N13" i="16"/>
  <c r="L13" i="16" s="1"/>
  <c r="B13" i="16" s="1"/>
  <c r="GG15" i="5"/>
  <c r="N16" i="16"/>
  <c r="L16" i="16" s="1"/>
  <c r="B16" i="16" s="1"/>
  <c r="GG23" i="5"/>
  <c r="N24" i="16"/>
  <c r="L24" i="16" s="1"/>
  <c r="B24" i="16" s="1"/>
  <c r="KH16" i="21"/>
  <c r="KH22" i="21"/>
  <c r="KH29" i="21"/>
  <c r="GG21" i="5"/>
  <c r="N22" i="16"/>
  <c r="L22" i="16" s="1"/>
  <c r="B22" i="16" s="1"/>
  <c r="GG16" i="5"/>
  <c r="N17" i="16"/>
  <c r="L17" i="16" s="1"/>
  <c r="B17" i="16" s="1"/>
  <c r="GG24" i="5"/>
  <c r="N25" i="16"/>
  <c r="L25" i="16" s="1"/>
  <c r="B25" i="16" s="1"/>
  <c r="KH17" i="21"/>
  <c r="KH23" i="21"/>
  <c r="KK34" i="21"/>
  <c r="KK42" i="21" s="1"/>
  <c r="KH32" i="21"/>
  <c r="KL41" i="21"/>
  <c r="KL30" i="21"/>
  <c r="AZ11" i="16"/>
  <c r="GG14" i="5"/>
  <c r="N15" i="16"/>
  <c r="L15" i="16" s="1"/>
  <c r="B15" i="16" s="1"/>
  <c r="GG17" i="5"/>
  <c r="N18" i="16"/>
  <c r="L18" i="16" s="1"/>
  <c r="B18" i="16" s="1"/>
  <c r="GG25" i="5"/>
  <c r="N26" i="16"/>
  <c r="L26" i="16" s="1"/>
  <c r="B26" i="16" s="1"/>
  <c r="KH18" i="21"/>
  <c r="KH24" i="21"/>
  <c r="KH33" i="21"/>
  <c r="GG18" i="5"/>
  <c r="N19" i="16"/>
  <c r="L19" i="16" s="1"/>
  <c r="B19" i="16" s="1"/>
  <c r="GG26" i="5"/>
  <c r="N27" i="16"/>
  <c r="L27" i="16" s="1"/>
  <c r="B27" i="16" s="1"/>
  <c r="KH13" i="21"/>
  <c r="KH25" i="21"/>
  <c r="V17" i="20"/>
  <c r="KK30" i="21" l="1"/>
  <c r="KK37" i="21" s="1"/>
  <c r="KK38" i="21" s="1"/>
  <c r="E18" i="11" s="1"/>
  <c r="KH34" i="21"/>
  <c r="KH42" i="21" s="1"/>
  <c r="GH14" i="5"/>
  <c r="N14" i="5" s="1"/>
  <c r="C14" i="5" s="1"/>
  <c r="B14" i="5" s="1"/>
  <c r="M14" i="5"/>
  <c r="K14" i="5" s="1"/>
  <c r="GH21" i="5"/>
  <c r="N21" i="5" s="1"/>
  <c r="C21" i="5" s="1"/>
  <c r="B21" i="5" s="1"/>
  <c r="M21" i="5"/>
  <c r="K21" i="5" s="1"/>
  <c r="GH23" i="5"/>
  <c r="N23" i="5" s="1"/>
  <c r="C23" i="5" s="1"/>
  <c r="B23" i="5" s="1"/>
  <c r="M23" i="5"/>
  <c r="K23" i="5" s="1"/>
  <c r="GH13" i="5"/>
  <c r="N13" i="5" s="1"/>
  <c r="C13" i="5" s="1"/>
  <c r="B13" i="5" s="1"/>
  <c r="M13" i="5"/>
  <c r="K13" i="5" s="1"/>
  <c r="GG10" i="5"/>
  <c r="N11" i="16"/>
  <c r="AZ40" i="16"/>
  <c r="AZ29" i="16"/>
  <c r="GH26" i="5"/>
  <c r="N26" i="5" s="1"/>
  <c r="C26" i="5" s="1"/>
  <c r="B26" i="5" s="1"/>
  <c r="M26" i="5"/>
  <c r="K26" i="5" s="1"/>
  <c r="KL40" i="21"/>
  <c r="KL37" i="21"/>
  <c r="KL38" i="21" s="1"/>
  <c r="GH15" i="5"/>
  <c r="N15" i="5" s="1"/>
  <c r="C15" i="5" s="1"/>
  <c r="B15" i="5" s="1"/>
  <c r="M15" i="5"/>
  <c r="K15" i="5" s="1"/>
  <c r="KH41" i="21"/>
  <c r="KH20" i="21"/>
  <c r="AN20" i="21" s="1"/>
  <c r="D17" i="17" s="1"/>
  <c r="GG30" i="5"/>
  <c r="AZ33" i="16"/>
  <c r="AZ41" i="16" s="1"/>
  <c r="V26" i="20"/>
  <c r="GH18" i="5"/>
  <c r="N18" i="5" s="1"/>
  <c r="C18" i="5" s="1"/>
  <c r="B18" i="5" s="1"/>
  <c r="M18" i="5"/>
  <c r="K18" i="5" s="1"/>
  <c r="GH25" i="5"/>
  <c r="N25" i="5" s="1"/>
  <c r="C25" i="5" s="1"/>
  <c r="B25" i="5" s="1"/>
  <c r="M25" i="5"/>
  <c r="K25" i="5" s="1"/>
  <c r="GH24" i="5"/>
  <c r="N24" i="5" s="1"/>
  <c r="C24" i="5" s="1"/>
  <c r="B24" i="5" s="1"/>
  <c r="M24" i="5"/>
  <c r="K24" i="5" s="1"/>
  <c r="GH12" i="5"/>
  <c r="N12" i="5" s="1"/>
  <c r="C12" i="5" s="1"/>
  <c r="B12" i="5" s="1"/>
  <c r="M12" i="5"/>
  <c r="K12" i="5" s="1"/>
  <c r="GH27" i="5"/>
  <c r="N27" i="5" s="1"/>
  <c r="C27" i="5" s="1"/>
  <c r="B27" i="5" s="1"/>
  <c r="M27" i="5"/>
  <c r="K27" i="5" s="1"/>
  <c r="GH17" i="5"/>
  <c r="N17" i="5" s="1"/>
  <c r="C17" i="5" s="1"/>
  <c r="B17" i="5" s="1"/>
  <c r="M17" i="5"/>
  <c r="K17" i="5" s="1"/>
  <c r="GH16" i="5"/>
  <c r="N16" i="5" s="1"/>
  <c r="C16" i="5" s="1"/>
  <c r="B16" i="5" s="1"/>
  <c r="M16" i="5"/>
  <c r="K16" i="5" s="1"/>
  <c r="GH22" i="5"/>
  <c r="N22" i="5" s="1"/>
  <c r="C22" i="5" s="1"/>
  <c r="B22" i="5" s="1"/>
  <c r="M22" i="5"/>
  <c r="K22" i="5" s="1"/>
  <c r="GH11" i="5"/>
  <c r="N11" i="5" s="1"/>
  <c r="C11" i="5" s="1"/>
  <c r="B11" i="5" s="1"/>
  <c r="M11" i="5"/>
  <c r="K11" i="5" s="1"/>
  <c r="GH20" i="5"/>
  <c r="N20" i="5" s="1"/>
  <c r="C20" i="5" s="1"/>
  <c r="B20" i="5" s="1"/>
  <c r="M20" i="5"/>
  <c r="K20" i="5" s="1"/>
  <c r="GH19" i="5"/>
  <c r="N19" i="5" s="1"/>
  <c r="C19" i="5" s="1"/>
  <c r="B19" i="5" s="1"/>
  <c r="M19" i="5"/>
  <c r="K19" i="5" s="1"/>
  <c r="KK40" i="21" l="1"/>
  <c r="J17" i="17"/>
  <c r="KH30" i="21"/>
  <c r="V36" i="20"/>
  <c r="V33" i="20"/>
  <c r="V43" i="20" s="1"/>
  <c r="E165" i="11" s="1"/>
  <c r="GG32" i="5"/>
  <c r="GH30" i="5"/>
  <c r="GH32" i="5" s="1"/>
  <c r="AZ39" i="16"/>
  <c r="AZ36" i="16"/>
  <c r="E19" i="11"/>
  <c r="H19" i="11" s="1"/>
  <c r="H18" i="11"/>
  <c r="G18" i="11"/>
  <c r="B40" i="15"/>
  <c r="E21" i="11"/>
  <c r="N29" i="16"/>
  <c r="L11" i="16"/>
  <c r="N40" i="16"/>
  <c r="GG28" i="5"/>
  <c r="GH10" i="5"/>
  <c r="M10" i="5"/>
  <c r="CT33" i="21"/>
  <c r="CS33" i="21"/>
  <c r="GG35" i="5" l="1"/>
  <c r="E168" i="11"/>
  <c r="H165" i="11"/>
  <c r="G165" i="11"/>
  <c r="I165" i="11" s="1"/>
  <c r="KH40" i="21"/>
  <c r="KH37" i="21"/>
  <c r="B11" i="16"/>
  <c r="L40" i="16"/>
  <c r="L29" i="16"/>
  <c r="CT34" i="21"/>
  <c r="T32" i="16"/>
  <c r="N39" i="16"/>
  <c r="E22" i="11"/>
  <c r="H22" i="11" s="1"/>
  <c r="H31" i="8"/>
  <c r="G21" i="11"/>
  <c r="H21" i="11"/>
  <c r="M28" i="5"/>
  <c r="K10" i="5"/>
  <c r="GH28" i="5"/>
  <c r="GH35" i="5" s="1"/>
  <c r="N10" i="5"/>
  <c r="CS34" i="21"/>
  <c r="CN33" i="21"/>
  <c r="I18" i="11"/>
  <c r="G19" i="11"/>
  <c r="I19" i="11" s="1"/>
  <c r="AB25" i="20"/>
  <c r="AB24" i="20"/>
  <c r="AB22" i="20"/>
  <c r="AB11" i="20"/>
  <c r="AB21" i="20"/>
  <c r="AB20" i="20"/>
  <c r="AB19" i="20"/>
  <c r="AB17" i="20"/>
  <c r="AB15" i="20"/>
  <c r="AB14" i="20"/>
  <c r="AB8" i="20"/>
  <c r="GQ33" i="21"/>
  <c r="GG36" i="5" l="1"/>
  <c r="C10" i="5"/>
  <c r="N28" i="5"/>
  <c r="B15" i="20"/>
  <c r="UT19" i="21" s="1"/>
  <c r="BI31" i="5"/>
  <c r="T33" i="16"/>
  <c r="AB23" i="20"/>
  <c r="K28" i="5"/>
  <c r="CT42" i="21"/>
  <c r="CT37" i="21"/>
  <c r="B22" i="20"/>
  <c r="UT26" i="21" s="1"/>
  <c r="B24" i="20"/>
  <c r="UT28" i="21" s="1"/>
  <c r="L39" i="16"/>
  <c r="B8" i="20"/>
  <c r="AB13" i="20"/>
  <c r="AB10" i="20"/>
  <c r="AB18" i="20"/>
  <c r="B25" i="20"/>
  <c r="UT29" i="21" s="1"/>
  <c r="CS42" i="21"/>
  <c r="CS37" i="21"/>
  <c r="E190" i="11" s="1"/>
  <c r="G22" i="11"/>
  <c r="I22" i="11" s="1"/>
  <c r="I21" i="11"/>
  <c r="B20" i="20"/>
  <c r="UT24" i="21" s="1"/>
  <c r="GQ34" i="21"/>
  <c r="B19" i="20"/>
  <c r="UT23" i="21" s="1"/>
  <c r="AB9" i="20"/>
  <c r="B29" i="16"/>
  <c r="B40" i="16"/>
  <c r="G168" i="11"/>
  <c r="I168" i="11" s="1"/>
  <c r="H18" i="6"/>
  <c r="H168" i="11"/>
  <c r="AB37" i="20" l="1"/>
  <c r="H190" i="11"/>
  <c r="G190" i="11"/>
  <c r="E192" i="11"/>
  <c r="GQ42" i="21"/>
  <c r="GQ37" i="21"/>
  <c r="GQ38" i="21" s="1"/>
  <c r="E79" i="11" s="1"/>
  <c r="UT12" i="21"/>
  <c r="T41" i="16"/>
  <c r="T36" i="16"/>
  <c r="B39" i="16"/>
  <c r="BJ31" i="5"/>
  <c r="BJ32" i="5" s="1"/>
  <c r="BJ35" i="5" s="1"/>
  <c r="BI32" i="5"/>
  <c r="BI35" i="5" s="1"/>
  <c r="B38" i="15"/>
  <c r="E193" i="11"/>
  <c r="B9" i="20"/>
  <c r="UT13" i="21" s="1"/>
  <c r="AN13" i="21" s="1"/>
  <c r="D15" i="17" s="1"/>
  <c r="B18" i="20"/>
  <c r="UT22" i="21" s="1"/>
  <c r="B10" i="20"/>
  <c r="UT14" i="21" s="1"/>
  <c r="AN14" i="21" s="1"/>
  <c r="D19" i="17" s="1"/>
  <c r="AB26" i="20"/>
  <c r="L39" i="5"/>
  <c r="B10" i="5"/>
  <c r="B28" i="5" s="1"/>
  <c r="C28" i="5"/>
  <c r="BI36" i="5" l="1"/>
  <c r="J15" i="17"/>
  <c r="I190" i="11"/>
  <c r="J19" i="17"/>
  <c r="AB33" i="20"/>
  <c r="AB43" i="20" s="1"/>
  <c r="E180" i="11" s="1"/>
  <c r="AB36" i="20"/>
  <c r="H29" i="8"/>
  <c r="E195" i="11"/>
  <c r="H15" i="7" s="1"/>
  <c r="G193" i="11"/>
  <c r="I193" i="11" s="1"/>
  <c r="H193" i="11"/>
  <c r="G79" i="11"/>
  <c r="I79" i="11" s="1"/>
  <c r="H79" i="11"/>
  <c r="E80" i="11"/>
  <c r="H192" i="11"/>
  <c r="G192" i="11"/>
  <c r="I192" i="11" s="1"/>
  <c r="F39" i="5"/>
  <c r="K190" i="11" l="1"/>
  <c r="G80" i="11"/>
  <c r="I80" i="11" s="1"/>
  <c r="H80" i="11"/>
  <c r="G180" i="11"/>
  <c r="E183" i="11"/>
  <c r="H21" i="6" s="1"/>
  <c r="H180" i="11"/>
  <c r="H195" i="11"/>
  <c r="G195" i="11"/>
  <c r="I195" i="11" s="1"/>
  <c r="G183" i="11" l="1"/>
  <c r="I180" i="11"/>
  <c r="AJ12" i="19" l="1"/>
  <c r="AJ26" i="19" l="1"/>
  <c r="F12" i="19"/>
  <c r="UZ16" i="21" l="1"/>
  <c r="AB12" i="17" s="1"/>
  <c r="F26" i="19"/>
  <c r="UZ30" i="21" l="1"/>
  <c r="UZ40" i="21" l="1"/>
  <c r="UZ37" i="21"/>
  <c r="AB29" i="17"/>
  <c r="Z12" i="17"/>
  <c r="Z29" i="17" s="1"/>
  <c r="BN12" i="17"/>
  <c r="AN52" i="21" l="1"/>
  <c r="B52" i="21" s="1"/>
  <c r="Z39" i="17"/>
  <c r="Z36" i="17"/>
  <c r="I74" i="17" s="1"/>
  <c r="AB39" i="17"/>
  <c r="AB36" i="17"/>
  <c r="BN29" i="17"/>
  <c r="AB37" i="17" l="1"/>
  <c r="Z37" i="17" s="1"/>
  <c r="I81" i="17"/>
  <c r="I87" i="17" s="1"/>
  <c r="AC35" i="17"/>
  <c r="BN36" i="17"/>
  <c r="AB38" i="17"/>
  <c r="AF12" i="19" l="1"/>
  <c r="AF25" i="19"/>
  <c r="AF18" i="19" l="1"/>
  <c r="AF26" i="19" s="1"/>
  <c r="AL41" i="20" s="1"/>
  <c r="AH25" i="19"/>
  <c r="D25" i="19" s="1"/>
  <c r="UX29" i="21" s="1"/>
  <c r="B25" i="19"/>
  <c r="UV29" i="21" s="1"/>
  <c r="AH12" i="19"/>
  <c r="B12" i="19"/>
  <c r="B41" i="20" l="1"/>
  <c r="AL43" i="20"/>
  <c r="E508" i="11" s="1"/>
  <c r="UV16" i="21"/>
  <c r="D12" i="19"/>
  <c r="P28" i="17"/>
  <c r="AH18" i="19"/>
  <c r="D18" i="19" s="1"/>
  <c r="UX22" i="21" s="1"/>
  <c r="B18" i="19"/>
  <c r="UV22" i="21" s="1"/>
  <c r="V28" i="17" l="1"/>
  <c r="N28" i="17"/>
  <c r="UX16" i="21"/>
  <c r="UX30" i="21" s="1"/>
  <c r="D26" i="19"/>
  <c r="AH26" i="19"/>
  <c r="B26" i="19"/>
  <c r="P12" i="17"/>
  <c r="UV30" i="21"/>
  <c r="E510" i="11"/>
  <c r="H497" i="11" s="1"/>
  <c r="G508" i="11"/>
  <c r="H508" i="11"/>
  <c r="P20" i="17"/>
  <c r="AN22" i="21"/>
  <c r="D20" i="17" s="1"/>
  <c r="J20" i="17" l="1"/>
  <c r="H16" i="7"/>
  <c r="H510" i="11"/>
  <c r="H496" i="11"/>
  <c r="G510" i="11"/>
  <c r="UX40" i="21"/>
  <c r="UX37" i="21"/>
  <c r="UV40" i="21"/>
  <c r="UV37" i="21"/>
  <c r="BM28" i="17"/>
  <c r="T28" i="17"/>
  <c r="V12" i="17"/>
  <c r="N12" i="17"/>
  <c r="V20" i="17"/>
  <c r="N20" i="17"/>
  <c r="I508" i="11"/>
  <c r="H494" i="11"/>
  <c r="G511" i="11" l="1"/>
  <c r="I497" i="11"/>
  <c r="I494" i="11"/>
  <c r="N65" i="17"/>
  <c r="I510" i="11"/>
  <c r="I496" i="11"/>
  <c r="T20" i="17"/>
  <c r="BM20" i="17"/>
  <c r="AV23" i="20"/>
  <c r="BM12" i="17"/>
  <c r="T12" i="17"/>
  <c r="AV26" i="20" l="1"/>
  <c r="T25" i="18"/>
  <c r="T24" i="18"/>
  <c r="T23" i="18"/>
  <c r="T22" i="18"/>
  <c r="T11" i="18"/>
  <c r="T21" i="18"/>
  <c r="T20" i="18"/>
  <c r="T19" i="18"/>
  <c r="T18" i="18"/>
  <c r="T10" i="18"/>
  <c r="T17" i="18"/>
  <c r="T16" i="18"/>
  <c r="T15" i="18"/>
  <c r="T9" i="18"/>
  <c r="T14" i="18"/>
  <c r="T13" i="18"/>
  <c r="T12" i="18"/>
  <c r="T8" i="18"/>
  <c r="X26" i="18"/>
  <c r="X25" i="18"/>
  <c r="X24" i="18"/>
  <c r="X23" i="18"/>
  <c r="X22" i="18"/>
  <c r="X11" i="18"/>
  <c r="X21" i="18"/>
  <c r="X20" i="18"/>
  <c r="X19" i="18"/>
  <c r="X18" i="18"/>
  <c r="X10" i="18"/>
  <c r="X17" i="18"/>
  <c r="X16" i="18"/>
  <c r="X15" i="18"/>
  <c r="X9" i="18"/>
  <c r="X14" i="18"/>
  <c r="X13" i="18"/>
  <c r="X12" i="18"/>
  <c r="X8" i="18"/>
  <c r="AL26" i="18"/>
  <c r="AL27" i="18"/>
  <c r="AL25" i="18"/>
  <c r="AL24" i="18"/>
  <c r="AL23" i="18"/>
  <c r="AL22" i="18"/>
  <c r="AL11" i="18"/>
  <c r="AL21" i="18"/>
  <c r="AL20" i="18"/>
  <c r="AL19" i="18"/>
  <c r="AL18" i="18"/>
  <c r="AL10" i="18"/>
  <c r="AL17" i="18"/>
  <c r="AL16" i="18"/>
  <c r="AL15" i="18"/>
  <c r="AL9" i="18"/>
  <c r="AL14" i="18"/>
  <c r="AL13" i="18"/>
  <c r="AL12" i="18"/>
  <c r="AL8" i="18"/>
  <c r="AF26" i="18"/>
  <c r="AF27" i="18"/>
  <c r="AF25" i="18"/>
  <c r="AF24" i="18"/>
  <c r="AF23" i="18"/>
  <c r="AF22" i="18"/>
  <c r="AF11" i="18"/>
  <c r="AF21" i="18"/>
  <c r="AF20" i="18"/>
  <c r="AF19" i="18"/>
  <c r="AF18" i="18"/>
  <c r="AF10" i="18"/>
  <c r="AF17" i="18"/>
  <c r="AF16" i="18"/>
  <c r="AF15" i="18"/>
  <c r="AF9" i="18"/>
  <c r="AF14" i="18"/>
  <c r="AF13" i="18"/>
  <c r="AF12" i="18"/>
  <c r="AF8" i="18"/>
  <c r="AB26" i="18"/>
  <c r="AB27" i="18"/>
  <c r="AB25" i="18"/>
  <c r="AB24" i="18"/>
  <c r="AB23" i="18"/>
  <c r="AB22" i="18"/>
  <c r="AB11" i="18"/>
  <c r="AB21" i="18"/>
  <c r="AB20" i="18"/>
  <c r="AB19" i="18"/>
  <c r="AB18" i="18"/>
  <c r="AB10" i="18"/>
  <c r="AB17" i="18"/>
  <c r="AB16" i="18"/>
  <c r="AB15" i="18"/>
  <c r="AB9" i="18"/>
  <c r="AB14" i="18"/>
  <c r="AB13" i="18"/>
  <c r="AB12" i="18"/>
  <c r="AB8" i="18"/>
  <c r="WE32" i="21"/>
  <c r="WE29" i="21"/>
  <c r="WD29" i="21" s="1"/>
  <c r="WE28" i="21"/>
  <c r="WD28" i="21" s="1"/>
  <c r="WE27" i="21"/>
  <c r="WD27" i="21" s="1"/>
  <c r="WE26" i="21"/>
  <c r="WD26" i="21" s="1"/>
  <c r="WE15" i="21"/>
  <c r="WD15" i="21" s="1"/>
  <c r="WE25" i="21"/>
  <c r="WD25" i="21" s="1"/>
  <c r="WE24" i="21"/>
  <c r="WD24" i="21" s="1"/>
  <c r="WE23" i="21"/>
  <c r="WD23" i="21" s="1"/>
  <c r="WE22" i="21"/>
  <c r="WD22" i="21" s="1"/>
  <c r="WE14" i="21"/>
  <c r="WD14" i="21" s="1"/>
  <c r="WE21" i="21"/>
  <c r="WD21" i="21" s="1"/>
  <c r="WE20" i="21"/>
  <c r="WD20" i="21" s="1"/>
  <c r="WE19" i="21"/>
  <c r="WD19" i="21" s="1"/>
  <c r="WE13" i="21"/>
  <c r="WD13" i="21" s="1"/>
  <c r="WE18" i="21"/>
  <c r="WD18" i="21" s="1"/>
  <c r="WE17" i="21"/>
  <c r="WD17" i="21" s="1"/>
  <c r="WE16" i="21"/>
  <c r="WD16" i="21" s="1"/>
  <c r="WE12" i="21"/>
  <c r="V26" i="18"/>
  <c r="V27" i="18"/>
  <c r="N26" i="18"/>
  <c r="N27" i="18"/>
  <c r="N25" i="18"/>
  <c r="N24" i="18"/>
  <c r="N23" i="18"/>
  <c r="N22" i="18"/>
  <c r="N11" i="18"/>
  <c r="N21" i="18"/>
  <c r="N20" i="18"/>
  <c r="N19" i="18"/>
  <c r="N18" i="18"/>
  <c r="N10" i="18"/>
  <c r="N17" i="18"/>
  <c r="N16" i="18"/>
  <c r="N15" i="18"/>
  <c r="N9" i="18"/>
  <c r="N14" i="18"/>
  <c r="N13" i="18"/>
  <c r="N12" i="18"/>
  <c r="N8" i="18"/>
  <c r="P26" i="18"/>
  <c r="P27" i="18"/>
  <c r="P24" i="18"/>
  <c r="P23" i="18"/>
  <c r="P22" i="18"/>
  <c r="P11" i="18"/>
  <c r="P21" i="18"/>
  <c r="P20" i="18"/>
  <c r="P18" i="18"/>
  <c r="P10" i="18"/>
  <c r="P17" i="18"/>
  <c r="P15" i="18"/>
  <c r="P9" i="18"/>
  <c r="P14" i="18"/>
  <c r="P8" i="18"/>
  <c r="L25" i="18"/>
  <c r="L24" i="18"/>
  <c r="L20" i="18"/>
  <c r="L19" i="18"/>
  <c r="L10" i="18"/>
  <c r="L16" i="18"/>
  <c r="L15" i="18"/>
  <c r="L12" i="18"/>
  <c r="L8" i="18"/>
  <c r="J26" i="18"/>
  <c r="J27" i="18"/>
  <c r="J25" i="18"/>
  <c r="J24" i="18"/>
  <c r="J23" i="18"/>
  <c r="J22" i="18"/>
  <c r="J11" i="18"/>
  <c r="J21" i="18"/>
  <c r="J20" i="18"/>
  <c r="J19" i="18"/>
  <c r="J18" i="18"/>
  <c r="J10" i="18"/>
  <c r="J17" i="18"/>
  <c r="J16" i="18"/>
  <c r="J9" i="18"/>
  <c r="J15" i="18"/>
  <c r="J14" i="18"/>
  <c r="J13" i="18"/>
  <c r="J12" i="18"/>
  <c r="J8" i="18"/>
  <c r="AV36" i="20" l="1"/>
  <c r="AV33" i="20"/>
  <c r="AV43" i="20" s="1"/>
  <c r="E108" i="11" s="1"/>
  <c r="B20" i="18"/>
  <c r="VH24" i="21" s="1"/>
  <c r="VC24" i="21" s="1"/>
  <c r="VB24" i="21" s="1"/>
  <c r="B27" i="18"/>
  <c r="VH32" i="21" s="1"/>
  <c r="VC32" i="21" s="1"/>
  <c r="WE41" i="21"/>
  <c r="WE30" i="21"/>
  <c r="WD12" i="21"/>
  <c r="J31" i="18"/>
  <c r="B24" i="18"/>
  <c r="VH28" i="21" s="1"/>
  <c r="VC28" i="21" s="1"/>
  <c r="VB28" i="21" s="1"/>
  <c r="B18" i="18"/>
  <c r="VH22" i="21" s="1"/>
  <c r="VC22" i="21" s="1"/>
  <c r="VB22" i="21" s="1"/>
  <c r="P31" i="18"/>
  <c r="B26" i="18"/>
  <c r="X31" i="18"/>
  <c r="B13" i="18"/>
  <c r="VH17" i="21" s="1"/>
  <c r="VC17" i="21" s="1"/>
  <c r="VB17" i="21" s="1"/>
  <c r="L33" i="18"/>
  <c r="L32" i="18" s="1"/>
  <c r="B8" i="18"/>
  <c r="L28" i="18"/>
  <c r="B25" i="18"/>
  <c r="VH29" i="21" s="1"/>
  <c r="VC29" i="21" s="1"/>
  <c r="VB29" i="21" s="1"/>
  <c r="N28" i="18"/>
  <c r="N33" i="18"/>
  <c r="N32" i="18" s="1"/>
  <c r="WE34" i="21"/>
  <c r="WE42" i="21" s="1"/>
  <c r="WD32" i="21"/>
  <c r="AF31" i="18"/>
  <c r="T28" i="18"/>
  <c r="T33" i="18"/>
  <c r="T32" i="18" s="1"/>
  <c r="B12" i="18"/>
  <c r="VH16" i="21" s="1"/>
  <c r="VC16" i="21" s="1"/>
  <c r="VB16" i="21" s="1"/>
  <c r="P28" i="18"/>
  <c r="P33" i="18"/>
  <c r="P32" i="18" s="1"/>
  <c r="B21" i="18"/>
  <c r="VH25" i="21" s="1"/>
  <c r="VC25" i="21" s="1"/>
  <c r="VB25" i="21" s="1"/>
  <c r="AB28" i="18"/>
  <c r="AB33" i="18"/>
  <c r="AB32" i="18" s="1"/>
  <c r="AL33" i="18"/>
  <c r="AL32" i="18" s="1"/>
  <c r="AL28" i="18"/>
  <c r="B15" i="18"/>
  <c r="VH19" i="21" s="1"/>
  <c r="VC19" i="21" s="1"/>
  <c r="VB19" i="21" s="1"/>
  <c r="B14" i="18"/>
  <c r="VH18" i="21" s="1"/>
  <c r="VC18" i="21" s="1"/>
  <c r="VB18" i="21" s="1"/>
  <c r="B11" i="18"/>
  <c r="VH15" i="21" s="1"/>
  <c r="VC15" i="21" s="1"/>
  <c r="VB15" i="21" s="1"/>
  <c r="B16" i="18"/>
  <c r="VH20" i="21" s="1"/>
  <c r="VC20" i="21" s="1"/>
  <c r="VB20" i="21" s="1"/>
  <c r="B9" i="18"/>
  <c r="VH13" i="21" s="1"/>
  <c r="VC13" i="21" s="1"/>
  <c r="VB13" i="21" s="1"/>
  <c r="B22" i="18"/>
  <c r="VH26" i="21" s="1"/>
  <c r="VC26" i="21" s="1"/>
  <c r="VB26" i="21" s="1"/>
  <c r="N31" i="18"/>
  <c r="J28" i="18"/>
  <c r="J33" i="18"/>
  <c r="J32" i="18" s="1"/>
  <c r="B10" i="18"/>
  <c r="VH14" i="21" s="1"/>
  <c r="VC14" i="21" s="1"/>
  <c r="VB14" i="21" s="1"/>
  <c r="B23" i="18"/>
  <c r="VH27" i="21" s="1"/>
  <c r="VC27" i="21" s="1"/>
  <c r="VB27" i="21" s="1"/>
  <c r="AB31" i="18"/>
  <c r="AL31" i="18"/>
  <c r="B19" i="18"/>
  <c r="VH23" i="21" s="1"/>
  <c r="VC23" i="21" s="1"/>
  <c r="VB23" i="21" s="1"/>
  <c r="B17" i="18"/>
  <c r="VH21" i="21" s="1"/>
  <c r="VC21" i="21" s="1"/>
  <c r="VB21" i="21" s="1"/>
  <c r="V28" i="18"/>
  <c r="V31" i="18"/>
  <c r="AF33" i="18"/>
  <c r="AF32" i="18" s="1"/>
  <c r="AF28" i="18"/>
  <c r="X33" i="18"/>
  <c r="X32" i="18" s="1"/>
  <c r="X28" i="18"/>
  <c r="E109" i="11" l="1"/>
  <c r="G108" i="11"/>
  <c r="E99" i="11"/>
  <c r="H108" i="11"/>
  <c r="E15" i="17"/>
  <c r="B13" i="21"/>
  <c r="E28" i="17"/>
  <c r="WE37" i="21"/>
  <c r="WE40" i="21"/>
  <c r="E21" i="17"/>
  <c r="E17" i="17"/>
  <c r="B20" i="21"/>
  <c r="E24" i="17"/>
  <c r="E23" i="17"/>
  <c r="VH33" i="21"/>
  <c r="VC33" i="21" s="1"/>
  <c r="VB33" i="21" s="1"/>
  <c r="B31" i="18"/>
  <c r="VH12" i="21"/>
  <c r="B28" i="18"/>
  <c r="B33" i="18"/>
  <c r="B32" i="18" s="1"/>
  <c r="E14" i="17"/>
  <c r="E26" i="17"/>
  <c r="VB32" i="21"/>
  <c r="E20" i="17"/>
  <c r="B22" i="21"/>
  <c r="E22" i="17"/>
  <c r="E25" i="17"/>
  <c r="E16" i="17"/>
  <c r="WD34" i="21"/>
  <c r="WD42" i="21" s="1"/>
  <c r="E13" i="17"/>
  <c r="E18" i="17"/>
  <c r="E19" i="17"/>
  <c r="B14" i="21"/>
  <c r="E12" i="17"/>
  <c r="E27" i="17"/>
  <c r="WD41" i="21"/>
  <c r="WD30" i="21"/>
  <c r="AD21" i="20"/>
  <c r="BA33" i="21"/>
  <c r="H99" i="11" l="1"/>
  <c r="AZ33" i="21"/>
  <c r="AZ34" i="21" s="1"/>
  <c r="BA34" i="21"/>
  <c r="I108" i="11"/>
  <c r="G99" i="11"/>
  <c r="H109" i="11"/>
  <c r="G109" i="11"/>
  <c r="E100" i="11"/>
  <c r="H100" i="11" s="1"/>
  <c r="AD26" i="20"/>
  <c r="B21" i="20"/>
  <c r="UT25" i="21" s="1"/>
  <c r="VC34" i="21"/>
  <c r="VC42" i="21" s="1"/>
  <c r="VH34" i="21"/>
  <c r="VH42" i="21" s="1"/>
  <c r="K26" i="17"/>
  <c r="K13" i="17"/>
  <c r="B15" i="17"/>
  <c r="H15" i="17" s="1"/>
  <c r="E31" i="17"/>
  <c r="VB34" i="21"/>
  <c r="K15" i="17"/>
  <c r="BK15" i="17"/>
  <c r="WD40" i="21"/>
  <c r="WD37" i="21"/>
  <c r="K12" i="17"/>
  <c r="B19" i="17"/>
  <c r="H19" i="17" s="1"/>
  <c r="E32" i="17"/>
  <c r="K28" i="17"/>
  <c r="K19" i="17"/>
  <c r="BK19" i="17"/>
  <c r="K22" i="17"/>
  <c r="VH41" i="21"/>
  <c r="VH30" i="21"/>
  <c r="VC12" i="21"/>
  <c r="K24" i="17"/>
  <c r="K16" i="17"/>
  <c r="B20" i="17"/>
  <c r="H20" i="17" s="1"/>
  <c r="B17" i="17"/>
  <c r="H17" i="17" s="1"/>
  <c r="K27" i="17"/>
  <c r="K18" i="17"/>
  <c r="K20" i="17"/>
  <c r="BK20" i="17"/>
  <c r="K14" i="17"/>
  <c r="K17" i="17"/>
  <c r="BK17" i="17"/>
  <c r="K25" i="17"/>
  <c r="K23" i="17"/>
  <c r="K21" i="17"/>
  <c r="I99" i="11" l="1"/>
  <c r="BA42" i="21"/>
  <c r="BA37" i="21"/>
  <c r="BA38" i="21" s="1"/>
  <c r="E82" i="11" s="1"/>
  <c r="AD33" i="20"/>
  <c r="AD43" i="20" s="1"/>
  <c r="E85" i="11" s="1"/>
  <c r="AD36" i="20"/>
  <c r="AZ42" i="21"/>
  <c r="AZ37" i="21"/>
  <c r="AZ38" i="21" s="1"/>
  <c r="E102" i="11"/>
  <c r="H102" i="11" s="1"/>
  <c r="G100" i="11"/>
  <c r="I100" i="11" s="1"/>
  <c r="I109" i="11"/>
  <c r="BL15" i="17"/>
  <c r="BL19" i="17"/>
  <c r="VB49" i="21"/>
  <c r="VB42" i="21"/>
  <c r="BL20" i="17"/>
  <c r="E33" i="17"/>
  <c r="K31" i="17"/>
  <c r="K32" i="17"/>
  <c r="BL17" i="17"/>
  <c r="VC41" i="21"/>
  <c r="VB12" i="21"/>
  <c r="VC30" i="21"/>
  <c r="VH37" i="21"/>
  <c r="VH40" i="21"/>
  <c r="E86" i="11" l="1"/>
  <c r="G85" i="11"/>
  <c r="H85" i="11"/>
  <c r="G102" i="11"/>
  <c r="I102" i="11" s="1"/>
  <c r="E84" i="11"/>
  <c r="H82" i="11"/>
  <c r="G82" i="11"/>
  <c r="VC40" i="21"/>
  <c r="VC37" i="21"/>
  <c r="K33" i="17"/>
  <c r="VB41" i="21"/>
  <c r="VB30" i="21"/>
  <c r="E11" i="17"/>
  <c r="E41" i="17"/>
  <c r="I82" i="11" l="1"/>
  <c r="G84" i="11"/>
  <c r="H12" i="7"/>
  <c r="H84" i="11"/>
  <c r="I85" i="11"/>
  <c r="H86" i="11"/>
  <c r="G86" i="11"/>
  <c r="K41" i="17"/>
  <c r="D83" i="17"/>
  <c r="E29" i="17"/>
  <c r="E40" i="17"/>
  <c r="K11" i="17"/>
  <c r="VB37" i="21"/>
  <c r="VB40" i="21"/>
  <c r="VB50" i="21"/>
  <c r="I84" i="11" l="1"/>
  <c r="I86" i="11"/>
  <c r="N83" i="17"/>
  <c r="K29" i="17"/>
  <c r="K40" i="17"/>
  <c r="VB54" i="21"/>
  <c r="E36" i="17"/>
  <c r="E39" i="17"/>
  <c r="K39" i="17" l="1"/>
  <c r="K36" i="17"/>
  <c r="F83" i="17"/>
  <c r="B83" i="17" s="1"/>
  <c r="GP33" i="21" l="1"/>
  <c r="GO33" i="21"/>
  <c r="GO34" i="21" l="1"/>
  <c r="GN33" i="21"/>
  <c r="GN34" i="21" s="1"/>
  <c r="GP34" i="21"/>
  <c r="AJ32" i="16"/>
  <c r="DU31" i="5" l="1"/>
  <c r="AJ33" i="16"/>
  <c r="N32" i="16"/>
  <c r="L32" i="16" s="1"/>
  <c r="B32" i="16" s="1"/>
  <c r="GP42" i="21"/>
  <c r="GP37" i="21"/>
  <c r="GN42" i="21"/>
  <c r="GN37" i="21"/>
  <c r="GO42" i="21"/>
  <c r="GO37" i="21"/>
  <c r="E73" i="11" s="1"/>
  <c r="G73" i="11" l="1"/>
  <c r="I73" i="11" s="1"/>
  <c r="H73" i="11"/>
  <c r="E74" i="11"/>
  <c r="B34" i="15"/>
  <c r="E76" i="11"/>
  <c r="AJ41" i="16"/>
  <c r="AJ36" i="16"/>
  <c r="DV31" i="5"/>
  <c r="DU32" i="5"/>
  <c r="DU35" i="5" s="1"/>
  <c r="M31" i="5"/>
  <c r="K31" i="5" s="1"/>
  <c r="G76" i="11" l="1"/>
  <c r="I76" i="11" s="1"/>
  <c r="H25" i="8"/>
  <c r="H76" i="11"/>
  <c r="E77" i="11"/>
  <c r="G74" i="11"/>
  <c r="H74" i="11"/>
  <c r="E62" i="11"/>
  <c r="H62" i="11" s="1"/>
  <c r="DV32" i="5"/>
  <c r="DV35" i="5" s="1"/>
  <c r="DU36" i="5" s="1"/>
  <c r="N31" i="5"/>
  <c r="C31" i="5" s="1"/>
  <c r="B31" i="5" s="1"/>
  <c r="I74" i="11" l="1"/>
  <c r="H77" i="11"/>
  <c r="G77" i="11"/>
  <c r="E528" i="11"/>
  <c r="I77" i="11" l="1"/>
  <c r="G528" i="11"/>
  <c r="G62" i="11"/>
  <c r="I62" i="11" s="1"/>
  <c r="AZ11" i="20" l="1"/>
  <c r="AZ17" i="20"/>
  <c r="AZ14" i="20"/>
  <c r="AZ12" i="20"/>
  <c r="AZ29" i="20"/>
  <c r="B12" i="20" l="1"/>
  <c r="UT16" i="21" s="1"/>
  <c r="AZ13" i="20"/>
  <c r="AZ37" i="20"/>
  <c r="B11" i="20"/>
  <c r="B17" i="20"/>
  <c r="UT21" i="21" s="1"/>
  <c r="AZ23" i="20"/>
  <c r="B29" i="20"/>
  <c r="AZ30" i="20"/>
  <c r="AZ38" i="20" s="1"/>
  <c r="B14" i="20"/>
  <c r="UT18" i="21" s="1"/>
  <c r="AZ26" i="20" l="1"/>
  <c r="AZ36" i="20" s="1"/>
  <c r="UT33" i="21"/>
  <c r="B30" i="20"/>
  <c r="B38" i="20" s="1"/>
  <c r="B13" i="20"/>
  <c r="UT17" i="21" s="1"/>
  <c r="AN17" i="21" s="1"/>
  <c r="B23" i="20"/>
  <c r="UT27" i="21" s="1"/>
  <c r="UT15" i="21"/>
  <c r="B37" i="20"/>
  <c r="AZ33" i="20" l="1"/>
  <c r="AZ43" i="20" s="1"/>
  <c r="E15" i="11" s="1"/>
  <c r="G15" i="11" s="1"/>
  <c r="UT34" i="21"/>
  <c r="UT42" i="21" s="1"/>
  <c r="D13" i="17"/>
  <c r="B17" i="21"/>
  <c r="UT41" i="21"/>
  <c r="UT30" i="21"/>
  <c r="B26" i="20"/>
  <c r="E8" i="11" l="1"/>
  <c r="H8" i="11" s="1"/>
  <c r="E16" i="11"/>
  <c r="H16" i="11" s="1"/>
  <c r="H15" i="11"/>
  <c r="J13" i="17"/>
  <c r="BK13" i="17"/>
  <c r="B33" i="20"/>
  <c r="B43" i="20" s="1"/>
  <c r="B36" i="20"/>
  <c r="I15" i="11"/>
  <c r="G8" i="11"/>
  <c r="UT40" i="21"/>
  <c r="UT37" i="21"/>
  <c r="UT38" i="21" s="1"/>
  <c r="B13" i="17"/>
  <c r="H13" i="17" s="1"/>
  <c r="CR32" i="21"/>
  <c r="CQ32" i="21"/>
  <c r="AQ21" i="21"/>
  <c r="AQ18" i="21"/>
  <c r="AQ12" i="21"/>
  <c r="OM33" i="21"/>
  <c r="E9" i="11" l="1"/>
  <c r="G16" i="11"/>
  <c r="G9" i="11" s="1"/>
  <c r="BL13" i="17"/>
  <c r="AQ19" i="21"/>
  <c r="AQ29" i="21"/>
  <c r="I8" i="11"/>
  <c r="CR34" i="21"/>
  <c r="R31" i="16"/>
  <c r="CQ34" i="21"/>
  <c r="CN32" i="21"/>
  <c r="CN34" i="21" s="1"/>
  <c r="OM34" i="21"/>
  <c r="OJ33" i="21"/>
  <c r="AQ25" i="21"/>
  <c r="AP21" i="21"/>
  <c r="AQ23" i="21"/>
  <c r="AQ24" i="21"/>
  <c r="AP12" i="21"/>
  <c r="AQ15" i="21"/>
  <c r="AP18" i="21"/>
  <c r="AQ26" i="21"/>
  <c r="H9" i="11" l="1"/>
  <c r="I16" i="11"/>
  <c r="AQ30" i="21"/>
  <c r="AQ37" i="21" s="1"/>
  <c r="E169" i="11" s="1"/>
  <c r="OM42" i="21"/>
  <c r="OM37" i="21"/>
  <c r="OM38" i="21" s="1"/>
  <c r="E225" i="11" s="1"/>
  <c r="I9" i="11"/>
  <c r="AP24" i="21"/>
  <c r="AN24" i="21" s="1"/>
  <c r="CN42" i="21"/>
  <c r="CN37" i="21"/>
  <c r="CQ42" i="21"/>
  <c r="CQ37" i="21"/>
  <c r="CQ38" i="21" s="1"/>
  <c r="E92" i="11" s="1"/>
  <c r="AP23" i="21"/>
  <c r="AN23" i="21" s="1"/>
  <c r="BA30" i="5"/>
  <c r="R33" i="16"/>
  <c r="N31" i="16"/>
  <c r="AP29" i="21"/>
  <c r="AN29" i="21" s="1"/>
  <c r="AP25" i="21"/>
  <c r="CR42" i="21"/>
  <c r="CR37" i="21"/>
  <c r="CR38" i="21" s="1"/>
  <c r="AP15" i="21"/>
  <c r="AN15" i="21" s="1"/>
  <c r="AP26" i="21"/>
  <c r="AN26" i="21" s="1"/>
  <c r="AQ41" i="21"/>
  <c r="OJ34" i="21"/>
  <c r="AP19" i="21"/>
  <c r="AN19" i="21" s="1"/>
  <c r="AQ40" i="21" l="1"/>
  <c r="D21" i="17"/>
  <c r="B23" i="21"/>
  <c r="E228" i="11"/>
  <c r="H225" i="11"/>
  <c r="G225" i="11"/>
  <c r="E204" i="11"/>
  <c r="D25" i="17"/>
  <c r="B26" i="21"/>
  <c r="AP30" i="21"/>
  <c r="D28" i="17"/>
  <c r="B29" i="21"/>
  <c r="AP41" i="21"/>
  <c r="D16" i="17"/>
  <c r="B19" i="21"/>
  <c r="L31" i="16"/>
  <c r="N33" i="16"/>
  <c r="E94" i="11"/>
  <c r="H92" i="11"/>
  <c r="G92" i="11"/>
  <c r="E95" i="11"/>
  <c r="E61" i="11" s="1"/>
  <c r="B37" i="15"/>
  <c r="B43" i="15" s="1"/>
  <c r="R41" i="16"/>
  <c r="R36" i="16"/>
  <c r="BB30" i="5"/>
  <c r="BA32" i="5"/>
  <c r="BA35" i="5" s="1"/>
  <c r="M30" i="5"/>
  <c r="D22" i="17"/>
  <c r="B24" i="21"/>
  <c r="OJ42" i="21"/>
  <c r="OJ37" i="21"/>
  <c r="D24" i="17"/>
  <c r="E171" i="11"/>
  <c r="G169" i="11"/>
  <c r="H169" i="11"/>
  <c r="E138" i="11"/>
  <c r="BB32" i="5" l="1"/>
  <c r="BB35" i="5" s="1"/>
  <c r="BA36" i="5" s="1"/>
  <c r="N30" i="5"/>
  <c r="I92" i="11"/>
  <c r="I225" i="11"/>
  <c r="G204" i="11"/>
  <c r="AP37" i="21"/>
  <c r="AP40" i="21"/>
  <c r="H138" i="11"/>
  <c r="H94" i="11"/>
  <c r="G94" i="11"/>
  <c r="H13" i="6"/>
  <c r="H228" i="11"/>
  <c r="G228" i="11"/>
  <c r="I228" i="11" s="1"/>
  <c r="N41" i="16"/>
  <c r="N36" i="16"/>
  <c r="B28" i="17"/>
  <c r="H28" i="17" s="1"/>
  <c r="H7" i="7"/>
  <c r="H171" i="11"/>
  <c r="G171" i="11"/>
  <c r="E140" i="11"/>
  <c r="H140" i="11" s="1"/>
  <c r="B22" i="17"/>
  <c r="H22" i="17" s="1"/>
  <c r="L33" i="16"/>
  <c r="B31" i="16"/>
  <c r="B33" i="16" s="1"/>
  <c r="J28" i="17"/>
  <c r="BK28" i="17"/>
  <c r="J24" i="17"/>
  <c r="BK24" i="17"/>
  <c r="I169" i="11"/>
  <c r="G138" i="11"/>
  <c r="J22" i="17"/>
  <c r="BK22" i="17"/>
  <c r="B64" i="15"/>
  <c r="B75" i="15" s="1"/>
  <c r="B16" i="17"/>
  <c r="H16" i="17" s="1"/>
  <c r="B25" i="17"/>
  <c r="H25" i="17" s="1"/>
  <c r="K30" i="5"/>
  <c r="M32" i="5"/>
  <c r="H28" i="8"/>
  <c r="H33" i="8" s="1"/>
  <c r="E97" i="11"/>
  <c r="E63" i="11" s="1"/>
  <c r="H95" i="11"/>
  <c r="G95" i="11"/>
  <c r="I95" i="11" s="1"/>
  <c r="J16" i="17"/>
  <c r="BK16" i="17"/>
  <c r="J25" i="17"/>
  <c r="BK25" i="17"/>
  <c r="B21" i="17"/>
  <c r="H21" i="17" s="1"/>
  <c r="H61" i="11"/>
  <c r="H204" i="11"/>
  <c r="E207" i="11"/>
  <c r="H207" i="11" s="1"/>
  <c r="J21" i="17"/>
  <c r="BK21" i="17"/>
  <c r="E515" i="11" l="1"/>
  <c r="BL16" i="17"/>
  <c r="BL21" i="17"/>
  <c r="BL24" i="17"/>
  <c r="BL28" i="17"/>
  <c r="BL25" i="17"/>
  <c r="BL22" i="17"/>
  <c r="H63" i="11"/>
  <c r="E64" i="11"/>
  <c r="L41" i="16"/>
  <c r="L36" i="16"/>
  <c r="L37" i="16" s="1"/>
  <c r="E141" i="11"/>
  <c r="H141" i="11" s="1"/>
  <c r="N37" i="16"/>
  <c r="G97" i="11"/>
  <c r="G63" i="11" s="1"/>
  <c r="E529" i="11"/>
  <c r="E531" i="11" s="1"/>
  <c r="D43" i="15" s="1"/>
  <c r="H97" i="11"/>
  <c r="H14" i="7"/>
  <c r="H19" i="7" s="1"/>
  <c r="G61" i="11"/>
  <c r="K32" i="5"/>
  <c r="M35" i="5"/>
  <c r="I94" i="11"/>
  <c r="C30" i="5"/>
  <c r="N32" i="5"/>
  <c r="N35" i="5" s="1"/>
  <c r="I138" i="11"/>
  <c r="I171" i="11"/>
  <c r="G140" i="11"/>
  <c r="I140" i="11" s="1"/>
  <c r="I204" i="11"/>
  <c r="G207" i="11"/>
  <c r="I207" i="11" s="1"/>
  <c r="B41" i="16"/>
  <c r="B36" i="16"/>
  <c r="B76" i="15" s="1"/>
  <c r="G515" i="11" l="1"/>
  <c r="I515" i="11" s="1"/>
  <c r="M36" i="5"/>
  <c r="H20" i="7"/>
  <c r="H34" i="8"/>
  <c r="G141" i="11"/>
  <c r="I141" i="11" s="1"/>
  <c r="I63" i="11"/>
  <c r="I61" i="11"/>
  <c r="G64" i="11"/>
  <c r="C32" i="5"/>
  <c r="B30" i="5"/>
  <c r="B32" i="5" s="1"/>
  <c r="B35" i="5" s="1"/>
  <c r="M37" i="5"/>
  <c r="K35" i="5"/>
  <c r="I97" i="11"/>
  <c r="G529" i="11"/>
  <c r="G531" i="11" s="1"/>
  <c r="H515" i="11"/>
  <c r="C16" i="13"/>
  <c r="E16" i="13" s="1"/>
  <c r="D39" i="5" l="1"/>
  <c r="B39" i="5" s="1"/>
  <c r="B43" i="5" s="1"/>
  <c r="C35" i="5"/>
  <c r="B36" i="5"/>
  <c r="B37" i="5"/>
  <c r="LP12" i="21" l="1"/>
  <c r="LP41" i="21" l="1"/>
  <c r="LP30" i="21"/>
  <c r="LN12" i="21"/>
  <c r="LP40" i="21" l="1"/>
  <c r="LP37" i="21"/>
  <c r="LN41" i="21"/>
  <c r="LN30" i="21"/>
  <c r="AN12" i="21"/>
  <c r="AN41" i="21" l="1"/>
  <c r="D11" i="17"/>
  <c r="B12" i="21"/>
  <c r="LN37" i="21"/>
  <c r="LN40" i="21"/>
  <c r="B11" i="17" l="1"/>
  <c r="J11" i="17"/>
  <c r="D40" i="17"/>
  <c r="BK11" i="17"/>
  <c r="H11" i="17" l="1"/>
  <c r="N81" i="17"/>
  <c r="J40" i="17"/>
  <c r="BL11" i="17"/>
  <c r="JE32" i="21" l="1"/>
  <c r="QS33" i="21"/>
  <c r="MW18" i="21" l="1"/>
  <c r="QR33" i="21"/>
  <c r="QS34" i="21"/>
  <c r="LX25" i="21"/>
  <c r="LX27" i="21"/>
  <c r="JE34" i="21"/>
  <c r="JD32" i="21"/>
  <c r="JD34" i="21" l="1"/>
  <c r="SD33" i="21"/>
  <c r="LV27" i="21"/>
  <c r="MF27" i="21"/>
  <c r="MD27" i="21" s="1"/>
  <c r="DU28" i="21"/>
  <c r="DT28" i="21" s="1"/>
  <c r="SD32" i="21"/>
  <c r="MF25" i="21"/>
  <c r="LV25" i="21"/>
  <c r="LX30" i="21"/>
  <c r="QS42" i="21"/>
  <c r="QS37" i="21"/>
  <c r="E404" i="11" s="1"/>
  <c r="SD21" i="21"/>
  <c r="DU16" i="21"/>
  <c r="QR34" i="21"/>
  <c r="JE42" i="21"/>
  <c r="JE37" i="21"/>
  <c r="E431" i="11" s="1"/>
  <c r="MT18" i="21"/>
  <c r="MW30" i="21"/>
  <c r="MW40" i="21" l="1"/>
  <c r="MW37" i="21"/>
  <c r="E347" i="11" s="1"/>
  <c r="MT30" i="21"/>
  <c r="AN18" i="21"/>
  <c r="SD30" i="21"/>
  <c r="SB21" i="21"/>
  <c r="SD34" i="21"/>
  <c r="SD42" i="21" s="1"/>
  <c r="SB32" i="21"/>
  <c r="P26" i="17"/>
  <c r="AN27" i="21"/>
  <c r="AN28" i="21"/>
  <c r="SB33" i="21"/>
  <c r="AN33" i="21" s="1"/>
  <c r="G431" i="11"/>
  <c r="E432" i="11"/>
  <c r="H431" i="11"/>
  <c r="LX40" i="21"/>
  <c r="LX37" i="21"/>
  <c r="LP38" i="21" s="1"/>
  <c r="E396" i="11" s="1"/>
  <c r="E382" i="11" s="1"/>
  <c r="H382" i="11" s="1"/>
  <c r="E405" i="11"/>
  <c r="H404" i="11"/>
  <c r="G404" i="11"/>
  <c r="I404" i="11" s="1"/>
  <c r="QR42" i="21"/>
  <c r="QR37" i="21"/>
  <c r="DT16" i="21"/>
  <c r="DU30" i="21"/>
  <c r="LV30" i="21"/>
  <c r="P23" i="17"/>
  <c r="AN25" i="21"/>
  <c r="MF30" i="21"/>
  <c r="MD25" i="21"/>
  <c r="MD30" i="21" s="1"/>
  <c r="JD42" i="21"/>
  <c r="JD37" i="21"/>
  <c r="D23" i="17" l="1"/>
  <c r="DU40" i="21"/>
  <c r="DU37" i="21"/>
  <c r="E299" i="11" s="1"/>
  <c r="I431" i="11"/>
  <c r="G432" i="11"/>
  <c r="SB34" i="21"/>
  <c r="SB42" i="21" s="1"/>
  <c r="AN32" i="21"/>
  <c r="DT30" i="21"/>
  <c r="AN16" i="21"/>
  <c r="G396" i="11"/>
  <c r="I396" i="11" s="1"/>
  <c r="E399" i="11"/>
  <c r="H396" i="11"/>
  <c r="D32" i="17"/>
  <c r="D26" i="17"/>
  <c r="B27" i="21"/>
  <c r="D27" i="17"/>
  <c r="B28" i="21"/>
  <c r="V26" i="17"/>
  <c r="N26" i="17"/>
  <c r="SB30" i="21"/>
  <c r="AN21" i="21"/>
  <c r="MD40" i="21"/>
  <c r="MD37" i="21"/>
  <c r="SD40" i="21"/>
  <c r="SD37" i="21"/>
  <c r="E311" i="11" s="1"/>
  <c r="D14" i="17"/>
  <c r="V23" i="17"/>
  <c r="P29" i="17"/>
  <c r="H405" i="11"/>
  <c r="G405" i="11"/>
  <c r="I405" i="11" s="1"/>
  <c r="MT37" i="21"/>
  <c r="MT40" i="21"/>
  <c r="E350" i="11"/>
  <c r="G347" i="11"/>
  <c r="H347" i="11"/>
  <c r="E333" i="11"/>
  <c r="MF37" i="21"/>
  <c r="MF40" i="21"/>
  <c r="LV40" i="21"/>
  <c r="LV37" i="21"/>
  <c r="H432" i="11"/>
  <c r="E383" i="11"/>
  <c r="I347" i="11" l="1"/>
  <c r="G333" i="11"/>
  <c r="BM23" i="17"/>
  <c r="V29" i="17"/>
  <c r="J27" i="17"/>
  <c r="BK27" i="17"/>
  <c r="G350" i="11"/>
  <c r="I350" i="11" s="1"/>
  <c r="H350" i="11"/>
  <c r="H9" i="6"/>
  <c r="D18" i="17"/>
  <c r="J32" i="17"/>
  <c r="BL32" i="17" s="1"/>
  <c r="BK32" i="17"/>
  <c r="J14" i="17"/>
  <c r="BK14" i="17"/>
  <c r="E312" i="11"/>
  <c r="G311" i="11"/>
  <c r="I311" i="11" s="1"/>
  <c r="H311" i="11"/>
  <c r="SB37" i="21"/>
  <c r="SB40" i="21"/>
  <c r="H8" i="6"/>
  <c r="H399" i="11"/>
  <c r="G399" i="11"/>
  <c r="I399" i="11" s="1"/>
  <c r="AN34" i="21"/>
  <c r="D31" i="17"/>
  <c r="B32" i="21"/>
  <c r="BM26" i="17"/>
  <c r="T26" i="17"/>
  <c r="D12" i="17"/>
  <c r="B16" i="21"/>
  <c r="AN30" i="21"/>
  <c r="E300" i="11"/>
  <c r="H299" i="11"/>
  <c r="G299" i="11"/>
  <c r="E267" i="11"/>
  <c r="E513" i="11" s="1"/>
  <c r="E385" i="11"/>
  <c r="H385" i="11" s="1"/>
  <c r="H383" i="11"/>
  <c r="B26" i="17"/>
  <c r="H26" i="17" s="1"/>
  <c r="H333" i="11"/>
  <c r="E336" i="11"/>
  <c r="H336" i="11" s="1"/>
  <c r="P36" i="17"/>
  <c r="Q35" i="17" s="1"/>
  <c r="P39" i="17"/>
  <c r="J26" i="17"/>
  <c r="BK26" i="17"/>
  <c r="DT40" i="21"/>
  <c r="DT37" i="21"/>
  <c r="G382" i="11"/>
  <c r="N53" i="17"/>
  <c r="AN51" i="21"/>
  <c r="B27" i="17"/>
  <c r="H27" i="17" s="1"/>
  <c r="I432" i="11"/>
  <c r="G383" i="11"/>
  <c r="I383" i="11" s="1"/>
  <c r="J23" i="17"/>
  <c r="BK23" i="17"/>
  <c r="BL23" i="17" l="1"/>
  <c r="BL14" i="17"/>
  <c r="BL26" i="17"/>
  <c r="BL27" i="17"/>
  <c r="H29" i="6"/>
  <c r="AN49" i="21"/>
  <c r="AN42" i="21"/>
  <c r="H312" i="11"/>
  <c r="G312" i="11"/>
  <c r="I312" i="11" s="1"/>
  <c r="H300" i="11"/>
  <c r="G300" i="11"/>
  <c r="E268" i="11"/>
  <c r="V36" i="17"/>
  <c r="V39" i="17"/>
  <c r="BM29" i="17"/>
  <c r="I382" i="11"/>
  <c r="G385" i="11"/>
  <c r="I385" i="11" s="1"/>
  <c r="AN37" i="21"/>
  <c r="AN40" i="21"/>
  <c r="AN50" i="21"/>
  <c r="B12" i="17"/>
  <c r="J18" i="17"/>
  <c r="BK18" i="17"/>
  <c r="AN53" i="21"/>
  <c r="J12" i="17"/>
  <c r="BK12" i="17"/>
  <c r="D29" i="17"/>
  <c r="I333" i="11"/>
  <c r="G336" i="11"/>
  <c r="I336" i="11" s="1"/>
  <c r="H267" i="11"/>
  <c r="B31" i="17"/>
  <c r="I299" i="11"/>
  <c r="G267" i="11"/>
  <c r="G513" i="11" s="1"/>
  <c r="J31" i="17"/>
  <c r="D33" i="17"/>
  <c r="BK31" i="17"/>
  <c r="E270" i="11" l="1"/>
  <c r="E516" i="11" s="1"/>
  <c r="E514" i="11"/>
  <c r="BL18" i="17"/>
  <c r="BL12" i="17"/>
  <c r="J29" i="17"/>
  <c r="H268" i="11"/>
  <c r="D41" i="17"/>
  <c r="BK33" i="17"/>
  <c r="I300" i="11"/>
  <c r="G268" i="11"/>
  <c r="G514" i="11" s="1"/>
  <c r="J33" i="17"/>
  <c r="BL31" i="17"/>
  <c r="H31" i="17"/>
  <c r="H12" i="17"/>
  <c r="AN54" i="21"/>
  <c r="I267" i="11"/>
  <c r="H513" i="11"/>
  <c r="E518" i="11"/>
  <c r="K81" i="17"/>
  <c r="BM36" i="17"/>
  <c r="W35" i="17"/>
  <c r="D39" i="17"/>
  <c r="D36" i="17"/>
  <c r="BK29" i="17"/>
  <c r="H270" i="11" l="1"/>
  <c r="D81" i="17"/>
  <c r="J41" i="17"/>
  <c r="BL33" i="17"/>
  <c r="I268" i="11"/>
  <c r="I514" i="11"/>
  <c r="C15" i="13"/>
  <c r="E15" i="13" s="1"/>
  <c r="H514" i="11"/>
  <c r="H517" i="11" s="1"/>
  <c r="E517" i="11"/>
  <c r="BK36" i="17"/>
  <c r="E35" i="17"/>
  <c r="I513" i="11"/>
  <c r="G519" i="11"/>
  <c r="E19" i="12"/>
  <c r="E22" i="12" s="1"/>
  <c r="J39" i="17"/>
  <c r="J36" i="17"/>
  <c r="F81" i="17"/>
  <c r="BL29" i="17"/>
  <c r="H516" i="11"/>
  <c r="C17" i="13"/>
  <c r="E17" i="13" s="1"/>
  <c r="H30" i="6"/>
  <c r="G270" i="11"/>
  <c r="G516" i="11" s="1"/>
  <c r="I270" i="11" l="1"/>
  <c r="I517" i="11" s="1"/>
  <c r="I516" i="11"/>
  <c r="BL36" i="17"/>
  <c r="K35" i="17"/>
  <c r="B81" i="17"/>
  <c r="G517" i="11" l="1"/>
  <c r="G15" i="10" l="1"/>
  <c r="C38" i="21" l="1"/>
  <c r="A3" i="20" s="1"/>
  <c r="D55" i="9" l="1"/>
  <c r="N21" i="21" l="1"/>
  <c r="N33" i="21"/>
  <c r="D21" i="21" l="1"/>
  <c r="D33" i="21"/>
  <c r="N34" i="21"/>
  <c r="C18" i="17" l="1"/>
  <c r="B21" i="21"/>
  <c r="N42" i="21"/>
  <c r="D78" i="17"/>
  <c r="C32" i="17"/>
  <c r="D34" i="21"/>
  <c r="B33" i="21"/>
  <c r="I18" i="17" l="1"/>
  <c r="B18" i="17"/>
  <c r="C33" i="17"/>
  <c r="I32" i="17"/>
  <c r="I33" i="17" s="1"/>
  <c r="B32" i="17"/>
  <c r="B34" i="21"/>
  <c r="D49" i="21"/>
  <c r="B49" i="21" s="1"/>
  <c r="D42" i="21"/>
  <c r="H18" i="17" l="1"/>
  <c r="B42" i="21"/>
  <c r="D76" i="17"/>
  <c r="I41" i="17"/>
  <c r="H32" i="17"/>
  <c r="H33" i="17" s="1"/>
  <c r="B33" i="17"/>
  <c r="C41" i="17"/>
  <c r="D79" i="17" l="1"/>
  <c r="B41" i="17"/>
  <c r="D74" i="17"/>
  <c r="H41" i="17"/>
  <c r="D87" i="17" l="1"/>
  <c r="N15" i="21" l="1"/>
  <c r="D15" i="21" l="1"/>
  <c r="N41" i="21"/>
  <c r="N78" i="17" s="1"/>
  <c r="C24" i="17" l="1"/>
  <c r="D41" i="21"/>
  <c r="B15" i="21"/>
  <c r="B24" i="17" l="1"/>
  <c r="B41" i="21"/>
  <c r="I24" i="17"/>
  <c r="C40" i="17"/>
  <c r="H24" i="17" l="1"/>
  <c r="B40" i="17"/>
  <c r="I40" i="17"/>
  <c r="N76" i="17"/>
  <c r="N79" i="17" s="1"/>
  <c r="H40" i="17" l="1"/>
  <c r="N74" i="17"/>
  <c r="N87" i="17" s="1"/>
  <c r="N18" i="21" l="1"/>
  <c r="P18" i="21"/>
  <c r="R18" i="21" l="1"/>
  <c r="O14" i="17"/>
  <c r="D18" i="21"/>
  <c r="N30" i="21"/>
  <c r="U14" i="17" l="1"/>
  <c r="N14" i="17"/>
  <c r="N37" i="21"/>
  <c r="N40" i="21"/>
  <c r="F78" i="17"/>
  <c r="C14" i="17"/>
  <c r="B18" i="21"/>
  <c r="T14" i="17" l="1"/>
  <c r="B14" i="17"/>
  <c r="I14" i="17"/>
  <c r="H14" i="17" l="1"/>
  <c r="AN38" i="21" l="1"/>
  <c r="P25" i="21" l="1"/>
  <c r="R25" i="21" l="1"/>
  <c r="R30" i="21" s="1"/>
  <c r="O23" i="17"/>
  <c r="D25" i="21"/>
  <c r="P30" i="21"/>
  <c r="WJ38" i="21" l="1"/>
  <c r="E55" i="9"/>
  <c r="D51" i="21"/>
  <c r="P40" i="21"/>
  <c r="P37" i="21"/>
  <c r="C23" i="17"/>
  <c r="B25" i="21"/>
  <c r="D30" i="21"/>
  <c r="N23" i="17"/>
  <c r="N29" i="17" s="1"/>
  <c r="U23" i="17"/>
  <c r="O29" i="17"/>
  <c r="K78" i="17"/>
  <c r="B78" i="17" s="1"/>
  <c r="R37" i="21"/>
  <c r="R40" i="21"/>
  <c r="I23" i="17" l="1"/>
  <c r="C29" i="17"/>
  <c r="N45" i="17"/>
  <c r="N38" i="21"/>
  <c r="O36" i="17"/>
  <c r="O39" i="17"/>
  <c r="T23" i="17"/>
  <c r="T29" i="17" s="1"/>
  <c r="U29" i="17"/>
  <c r="B51" i="21"/>
  <c r="D53" i="21"/>
  <c r="B53" i="21" s="1"/>
  <c r="N39" i="17"/>
  <c r="N36" i="17"/>
  <c r="D50" i="21"/>
  <c r="B50" i="21" s="1"/>
  <c r="D37" i="21"/>
  <c r="D40" i="21"/>
  <c r="B23" i="17"/>
  <c r="B30" i="21"/>
  <c r="N69" i="17" l="1"/>
  <c r="D54" i="21"/>
  <c r="D38" i="21"/>
  <c r="U39" i="17"/>
  <c r="U36" i="17"/>
  <c r="K76" i="17" s="1"/>
  <c r="K79" i="17" s="1"/>
  <c r="B37" i="21"/>
  <c r="B40" i="21"/>
  <c r="T39" i="17"/>
  <c r="T36" i="17"/>
  <c r="K74" i="17" s="1"/>
  <c r="H23" i="17"/>
  <c r="H29" i="17" s="1"/>
  <c r="B29" i="17"/>
  <c r="N37" i="17"/>
  <c r="N38" i="17"/>
  <c r="C36" i="17"/>
  <c r="C39" i="17"/>
  <c r="I29" i="17"/>
  <c r="B54" i="21" l="1"/>
  <c r="I39" i="17"/>
  <c r="I36" i="17"/>
  <c r="F76" i="17"/>
  <c r="B39" i="17"/>
  <c r="B36" i="17"/>
  <c r="B37" i="17" s="1"/>
  <c r="F74" i="17"/>
  <c r="H39" i="17"/>
  <c r="H36" i="17"/>
  <c r="K87" i="17"/>
  <c r="H38" i="17" l="1"/>
  <c r="H37" i="17"/>
  <c r="B74" i="17"/>
  <c r="F87" i="17"/>
  <c r="F79" i="17"/>
  <c r="B79" i="17" s="1"/>
  <c r="B76" i="17"/>
  <c r="B87" i="17" l="1"/>
  <c r="B88" i="17"/>
  <c r="VB38" i="21" l="1"/>
  <c r="B38" i="21" s="1"/>
  <c r="G522" i="11" l="1"/>
  <c r="I17" i="14" l="1"/>
  <c r="H17" i="14" l="1"/>
  <c r="F11" i="14" l="1"/>
  <c r="D8" i="13"/>
  <c r="G11" i="14"/>
  <c r="D11" i="13" l="1"/>
  <c r="D9" i="13" s="1"/>
  <c r="I11" i="14"/>
  <c r="D23" i="13" l="1"/>
  <c r="D25" i="13" s="1"/>
  <c r="F17" i="14"/>
  <c r="G17" i="14"/>
  <c r="I15" i="14" l="1"/>
  <c r="I19" i="14" s="1"/>
  <c r="I21" i="14" s="1"/>
  <c r="I22" i="14" s="1"/>
  <c r="E15" i="14"/>
  <c r="D15" i="14"/>
  <c r="H13" i="14"/>
  <c r="D17" i="14"/>
  <c r="D19" i="13" l="1"/>
  <c r="D21" i="13" s="1"/>
  <c r="F15" i="14"/>
  <c r="G15" i="14"/>
  <c r="H15" i="14" l="1"/>
  <c r="H19" i="14" s="1"/>
  <c r="H21" i="14" s="1"/>
  <c r="H22" i="14" s="1"/>
  <c r="F13" i="14" l="1"/>
  <c r="F19" i="14" s="1"/>
  <c r="D13" i="13"/>
  <c r="G13" i="14"/>
  <c r="G19" i="14" s="1"/>
  <c r="G21" i="14" s="1"/>
  <c r="D14" i="13" l="1"/>
  <c r="D27" i="13"/>
  <c r="D28" i="13" s="1"/>
  <c r="F22" i="14"/>
  <c r="F21" i="14"/>
  <c r="G22" i="14"/>
  <c r="B44" i="21" l="1"/>
  <c r="E17" i="14" l="1"/>
  <c r="B17" i="14" l="1"/>
  <c r="C23" i="13"/>
  <c r="C17" i="14"/>
  <c r="C25" i="13" l="1"/>
  <c r="B23" i="13"/>
  <c r="B25" i="13" l="1"/>
  <c r="E23" i="13"/>
  <c r="E25" i="13" s="1"/>
  <c r="C19" i="13" l="1"/>
  <c r="B15" i="14"/>
  <c r="C15" i="14"/>
  <c r="C21" i="13" l="1"/>
  <c r="B19" i="13"/>
  <c r="E19" i="13" l="1"/>
  <c r="E21" i="13" s="1"/>
  <c r="B21" i="13"/>
  <c r="D13" i="14" l="1"/>
  <c r="D19" i="14" s="1"/>
  <c r="D21" i="14" s="1"/>
  <c r="D22" i="14" s="1"/>
  <c r="C13" i="13" l="1"/>
  <c r="B13" i="14"/>
  <c r="C13" i="14"/>
  <c r="B13" i="13" l="1"/>
  <c r="C14" i="13"/>
  <c r="E13" i="13" l="1"/>
  <c r="E14" i="13" s="1"/>
  <c r="B14" i="13"/>
  <c r="B11" i="14" l="1"/>
  <c r="B19" i="14" s="1"/>
  <c r="C8" i="13"/>
  <c r="C11" i="14"/>
  <c r="C19" i="14" s="1"/>
  <c r="C21" i="14" s="1"/>
  <c r="A44" i="21"/>
  <c r="B8" i="13" l="1"/>
  <c r="C27" i="13"/>
  <c r="C28" i="13" s="1"/>
  <c r="C11" i="13"/>
  <c r="C9" i="13" s="1"/>
  <c r="B22" i="14"/>
  <c r="B21" i="14"/>
  <c r="E11" i="14"/>
  <c r="E19" i="14" s="1"/>
  <c r="E21" i="14" s="1"/>
  <c r="E22" i="14" s="1"/>
  <c r="C22" i="14" l="1"/>
  <c r="B27" i="13"/>
  <c r="E8" i="13"/>
  <c r="B11" i="13"/>
  <c r="B9" i="13" s="1"/>
  <c r="E11" i="13" l="1"/>
  <c r="E9" i="13" s="1"/>
  <c r="E27" i="13"/>
  <c r="E28" i="13" s="1"/>
  <c r="G55" i="9" l="1"/>
  <c r="D6" i="12" l="1"/>
  <c r="F542" i="11" l="1"/>
  <c r="G542" i="11" s="1"/>
</calcChain>
</file>

<file path=xl/sharedStrings.xml><?xml version="1.0" encoding="utf-8"?>
<sst xmlns="http://schemas.openxmlformats.org/spreadsheetml/2006/main" count="3960" uniqueCount="1405">
  <si>
    <t>Иные межбюджетные трансферты на реализацию инициативных проектов в рамках инициативного бюджетирования</t>
  </si>
  <si>
    <t>Наименование ОКТМО (5 симв.)</t>
  </si>
  <si>
    <t>Код подраздела</t>
  </si>
  <si>
    <t>Код целевой статьи</t>
  </si>
  <si>
    <t>Код доп.классификации</t>
  </si>
  <si>
    <t>Наименование доп.классификации</t>
  </si>
  <si>
    <t>Бюджетная роспись (расходы)</t>
  </si>
  <si>
    <t>Кассовый расход</t>
  </si>
  <si>
    <t>ВСЕГО</t>
  </si>
  <si>
    <t>1403</t>
  </si>
  <si>
    <t>0503</t>
  </si>
  <si>
    <t>Грязинский муниципальный район</t>
  </si>
  <si>
    <t>1102</t>
  </si>
  <si>
    <t>Данковский муниципальный район</t>
  </si>
  <si>
    <t>90003002</t>
  </si>
  <si>
    <t>Данковский, Баловневский</t>
  </si>
  <si>
    <t>Добринский муниципальный район</t>
  </si>
  <si>
    <t>Долгоруковский муниципальный район</t>
  </si>
  <si>
    <t>Елецкий муниципальный район</t>
  </si>
  <si>
    <t>90007009</t>
  </si>
  <si>
    <t>Елец, Лавский</t>
  </si>
  <si>
    <t>Задонский муниципальный район</t>
  </si>
  <si>
    <t>Краснинский муниципальный район</t>
  </si>
  <si>
    <t>90010001</t>
  </si>
  <si>
    <t>Красное,Александровский</t>
  </si>
  <si>
    <t>Лебедянский муниципальный район</t>
  </si>
  <si>
    <t>Липецкий муниципальный район</t>
  </si>
  <si>
    <t>Тербунский муниципальный район</t>
  </si>
  <si>
    <t>Усманский муниципальный район</t>
  </si>
  <si>
    <t>Хлевенский муниципальный район</t>
  </si>
  <si>
    <t>Чаплыгинский муниципальный район</t>
  </si>
  <si>
    <t>Всего</t>
  </si>
  <si>
    <t>ФЕДЕРАЛЬНАЯ  СУБВЕНЦИЯ  НА  ВОИНСКИЙ  УЧЕТ</t>
  </si>
  <si>
    <t>Получатель</t>
  </si>
  <si>
    <t>Воловский муниципальный округ</t>
  </si>
  <si>
    <t>Отдел финансов администрации Воловского муниципального округа</t>
  </si>
  <si>
    <t>Администрация сельского поселения Большесамовецкий сельсовет Грязинского муниципального района</t>
  </si>
  <si>
    <t>Администрация сельского поселения Бутырский сельсовет Грязинского муниципального района</t>
  </si>
  <si>
    <t>Администрация сельского поселения Верхнетелелюйский сельсовет Грязинского муниципального района</t>
  </si>
  <si>
    <t>Администрация сельского поселения  Грязинский сельсовет Грязинского муниципального района</t>
  </si>
  <si>
    <t>Администрация  сельского поселения Двуреченский сельсовет Грязинского муниципального района</t>
  </si>
  <si>
    <t>Администрация сельского поселения Казинский сельсовет Грязинского муниципального района</t>
  </si>
  <si>
    <t>Администрация сельского поселения Карамышевский сельсовет Грязинского муниципального района</t>
  </si>
  <si>
    <t>Администрация сельского поселения Княжебайгорский сельсовет Грязинского муниципального района</t>
  </si>
  <si>
    <t>Администрация сельского поселения Коробовский сельсовет Грязинского муниципального района</t>
  </si>
  <si>
    <t>Администрация сельского поселения Кузовский сельсовет Грязинского муниципального района</t>
  </si>
  <si>
    <t>Администрация сельского поселения Петровский сельсовет Грязинского муниципального района</t>
  </si>
  <si>
    <t>Администрация сельского поселения Плехановский сельсовет Грязинского муниципального района</t>
  </si>
  <si>
    <t>Администрация сельского поселения Сошкинский сельсовет Грязинского муниципального района</t>
  </si>
  <si>
    <t>Администрация  сельского поселения Телелюйский сельсовет Грязинского муниципального района</t>
  </si>
  <si>
    <t>Администрация сельского поселения Фащевский сельсовет Грязинского муниципального района</t>
  </si>
  <si>
    <t>Администрация сельского поселения Ярлуковский сельсовет Грязинского муниципального района</t>
  </si>
  <si>
    <t>Администрация сельского поселения Баловневский сельсовет Данковского муниципального района</t>
  </si>
  <si>
    <t>Администрация сельского поселения Березовский сельсовет Данковского муниципального района</t>
  </si>
  <si>
    <t>Администрация сельского поселения Бигильдинский сельсовет Данковского муниципального района</t>
  </si>
  <si>
    <t>Администрация сельского поселения Воскресенский сельсовет Данковского муниципального района</t>
  </si>
  <si>
    <t>Администрация сельского поселения Кудрявщинский сельсовет Данковского муниципального района</t>
  </si>
  <si>
    <t>Администрация сельского поселения Малинковский сельсовет Данковского муниципального района</t>
  </si>
  <si>
    <t>Администрация сельского поселения Новоникольский сельсовет Данковского муниципального района</t>
  </si>
  <si>
    <t>Администрация сельского поселения Октябрьский сельсовет Данковского муниципального района</t>
  </si>
  <si>
    <t>Администрация сельского поселения Перехвальский сельсовет Данковского муниципального района</t>
  </si>
  <si>
    <t>Администрация сельского поселения Полибинский сельсовет Данковского муниципального района</t>
  </si>
  <si>
    <t>Администрация сельского поселения Спешнево-Ивановский сельсовет Данковского муниципального района</t>
  </si>
  <si>
    <t>Администрация сельского поселения Тепловский сельсовет Данковского муниципального района</t>
  </si>
  <si>
    <t>Администрация сельского поселения Требунский сельсовет Данковского муниципального района</t>
  </si>
  <si>
    <t>Администрация сельского поселения Ягодновский сельсовет Данковского муниципального района</t>
  </si>
  <si>
    <t>Администрация сельского поселения Березнеговатский сельсовет Добринского муниципального района</t>
  </si>
  <si>
    <t>Администрация сельского поселения Богородицкий сельсовет Добринского муниципального района</t>
  </si>
  <si>
    <t>Администрация сельского поселения Верхнематренский сельсовет Добринского муниципального района</t>
  </si>
  <si>
    <t>Администрация сельского поселения Демшинский сельсовета Добринского муниципального района</t>
  </si>
  <si>
    <t>Администрация сельского поселения Дубовской сельсовет Добринского муниципального района</t>
  </si>
  <si>
    <t>Администрация сельского поселения Дуровский сельсовет Добринского муниципального района</t>
  </si>
  <si>
    <t>Администрация сельского поселения Каверинский сельсовет Добринского муниципального района</t>
  </si>
  <si>
    <t>Администрация сельского поселения  Мазейский сельсовет Добринского муниципального района</t>
  </si>
  <si>
    <t>Администрация сельского поселения Нижнематренский сельсовет Добринского муниципального района</t>
  </si>
  <si>
    <t>Администрация сельского поселения Новочеркутинский сельсовет Добринского муниципального района</t>
  </si>
  <si>
    <t>Администрация сельского поселения Петровский сельсовет Добринского муниципального района</t>
  </si>
  <si>
    <t>Администрация сельского поселения Пушкинский сельсовет Добринского муниципального района</t>
  </si>
  <si>
    <t>Администрация сельского поселения Среднематренский сельсовет Добринского муниципального района</t>
  </si>
  <si>
    <t>Администрация сельского поселения Талицкий сельсовет Добринского муниципального района</t>
  </si>
  <si>
    <t>Администрация сельского поселения Тихвинский сельсовет Добринского муниципального района</t>
  </si>
  <si>
    <t>Администрация сельского поселения Хворостянский сельсовет Добринского муниципального района</t>
  </si>
  <si>
    <t>Добровский муниципальный округ</t>
  </si>
  <si>
    <t>Отдел финансов администрации Добровского муниципального округа</t>
  </si>
  <si>
    <t>Администрация Большебоевского сельсовета Долгоруковского района</t>
  </si>
  <si>
    <t>Администрация Верхнеломовецкого сельсовета Долгоруковского района</t>
  </si>
  <si>
    <t>Администрация Веселовского сельсовета Долгоруковского района</t>
  </si>
  <si>
    <t>Администрация сельского поселения Войсковоказинский сельсовет Долгоруковского муниципального района</t>
  </si>
  <si>
    <t>Администрация Вязовицкого сельсовета Долгоруковского района</t>
  </si>
  <si>
    <t>Администрация Грызловского сельсовета Долгоруковского района</t>
  </si>
  <si>
    <t>Администрация Долгушинского сельсовета Долгоруковского района</t>
  </si>
  <si>
    <t>Администрация Дубовецкого сельсовета Долгоруковского района</t>
  </si>
  <si>
    <t>Администрация Жерновского сельсовета Долгоруковского района</t>
  </si>
  <si>
    <t>Администрация Меньшеколодезского сельсовета Долгоруковского района</t>
  </si>
  <si>
    <t>Администрация Свишенского сельсовета Долгоруковского района</t>
  </si>
  <si>
    <t>Администрация Слепухинского сельсовета Долгоруковского района</t>
  </si>
  <si>
    <t>Администрация Стегаловского сельсовета Долгоруковского района</t>
  </si>
  <si>
    <t>Администрация сельского поселения Архангельский сельсовет Елецкого муниципального района</t>
  </si>
  <si>
    <t>Администрация сельского поселения Большеизвальский сельсовет Елецкого муниципального района</t>
  </si>
  <si>
    <t>Администрация сельского поселения Волчанский сельсовет Елецкого муниципального района</t>
  </si>
  <si>
    <t>Администрация сельского поселения Воронецкий сельсовет Елецкого муниципального района</t>
  </si>
  <si>
    <t>Администрация сельского поселения Голиковский сельсовет Елецкого муниципального района</t>
  </si>
  <si>
    <t>Администрация сельского поселения Елецкий сельсовет Елецкого муниципального района</t>
  </si>
  <si>
    <t>Администрация сельского поселения Казацкий сельсовет Елецкого муниципального района</t>
  </si>
  <si>
    <t>Администрация сельского поселения Колосовский сельсовет Елецкого муниципального района</t>
  </si>
  <si>
    <t>Администрация сельского поселения Лавский сельсовет Елецкого муниципального района</t>
  </si>
  <si>
    <t>Администрация сельского поселения Малобоевский сельсовет Елецкого муниципального района</t>
  </si>
  <si>
    <t>Администрация сельского поселения Нижневоргольский сельсовет Елецкого муниципального района</t>
  </si>
  <si>
    <t>Администрация сельского поселения Пищулинский сельсовет Елецкого муниципального района</t>
  </si>
  <si>
    <t>Администрация сельского поселения Сокольский сельсовет Елецкого муниципального района</t>
  </si>
  <si>
    <t>Администрация сельского поселения Федоровский сельсовет Елецкого муниципального района</t>
  </si>
  <si>
    <t>Администрация сельского поселения Черкасский сельсовет Елецкого муниципального района</t>
  </si>
  <si>
    <t>Администрация сельского поселения Болховской сельсовет Задонского муниципального района</t>
  </si>
  <si>
    <t>Администрация сельского поселения Бутырский сельсовет Задонского муниципального района</t>
  </si>
  <si>
    <t>Администрация сельского поселения Верхнеказаченский сельсовет Задонского муниципального района</t>
  </si>
  <si>
    <t>Администрация сельского поселения Верхнестуденецкий сельсовет Задонского муниципального района</t>
  </si>
  <si>
    <t>Администрация сельского поселения Гнилушинский сельсовет Задонского муниципального района</t>
  </si>
  <si>
    <t>Администрация сельского поселения Донской сельсовет Задонского муниципального района</t>
  </si>
  <si>
    <t>Администрация сельского поселения Калабинский сельсовет Задонского муниципального района</t>
  </si>
  <si>
    <t>Администрация сельского поселения Каменский сельсовет Задонского муниципального района</t>
  </si>
  <si>
    <t>Администрация сельского поселения Камышевский сельсовет Задонского муниципального района</t>
  </si>
  <si>
    <t>Администрация сельского поселения Кашарский сельсовет Задонского муниципального района</t>
  </si>
  <si>
    <t>Администрация сельского поселения Ксизовский сельсовет Задонского муниципального района</t>
  </si>
  <si>
    <t>Администрация сельского поселения Ольшанский сельсовет Задонского муниципального района</t>
  </si>
  <si>
    <t>Администрация сельского поселения Рогожинский сельсовет Задонского муниципального района</t>
  </si>
  <si>
    <t>Администрация сельского поселения Скорняковский сельсовет Задонского муниципального района</t>
  </si>
  <si>
    <t>Администрация сельского поселения Тимирязевский сельсовет Задонского муниципального района</t>
  </si>
  <si>
    <t>Администрация сельского поселения Хмелинецкий сельсовет Задонского муниципального района</t>
  </si>
  <si>
    <t>Администрация сельского поселения Юрьевский сельсовет Задонского муниципального района</t>
  </si>
  <si>
    <t>Отдел финансов администрации Измалковского муниципального округа</t>
  </si>
  <si>
    <t>Администрация  сельского поселения Александровский сельсовет Краснинского муниципального района</t>
  </si>
  <si>
    <t>Администрация сельского поселения Гудаловский сельсовет Краснинского муниципального района</t>
  </si>
  <si>
    <t>Администрация сельского поселения Дрезгаловский сельсовет Краснинского муниципального района</t>
  </si>
  <si>
    <t>Администрация сельского поселения Ищеинский сельсовет Краснинского муниципального района</t>
  </si>
  <si>
    <t>Администрация сельского поселения Сотниковский сельсовет Краснинского муниципального района</t>
  </si>
  <si>
    <t>Администрация сельского поселения Суходольский сельсовет Краснинского муниципального района</t>
  </si>
  <si>
    <t>Администрация сельского поселения Яблоновский сельсовет Краснинского муниципального района</t>
  </si>
  <si>
    <t>Администрация сельского поселения Агрономовский сельсовет Лебедянского муниципального района</t>
  </si>
  <si>
    <t>Администрация сельского поселения Большеизбищенский сельсовет Лебедянского муниципального района</t>
  </si>
  <si>
    <t>Администрация сельского поселения Большепоповский сельсовет Лебедянского муниципального района</t>
  </si>
  <si>
    <t>Администрация сельского поселения Волотовский сельсовет Лебедянского муниципального района</t>
  </si>
  <si>
    <t>Администрация сельского поселения Вязовский сельсовет Лебедянского муниципального района</t>
  </si>
  <si>
    <t>Администрация сельского поселения Докторовский сельсовет Лебедянского муниципального района</t>
  </si>
  <si>
    <t>Администрация сельского поселения Кузнецкий сельсовет Лебедянского муниципального района</t>
  </si>
  <si>
    <t>Администрация сельского поселения Куйманский сельсовет Лебедянского муниципального района</t>
  </si>
  <si>
    <t>Администрация сельского поселения Куликовский сельсовет Лебедянского муниципального района</t>
  </si>
  <si>
    <t>Администрация сельского поселения Ольховский сельсовет Лебедянского муниципального района</t>
  </si>
  <si>
    <t>Администрация сельского поселения Покрово-Казацкий сельсовет Лебедянского муниципального района</t>
  </si>
  <si>
    <t>Администрация сельского поселения Слободской сельсовет Лебедянского муниципального района</t>
  </si>
  <si>
    <t>Администрация сельского поселения Троекуровский сельсовет Лебедянского муниципального района</t>
  </si>
  <si>
    <t>Администрация сельского поселения Шовский сельсовет Лебедянского муниципального района</t>
  </si>
  <si>
    <t>Администрация сельского поселения Яблоневский сельсовет Лебедянского муниципального района</t>
  </si>
  <si>
    <t>Лев-Толстовский муниципальный район</t>
  </si>
  <si>
    <t>Администрация сельского поселения Гагаринский сельсовет Лев-Толстовского муниципального района</t>
  </si>
  <si>
    <t>Администрация сельского поселения Домачевский сельсовет Лев-Толстовского муниципального района</t>
  </si>
  <si>
    <t>Администрация сельского поселения Знаменский сельсовет Лев-Толстовского муниципального района</t>
  </si>
  <si>
    <t>Администрация сельского поселения Лев-Толстовский сельсовет</t>
  </si>
  <si>
    <t>Администрация сельского поселения Новочемодановский сельсовет Лев-Толстовского муниципального района</t>
  </si>
  <si>
    <t>Администрация сельского поселения Октябрьский сельсовет Лев-Толстовского муниципального района Липецкой области РФ</t>
  </si>
  <si>
    <t>Администрация сельского поселения Остро-Каменский сельсовет</t>
  </si>
  <si>
    <t>Администрация  сельского поселения Первомайский сельсовет Лев-Толстовского муниципального района</t>
  </si>
  <si>
    <t>Администрация сельского поселения Топовский сельсовет Лев-Толстовского муниципального района</t>
  </si>
  <si>
    <t>Администрация сельского поселения Троицкий сельсовет</t>
  </si>
  <si>
    <t>Администрация сельского поселения Большекузьминский сельсовет Липецкого муниципального района</t>
  </si>
  <si>
    <t>Администрация сельского поселения Боринский сельсовет Липецкого муниципального района</t>
  </si>
  <si>
    <t>Администрация  сельского поселения Васильевский сельсовет Липецкого муниципального района</t>
  </si>
  <si>
    <t>Администрация  сельского поселения Введенский сельсовет Липецкого муниципального района</t>
  </si>
  <si>
    <t>Администрация сельского поселения Вербиловский сельсовет Липецкого муниципального района</t>
  </si>
  <si>
    <t>Администрация сельского поселения Грязновский сельсовет Липецкого муниципального района</t>
  </si>
  <si>
    <t>Администрация сельского поселения Ивовский сельсовет Липецкого муниципального района</t>
  </si>
  <si>
    <t>Администрация сельского поселения Косыревский сельсовет Липецкого муниципального района</t>
  </si>
  <si>
    <t>Администрация сельского поселения Круто-Хуторской сельсовет Липецкого муниципального района</t>
  </si>
  <si>
    <t>Администрация сельского поселения Кузьмино-Отвержский сельсовет Липецкого муниципального района</t>
  </si>
  <si>
    <t>Администрация сельского поселения Ленинский сельсовет Липецкого муниципального района</t>
  </si>
  <si>
    <t>Администрация сельского поселения Лубновский сельсовет Липецкого муниципального района</t>
  </si>
  <si>
    <t>Администрация сельского поселения  Новодеревенский сельсовет Липецкого муниципального района</t>
  </si>
  <si>
    <t>Администрация сельского поселения Новодмитриевский сельсовет Липецкого муниципального района</t>
  </si>
  <si>
    <t>Администрация сельского поселения Падовский сельсовет Липецкого муниципального района</t>
  </si>
  <si>
    <t>Администрация сельского поселения Пружинский сельсовет Липецкого муниципального района</t>
  </si>
  <si>
    <t>Администрация сельского поселения Сенцовский сельсовет Липецкого муниципального района</t>
  </si>
  <si>
    <t>Администрация сельского поселения Стебаевский сельсовет Липецкого муниципального района</t>
  </si>
  <si>
    <t>Администрация сельского поселения Сырский сельсовет Липецкого муниципального района</t>
  </si>
  <si>
    <t>Администрация сельского поселения Тележенский сельсовет Липецкого муниципального района</t>
  </si>
  <si>
    <t>Администрация  сельского поселения Частодубравский сельсовет Липецкого муниципального района</t>
  </si>
  <si>
    <t>Становлянский муниципальный округ</t>
  </si>
  <si>
    <t>Отдел финансов администрации Становлянского муниципального округа</t>
  </si>
  <si>
    <t>Администрация сельского поселения Березовский сельсовет Тербунского муниципального района</t>
  </si>
  <si>
    <t>Администрация сельского поселения Большеполянский сельсовет Тербунского муниципального района</t>
  </si>
  <si>
    <t>Администрация сельского поселения Борковский сельсовет Тербунского муниципального района</t>
  </si>
  <si>
    <t>Администрация сельского поселения Вислополянский сельсовет Тербунского муниципального района</t>
  </si>
  <si>
    <t>Администрация сельского поселения Тербунский Второй сельсовет Тербунского муниципального района</t>
  </si>
  <si>
    <t>Администрация сельского поселения Зареченский сельсовет Тербунского муниципального района</t>
  </si>
  <si>
    <t>Администрация сельского поселения  Казинский сельсовет Тербунского муниципального района</t>
  </si>
  <si>
    <t>Администрация сельского поселения Кургано-Головинский сельсовет Тербунского муниципального района</t>
  </si>
  <si>
    <t>Администрация сельского поселения Новосильский сельсовет Тербунского муниципального района</t>
  </si>
  <si>
    <t>Администрация сельского поселения Озерский сельсовет Тербунского муниципального района</t>
  </si>
  <si>
    <t>Администрация сельского поселения Покровский сельсовет Тербунского муниципального района</t>
  </si>
  <si>
    <t>Администрация сельского поселения Солдатский сельсовет Тербунского муниципального района</t>
  </si>
  <si>
    <t>Администрация сельского поселения Тульский сельсовет Тербунского муниципального района</t>
  </si>
  <si>
    <t>Администрация сельского поселения Урицкий сельсовет Тербунского муниципального района</t>
  </si>
  <si>
    <t>Администрация сельского поселения Березняговский сельсовет Усманского муниципального района</t>
  </si>
  <si>
    <t>Администрация сельского поселения Боровской сельсовет Усманского муниципального района</t>
  </si>
  <si>
    <t>Администрация сельского поселения Бреславский сельсовет Усманского муниципального района</t>
  </si>
  <si>
    <t>Администрация сельского поселения Верхне-Мосоловский сельсовет Усманского муниципального района</t>
  </si>
  <si>
    <t>Администрация сельского поселения Грачевский сельсовет Усманского муниципального района</t>
  </si>
  <si>
    <t>Администрация сельского поселения Девицкий сельсовет Усманского муниципального района</t>
  </si>
  <si>
    <t>Администрация сельского поселения Дмитриевский сельсовет Усманского муниципального района</t>
  </si>
  <si>
    <t>Администрация сельского поселения Дрязгинский сельсовет Усманского муниципального района</t>
  </si>
  <si>
    <t>Администрация сельского поселения Завальновский сельсовет Усманского муниципального района</t>
  </si>
  <si>
    <t>Администрация сельского поселения Излегощенский сельсовет Усманского муниципального района</t>
  </si>
  <si>
    <t>Администрация сельского поселения Кривский сельсовет Усманского муниципального района</t>
  </si>
  <si>
    <t>Администрация сельского поселения Крутче-Байгорский сельсовет Усманского муниципального района</t>
  </si>
  <si>
    <t>Администрация сельского поселения Куликовский сельсовет Усманского муниципального района</t>
  </si>
  <si>
    <t>Администрация сельского поселения Никольский сельсовет Усманского муниципального района</t>
  </si>
  <si>
    <t>Администрация сельского поселения Октябрьский сельсовет Усманского муниципального района</t>
  </si>
  <si>
    <t>Администрация сельского поселения Пашковский сельсовет Усманского муниципального района</t>
  </si>
  <si>
    <t>Администрация сельского поселения Пластинский сельсовет Усманского муниципального района</t>
  </si>
  <si>
    <t>Администрация сельского поселения Поддубровский сельсовет Усманского муниципального района</t>
  </si>
  <si>
    <t>Администрация сельского поселения Пригородный сельсовет Усманского муниципального района</t>
  </si>
  <si>
    <t>Администрация сельского поселения Пушкарский сельсовет Усманского муниципального района</t>
  </si>
  <si>
    <t>Администрация сельского поселения Сторожевско-Хуторской сельсовет Усманского муниципального района</t>
  </si>
  <si>
    <t>Администрация сельского поселения Сторожевской сельсовет Усманского муниципального района</t>
  </si>
  <si>
    <t>Администрация сельского поселения Студено-Высельский сельсовет Усманского муниципального района</t>
  </si>
  <si>
    <t>Администрация сельского поселения Студенский сельсовет Усманского муниципального района</t>
  </si>
  <si>
    <t>Администрация сельского поселения Введенский сельсовет Хлевенского муниципального района</t>
  </si>
  <si>
    <t>Администрация сельского поселения Верхне-Колыбельский сельсовет Хлевенского муниципального района</t>
  </si>
  <si>
    <t>Администрация сельского поселения Воробьевский сельсовет Хлевенского муниципального района</t>
  </si>
  <si>
    <t>Администрация сельского поселения Ворон-Лозовский сельсовет Хлевенского муниципального района</t>
  </si>
  <si>
    <t>Администрация сельского поселения Дмитряшевский сельсовет Хлевенского муниципального района</t>
  </si>
  <si>
    <t>Администрация сельского поселения Елец-Маланинский сельсовет Хлевенского муниципального района</t>
  </si>
  <si>
    <t>Администрация сельского поселения Елецко-Лозовский сельсовет Хлевенского муниципального района</t>
  </si>
  <si>
    <t>Администрация сельского поселения Конь-Колодезский сельсовет Хлевенского муниципального района</t>
  </si>
  <si>
    <t>Администрация сельского поселения Малининский сельсовет Хлевенского муниципального района</t>
  </si>
  <si>
    <t>Администрация сельского поселения Нижне-Колыбельский сельсовет Хлевенского муниципального района</t>
  </si>
  <si>
    <t>Администрация сельского поселения Ново-Дубовский сельсовет Хлевенского муниципального района</t>
  </si>
  <si>
    <t>Администрация сельского поселения Отскоченский сельсовет Хлевенского муниципального района</t>
  </si>
  <si>
    <t>Администрация сельского поселения Синдякинский сельсовет Хлевенского муниципального района</t>
  </si>
  <si>
    <t>Администрация сельского поселения Фомино-Негачевский сельсовет Хлевенского муниципального района</t>
  </si>
  <si>
    <t>Администрация сельского поселения Братовский сельсовет Чаплыгинского муниципального района</t>
  </si>
  <si>
    <t>Администрация сельского поселения Буховской сельсовет Чаплыгинского муниципального района</t>
  </si>
  <si>
    <t>Администрация сельского поселения Ведновский сельсовет Чаплыгинского муниципального района</t>
  </si>
  <si>
    <t>Администрация сельского поселения Демкинский сельсовет Чаплыгинского муниципального района</t>
  </si>
  <si>
    <t>Администрация сельского поселения Дубовской сельсовет Чаплыгинского муниципального района</t>
  </si>
  <si>
    <t>Администрация сельского поселения Жабинский сельсовет Чаплыгинского муниципального района</t>
  </si>
  <si>
    <t>Администрация сельского поселения Зенкинский сельсовет Чаплыгинского муниципального района</t>
  </si>
  <si>
    <t>Администрация сельского поселения Истобенский сельсовет Чаплыгинского муниципального района</t>
  </si>
  <si>
    <t>Администрация сельского поселения Колыбельский сельсовет Чаплыгинского муниципального района</t>
  </si>
  <si>
    <t>Администрация сельского поселения Конюшковский сельсовет Чаплыгинского муниципального района</t>
  </si>
  <si>
    <t>Администрация сельского поселения Кривополянский сельсовет Чаплыгинского муниципального района</t>
  </si>
  <si>
    <t>Администрация сельского поселения Лозовский сельсовет Чаплыгинского муниципального района</t>
  </si>
  <si>
    <t>Администрация сельского поселения Ломовской сельсовет Чаплыгинского муниципального района</t>
  </si>
  <si>
    <t>Администрация сельского поселения Люблинский сельсовет Чаплыгинского муниципального района</t>
  </si>
  <si>
    <t>Администрация сельского поселения Новополянский сельсовет Чаплыгинского муниципального района</t>
  </si>
  <si>
    <t>Администрация сельского поселения Петелинский сельсовет Чаплыгинского муниципального района</t>
  </si>
  <si>
    <t>Администрация сельского поселения Пиковский сельсовет Чаплыгинского муниципального района</t>
  </si>
  <si>
    <t>Администрация сельского поселения Соловской сельсовет Чаплыгинского муниципального района</t>
  </si>
  <si>
    <t>Администрация сельского поселения Троекуровский сельсовет Чаплыгинского муниципального района</t>
  </si>
  <si>
    <t>Администрация сельского поселения Урусовский сельсовет Чаплыгинского муниципального района</t>
  </si>
  <si>
    <t>Администрация сельского поселения Шишкинский сельсовет Чаплыгинского муниципального района</t>
  </si>
  <si>
    <t>Администрация сельского поселения Юсовский сельсовет Чаплыгинского муниципального района</t>
  </si>
  <si>
    <t>УТОЧНЕННЫЙ  ПЛАН  И  ИСПОЛНЕНИЕ  ПО  ФЕДЕРАЛЬНОЙ  СУБСИДИИ</t>
  </si>
  <si>
    <t xml:space="preserve">     Наименование  муниципальных  образований</t>
  </si>
  <si>
    <t>без  публично-правовой компании "Фонд развития территорий"</t>
  </si>
  <si>
    <t>Субсидии  бюджетам  субъектов  Российской  Федерации  и  муниципальных  образований  (межбюджетные  субсидии) ( 000 2 02 20000 00 0000 150 )</t>
  </si>
  <si>
    <t>Годовой  план,  всего</t>
  </si>
  <si>
    <t>МР,  МО  и  ГО</t>
  </si>
  <si>
    <t>СП</t>
  </si>
  <si>
    <t>ГП</t>
  </si>
  <si>
    <t>Исполнено,  всего</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</si>
  <si>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</si>
  <si>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00 0000 150)</t>
  </si>
  <si>
    <t>Субсидии бюджетам на реализацию мероприятий по стимулированию программ развития жилищного строительства субъектов Российской Федерации   (000 2 02 25021 00 0000 150)</t>
  </si>
  <si>
    <t>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00 0000 150 )</t>
  </si>
  <si>
    <t>Субсидии бюджетам на оснащение объектов спортивной инфраструктуры спортивно-технологическим оборудованием  (000 2 02 25228 00 0000 150)</t>
  </si>
  <si>
    <t>Субсидии бюджетам на модернизацию инфраструктуры общего образования в отдельных субъектах Российской Федерации  (000 2 02 25239 00 0000 150)</t>
  </si>
  <si>
    <t>Субсидии бюджетам на строительство и реконструкцию (модернизацию) объектов питьевого водоснабжения  (000 2 02 25243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</si>
  <si>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</si>
  <si>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на создание школ креативных индустрий   (000 2 02 25353 00 0000 150) </t>
  </si>
  <si>
    <t xml:space="preserve">Субсидии бюджетам на развитие транспортной инфраструктуры на сельских территориях   (000 2 02 25372 00 0000 150) </t>
  </si>
  <si>
    <t xml:space="preserve">Субсидии бюджетам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00 0000 150) </t>
  </si>
  <si>
    <t xml:space="preserve">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00 0000 150) </t>
  </si>
  <si>
    <t xml:space="preserve">Субсидии бюджетам на создание виртуальных концертных залов  (ООО 2 02 25453 00 0000 150 ) </t>
  </si>
  <si>
    <t xml:space="preserve">Субсидии бюджетам на создание модельных муниципальных библиотек  (ООО 2 02 25454 00 0000 150 ) </t>
  </si>
  <si>
    <t>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</si>
  <si>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(000 2 02 25467 00 0000 150)</t>
  </si>
  <si>
    <t>Субсидии бюджетам на проведение комплексных кадастровых работ  ( 000 2 02 25511 00 0000 150 )</t>
  </si>
  <si>
    <t>Субсидии бюджетам на развитие сети учреждений культурно-досугового типа  (000 2 02 25513 00 0000 150 )</t>
  </si>
  <si>
    <t>Субсидия бюджетам на поддержку отрасли культуры    ( 000 2 02 25519 00 0000 150 )</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</si>
  <si>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    ( 000 2 02 25520 00 0000 150 )</t>
  </si>
  <si>
    <t xml:space="preserve">Субсидии бюджетам на реализацию программ формирования современной городской среды   ( 000 2 02 25555 00 0000 150 )  </t>
  </si>
  <si>
    <t>Субсидии бюджетам на обеспечение комплексного развития сельских территорий  (000 2 02 25576 00 0000 150)</t>
  </si>
  <si>
    <t xml:space="preserve">Субсидии бюджетам на оснащение региональных и муниципальных театров   (000 2 02 25584 00 0000 150) </t>
  </si>
  <si>
    <t xml:space="preserve">Субсидии бюджетам на техническое оснащение муниципальных музеев   (000 2 02 25590 00 0000 150) </t>
  </si>
  <si>
    <t>Субсидии бюджетам на реконструкцию и капитальный ремонт муниципальных музеев  (000 2 02 25597 05 0000 150)</t>
  </si>
  <si>
    <t>Субсидии бюджетам муниципальных районов на реализацию мероприятий по модернизации школьных систем образования  (000 2 02 25750 05 0000 150)</t>
  </si>
  <si>
    <t>Субсидии бюджетам муниципальных районов на софинансирование закупки оборудования для создания «умных» спортивных площадок  (000 2 02 25753 05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</si>
  <si>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</si>
  <si>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</si>
  <si>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</si>
  <si>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 xml:space="preserve">Стимулирование программ развития жилищного строительства (предоставление субсидий местным бюджетам на реализацию муниципальных программ, направленных на стимулирование программ развития жилищного строительства в части объектов теплоснабжения) в рамках регионального проекта "Жилье" подпрограммы "Стимулирование жилищного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</si>
  <si>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создание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</si>
  <si>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</si>
  <si>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в рамках подпрограммы "Эффективное вовлечение в оборот земель сельскохозяйственного назначения и развитие мелиоративного комплекса Липецкой области"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</si>
  <si>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Проведение комплексных кадастровых работ</t>
  </si>
  <si>
    <t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 </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</si>
  <si>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     (000 2 02 25306 05 0000 150)</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</si>
  <si>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</si>
  <si>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 в рамках подпрограммы "Развитие и сохранение культуры Липецкой области" государственной программы Липецкой области "Развитие культуры и туризма в Липецкой области"</t>
  </si>
  <si>
    <t>Создание новых мест в общеобразовательных организациях</t>
  </si>
  <si>
    <t>Реализация мероприятий, направленных на формирование современной городской среды</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</si>
  <si>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t>
  </si>
  <si>
    <t xml:space="preserve">Реализация мероприятий, направленных на закупку оборудования для создания «умных» спортивных площадок </t>
  </si>
  <si>
    <t xml:space="preserve">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</si>
  <si>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t>
  </si>
  <si>
    <t>годовой  план</t>
  </si>
  <si>
    <t>МР, МО  и  ГО</t>
  </si>
  <si>
    <t>факт</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</si>
  <si>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</si>
  <si>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</si>
  <si>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</si>
  <si>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</si>
  <si>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</si>
  <si>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</si>
  <si>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</si>
  <si>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</si>
  <si>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</si>
  <si>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</si>
  <si>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</si>
  <si>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</si>
  <si>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</si>
  <si>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</si>
  <si>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</si>
  <si>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</si>
  <si>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</si>
  <si>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</si>
  <si>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</si>
  <si>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 xml:space="preserve">  г. Елец</t>
  </si>
  <si>
    <t xml:space="preserve">  г. Липецк</t>
  </si>
  <si>
    <t>Итого по городам</t>
  </si>
  <si>
    <t xml:space="preserve">        ВСЕГО</t>
  </si>
  <si>
    <t>без  фондов  план</t>
  </si>
  <si>
    <t>без  фондов  факт</t>
  </si>
  <si>
    <t>городские округа - план</t>
  </si>
  <si>
    <t>городские округа - факт</t>
  </si>
  <si>
    <t>муниципальные  районы - план</t>
  </si>
  <si>
    <t>муниципальные  районы -  факт</t>
  </si>
  <si>
    <t>городские поселения - план</t>
  </si>
  <si>
    <t>городские поселения - факт</t>
  </si>
  <si>
    <t>сельские поселения - план</t>
  </si>
  <si>
    <t>сельские поселения - факт</t>
  </si>
  <si>
    <t>муниципальные  округа - план</t>
  </si>
  <si>
    <t>муниципальные  округа -  факт</t>
  </si>
  <si>
    <t>фонды  план</t>
  </si>
  <si>
    <t>фонды  факт</t>
  </si>
  <si>
    <t>СУБСИДИЯ  ПО  ВИДУ  РАСХОДА  523</t>
  </si>
  <si>
    <t>руб.</t>
  </si>
  <si>
    <t>Показатели</t>
  </si>
  <si>
    <t>Целевая  статья</t>
  </si>
  <si>
    <t>Годовой  план</t>
  </si>
  <si>
    <t>план  из  отчета</t>
  </si>
  <si>
    <t>факт  из  отчета</t>
  </si>
  <si>
    <t>отклонение  план</t>
  </si>
  <si>
    <t>отклонение  факт</t>
  </si>
  <si>
    <t>Распределено</t>
  </si>
  <si>
    <t>Перечислено</t>
  </si>
  <si>
    <t>СУБСИДИЯ  ПО  ВИДУ  РАСХОДА  522</t>
  </si>
  <si>
    <t>МЕНЯТЬ</t>
  </si>
  <si>
    <t xml:space="preserve">ФЕДЕРАЛЬНАЯ  СУБСИДИЯ  </t>
  </si>
  <si>
    <t>СВЕДЕНИЯ  О  НЕРАСПРЕДЕЛЕННЫХ  ИНЫХ  МЕЖБЮДЖЕТНЫХ  ТРАНСФЕРТАХ  В  2024  ГОДУ</t>
  </si>
  <si>
    <t>(вид  расхода  540  "Иные межбюджетные трансферты")</t>
  </si>
  <si>
    <t>руб.коп.</t>
  </si>
  <si>
    <t>Подраздел</t>
  </si>
  <si>
    <t>Нераспределенная  сумма</t>
  </si>
  <si>
    <t>0113</t>
  </si>
  <si>
    <t xml:space="preserve"> Другие общегосударственные вопросы</t>
  </si>
  <si>
    <t>в  том  числе</t>
  </si>
  <si>
    <t xml:space="preserve">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</si>
  <si>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99 9 00 55491</t>
  </si>
  <si>
    <t>99 9 00 87100</t>
  </si>
  <si>
    <t xml:space="preserve">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</si>
  <si>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99 9 00 87120</t>
  </si>
  <si>
    <t>0408</t>
  </si>
  <si>
    <t>Транспорт</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</si>
  <si>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</si>
  <si>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08 4 02 87110</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</si>
  <si>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 в рамках комплекса процессных мероприятий «Организация и развитие транспортного обслуживания населения Липецкой области» государственной программы Липецкой области "Развитие транспортной системы Липецкой области"</t>
  </si>
  <si>
    <t>08 4 02 97060</t>
  </si>
  <si>
    <t>Благоустройство</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</si>
  <si>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целях достижения значений базового результата регионального проекта в рамках регионального проекта "Формирование комфортной городской среды" государственной программы Липецкой области "Формирование современной городской среды в Липецкой области" </t>
  </si>
  <si>
    <t>06 1 F2 А4240</t>
  </si>
  <si>
    <t>Финансовое обеспечение организации благоустройства территорий муниципальных образований в рамках комплекса процессных мероприятий «Формирование современной городской среды» государственной программы Липецкой области "Формирование современной городской среды в Липецкой области"</t>
  </si>
  <si>
    <t>06 4 03 87070</t>
  </si>
  <si>
    <t>0702</t>
  </si>
  <si>
    <t>Общее образование</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</si>
  <si>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</si>
  <si>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04 4 02 53030</t>
  </si>
  <si>
    <t>средства  федерального  бюджета</t>
  </si>
  <si>
    <t>Иные межбюджетные трансферты местным бюджетам на проведение капитального ремонта объектов муниципальных общеобразовательных организаций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</si>
  <si>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04 2 01 87080</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</si>
  <si>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"Патриотическое воспитание граждан Российской Федерации" государственной программы Липецкой области "Реализация внутренней политики Липецкой области"</t>
  </si>
  <si>
    <t>20 1 EВ 51790</t>
  </si>
  <si>
    <t>0707</t>
  </si>
  <si>
    <t>Молодежная политика</t>
  </si>
  <si>
    <t xml:space="preserve">Реализация программы комплексного развития молодежной политики "Регион для молодых" в Липецкой области в рамках регионального проекта "Развитие системы поддержки молодежи ("Молодежь России")" государственной программы Липецкой области «Реализация внутренней политики Липецкой области» </t>
  </si>
  <si>
    <t>20 1 EГ 51160</t>
  </si>
  <si>
    <t>Массовый спорт</t>
  </si>
  <si>
    <t>Иной межбюджетный трансферт на строительство физкультурно-оздоровительного комплекса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</si>
  <si>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03 2 01 87090</t>
  </si>
  <si>
    <t>Иные  дотации</t>
  </si>
  <si>
    <t xml:space="preserve">Иные межбюджетные трансферты на реализацию инициативных проектов в рамках инициативного бюджетирования в рамках ведомственного проекта "Развитие механизма инициативного бюджетирования" государственной программы Липецкой области "Управление государственными финансами государственным долгом Липецкой области"  </t>
  </si>
  <si>
    <t>21 3 01 80090</t>
  </si>
  <si>
    <t>Прочие межбюджетные трансферты общего характера</t>
  </si>
  <si>
    <t>Иные межбюджетные трансферты местным бюджетам на проведение капитального ремонта объектов социальной сферы муниципальных образований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</si>
  <si>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09 3 01 87130</t>
  </si>
  <si>
    <t xml:space="preserve">областные  средства </t>
  </si>
  <si>
    <t>ВР  540</t>
  </si>
  <si>
    <t xml:space="preserve">федеральные  средства  </t>
  </si>
  <si>
    <t>отчет</t>
  </si>
  <si>
    <t>Социальные выплаты безработным гражданам и иным категориям граждан в соответствии с законодательством о занятости населения</t>
  </si>
  <si>
    <t>18 4 01 52900</t>
  </si>
  <si>
    <t>всего</t>
  </si>
  <si>
    <t>отклонение</t>
  </si>
  <si>
    <t>СВЕДЕНИЯ  О  НЕРАСПРЕДЕЛЕННОЙ  СУБВЕНЦИИ  В  2024  ГОДУ</t>
  </si>
  <si>
    <t>(вид  расхода  530  "Субвенции")</t>
  </si>
  <si>
    <t>СВЕДЕНИЯ  О  СУБСИДИИ  В  2024  ГОДУ</t>
  </si>
  <si>
    <t>(виды  расхода  521  "Субсидии, за исключением субсидий на софинансирование капитальных вложений в объекты государственной (муниципальной) собственности",  522  "Субсидии на софинансирование капитальных вложений в объекты государственной (муниципальной) собственности"  и  523  "Консолидированные  субсидии")</t>
  </si>
  <si>
    <t>Другие общегосударственные вопросы</t>
  </si>
  <si>
    <t xml:space="preserve">вид  расхода  521  </t>
  </si>
  <si>
    <t xml:space="preserve">вид  расхода  522  </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</si>
  <si>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</si>
  <si>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09 3 01 86010</t>
  </si>
  <si>
    <t xml:space="preserve">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 </t>
  </si>
  <si>
    <t>19 4 01 86470</t>
  </si>
  <si>
    <t>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</si>
  <si>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19 4 01 R5110</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</si>
  <si>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  </t>
  </si>
  <si>
    <t>19 4 02 86790</t>
  </si>
  <si>
    <t>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в рамках комплекса процессных мероприятий "Общественные организации и гражданское общество" государственной программы Липецкой области "Реализация внутренней политики Липецкой области"</t>
  </si>
  <si>
    <t>20 4 01 86670</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</si>
  <si>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t>
  </si>
  <si>
    <t>20 4 03 86630</t>
  </si>
  <si>
    <t>0405</t>
  </si>
  <si>
    <t>Сельское хозяйство и рыболовство</t>
  </si>
  <si>
    <t>17 2 05 R5990</t>
  </si>
  <si>
    <t>вид  расхода  523</t>
  </si>
  <si>
    <t>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</si>
  <si>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01 4 05 86430</t>
  </si>
  <si>
    <t xml:space="preserve">вид  расхода  523  </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</si>
  <si>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t>
  </si>
  <si>
    <t>08 1 R7 54010</t>
  </si>
  <si>
    <t>0409</t>
  </si>
  <si>
    <t>Дорожное хозяйство (дорожные фонды)</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</si>
  <si>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t>
  </si>
  <si>
    <t>07 2 03 R3722</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</si>
  <si>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t>
  </si>
  <si>
    <t>08 1 R1 53940</t>
  </si>
  <si>
    <t xml:space="preserve">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t>
  </si>
  <si>
    <t>08 1 R1 А3944</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</si>
  <si>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t>
  </si>
  <si>
    <t>08 3 01 86030</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</si>
  <si>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</si>
  <si>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08 4 01 86070</t>
  </si>
  <si>
    <t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t>
  </si>
  <si>
    <t>08 4 01 86230</t>
  </si>
  <si>
    <t>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</si>
  <si>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09 1 F1 50213</t>
  </si>
  <si>
    <t>0412</t>
  </si>
  <si>
    <t>Другие вопросы в области национальной экономики</t>
  </si>
  <si>
    <t xml:space="preserve">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</si>
  <si>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09 2 01 98010</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</si>
  <si>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в Липецкой области"</t>
  </si>
  <si>
    <t>15 4 01 86060</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</si>
  <si>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  в рамках комплекса процессных мероприятий "Создание условий для повышения конкурентоспособности субъектов малого и среднего предпринимательства региона" государственной программы Липецкой области "Развитие малого и среднего предпринимательства в Липецкой области"</t>
  </si>
  <si>
    <t>15 4 01 86860</t>
  </si>
  <si>
    <t>0501</t>
  </si>
  <si>
    <t>Жилищное хозяйство</t>
  </si>
  <si>
    <t xml:space="preserve">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</si>
  <si>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F3 67483</t>
  </si>
  <si>
    <t xml:space="preserve">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</si>
  <si>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F3 67484</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</si>
  <si>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t>
  </si>
  <si>
    <t xml:space="preserve">07 2 01 R5762 </t>
  </si>
  <si>
    <t>0502</t>
  </si>
  <si>
    <t>Коммунальное  хозяйство</t>
  </si>
  <si>
    <t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</si>
  <si>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F5 52432</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</si>
  <si>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</si>
  <si>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06 2 01 09507</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</si>
  <si>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</si>
  <si>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</si>
  <si>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</si>
  <si>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06 2 01 09607</t>
  </si>
  <si>
    <t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</si>
  <si>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06 2 01 86120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</si>
  <si>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</si>
  <si>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06 2 01 86390</t>
  </si>
  <si>
    <t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</si>
  <si>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06 2 01 97020</t>
  </si>
  <si>
    <t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</si>
  <si>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06 4 01 86490</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</si>
  <si>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</si>
  <si>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09 1 F1 50212</t>
  </si>
  <si>
    <t>08 4 F1 50212</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</si>
  <si>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t>
  </si>
  <si>
    <t xml:space="preserve">09 1 F1 50214 </t>
  </si>
  <si>
    <t>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</si>
  <si>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10 4 01 86180</t>
  </si>
  <si>
    <t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</si>
  <si>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11 3 02 86380</t>
  </si>
  <si>
    <t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</si>
  <si>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1 F2 54240</t>
  </si>
  <si>
    <t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t>
  </si>
  <si>
    <t>06 1 F2 55550</t>
  </si>
  <si>
    <t>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</si>
  <si>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06 1 F2 А5551</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</si>
  <si>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t>
  </si>
  <si>
    <t>07 2 02 R5763</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</si>
  <si>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</si>
  <si>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20 4 02 86650</t>
  </si>
  <si>
    <t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</si>
  <si>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20 4 02 R2991</t>
  </si>
  <si>
    <t>0605</t>
  </si>
  <si>
    <t>Другие вопросы в области охраны окружающей среды</t>
  </si>
  <si>
    <t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</si>
  <si>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11 3 02 86210</t>
  </si>
  <si>
    <t>0701</t>
  </si>
  <si>
    <t>Дошкольное образование</t>
  </si>
  <si>
    <t>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</si>
  <si>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01 4 05 86310</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</si>
  <si>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 в рамках комплекса процессных мероприятий "Доступная среда" государственной программы Липецкой области "Социальная поддержка граждан, реализация семейно-демографической политики Липецкой области"</t>
  </si>
  <si>
    <t>01 4 05 86130</t>
  </si>
  <si>
    <t>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t>
  </si>
  <si>
    <t>04 1 E1 52390</t>
  </si>
  <si>
    <t>Создание новых мест в общеобразовательных организациях в рамках регионального проекта "Современная школа" государственной программы Липецкой области "Развитие образования Липецкой области"</t>
  </si>
  <si>
    <t>04 1 E1 55200</t>
  </si>
  <si>
    <t>05 5 E1 55200</t>
  </si>
  <si>
    <t>Создание новых мест в общеобразовательных организациях в целях достижения значений дополнительного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t>
  </si>
  <si>
    <t>04 1 E1 Д5200</t>
  </si>
  <si>
    <t>вид  расхода  522</t>
  </si>
  <si>
    <t>Модернизация инфраструктуры общего образования в целях достижения значений базового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t>
  </si>
  <si>
    <t>04 1 E1 A2390</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</si>
  <si>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t>
  </si>
  <si>
    <t>04 1 E2 50980</t>
  </si>
  <si>
    <t>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</si>
  <si>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04 2 01 86890</t>
  </si>
  <si>
    <t>Предоставление субсидий местным бюджетам на реализацию муниципальных программ, направленных на выполнение мероприятий по благоустройству и созданию спортивной (игровой) инфраструктуры на прилегающих территориях к зданиям капитально отремонтированных общеобразовательных учреждений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</si>
  <si>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04 2 01 86920</t>
  </si>
  <si>
    <t>Реализация мероприятий по модернизации школьных систем образования в целях достижения значений базового результата проекта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</si>
  <si>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A7500</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</si>
  <si>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</si>
  <si>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04 4 02 86560</t>
  </si>
  <si>
    <t>0703</t>
  </si>
  <si>
    <t>Дополнительное  образование  детей</t>
  </si>
  <si>
    <t>Государственная поддержка отрасли культуры в целях достижения значений дополнительного результата федерального проекта (предоставление субсидий местным бюджетам на реализацию муниципальных программ, направленных на оснащение музыкальными инструментами, оборудованием и учебными материалами детских школ искусств) в рамках в рамках регионального проекта "Культурная среда" государственной программы Липецкой области "Развитие культуры и туризма в Липецкой области"</t>
  </si>
  <si>
    <t>05 1 A1 Д5195</t>
  </si>
  <si>
    <t>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регионального проекта "Культурная среда" государственной программы Липецкой области "Развитие культуры и туризма в Липецкой области"</t>
  </si>
  <si>
    <t>05 1 A1 55198</t>
  </si>
  <si>
    <t>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t>
  </si>
  <si>
    <t>05 1 A1 5519Б</t>
  </si>
  <si>
    <t>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t>
  </si>
  <si>
    <t>05 4 02 R3530</t>
  </si>
  <si>
    <t>0709</t>
  </si>
  <si>
    <t>Другие  вопросы  в  области  образования</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</si>
  <si>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</si>
  <si>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04 4 02 86880</t>
  </si>
  <si>
    <t>Предоставление субсидий местным бюджетам на реализацию муниципальных программ, направленных на дополнительное профессиональное образование педагогических работников муниципальных образовательных организаций в рамках комплекса процессных мероприятий "Поддержка профессионального развития педагогического корпуса системы образования" государственной программы Липецкой области "Развитие образования Липецкой области"</t>
  </si>
  <si>
    <t>04 4 04 86910</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</si>
  <si>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 в рамках комплекса процессных мероприятий "Профилактика терроризма и экстремизма, минимизация и ликвидация последствий их проявлений на территории Липецкой области" государственной программы Липецкой области "Профилактика терроризма и экстремизма в Липецкой области"</t>
  </si>
  <si>
    <t>14 4 01 86160</t>
  </si>
  <si>
    <t>0801</t>
  </si>
  <si>
    <t>Культура</t>
  </si>
  <si>
    <t xml:space="preserve">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t>
  </si>
  <si>
    <t>05 1 A1 54540</t>
  </si>
  <si>
    <t xml:space="preserve">Развитие сети учреждений культурно-досугового типа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t>
  </si>
  <si>
    <t>05 1 A1 Д5131</t>
  </si>
  <si>
    <t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t>
  </si>
  <si>
    <t>05 1 A1 55131</t>
  </si>
  <si>
    <t xml:space="preserve">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</si>
  <si>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55840</t>
  </si>
  <si>
    <t xml:space="preserve">Техническое оснащение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</si>
  <si>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55900</t>
  </si>
  <si>
    <t xml:space="preserve">Реконструкция и капитальный ремонт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t>
  </si>
  <si>
    <t>05 1 A1 55970</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</si>
  <si>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регионального проекта "Творческие люди" государственной программы Липецкой области "Развитие культуры и туризма в Липецкой области"  </t>
  </si>
  <si>
    <t>05 1 A2 86280</t>
  </si>
  <si>
    <t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t>
  </si>
  <si>
    <t>05 1 A3 54530</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</si>
  <si>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</si>
  <si>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R4660</t>
  </si>
  <si>
    <t xml:space="preserve">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</si>
  <si>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05 4 02 R4670</t>
  </si>
  <si>
    <t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t>
  </si>
  <si>
    <t xml:space="preserve">05 4 02 R5191 </t>
  </si>
  <si>
    <t>Физическая  культура  и  спорт</t>
  </si>
  <si>
    <t>Массовый  спорт</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</si>
  <si>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государственной программы Липецкой области "Развитие физической культуры и спорта Липецкой области"</t>
  </si>
  <si>
    <t>03 1 P5 52281</t>
  </si>
  <si>
    <t>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t>
  </si>
  <si>
    <t>03 2 01 R7530</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</si>
  <si>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</si>
  <si>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03 4 01 86440</t>
  </si>
  <si>
    <t>Спорт высших достижений</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</si>
  <si>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комплекса процессных мероприятий "Развитие физической культуры, массового спорта и спорта высших достижений" государственной программы Липецкой области "Развитие физической культуры и спорта Липецкой области"</t>
  </si>
  <si>
    <t>03 4 01 86820</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</si>
  <si>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t>
  </si>
  <si>
    <t>07 2 04 R5766</t>
  </si>
  <si>
    <t>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t>
  </si>
  <si>
    <t>10 4 01 86080</t>
  </si>
  <si>
    <t>КС - 521</t>
  </si>
  <si>
    <t>ВР  521,  всего</t>
  </si>
  <si>
    <t>Отклонение</t>
  </si>
  <si>
    <t>отклонение  от  нераспределенной</t>
  </si>
  <si>
    <t>КС - 522</t>
  </si>
  <si>
    <t>ВР  522,  всего</t>
  </si>
  <si>
    <t>КС - 523</t>
  </si>
  <si>
    <t>ВР  523,  всего</t>
  </si>
  <si>
    <t>ВР  521</t>
  </si>
  <si>
    <t>ВР  522</t>
  </si>
  <si>
    <t>ВР  523</t>
  </si>
  <si>
    <t>генератор  отчетов  (Субсидия  МО  по  целевой  с  R с  fed)</t>
  </si>
  <si>
    <t>КС</t>
  </si>
  <si>
    <t>годовой  план  МБТ_I  часть)</t>
  </si>
  <si>
    <t>отклонение  от  годового  плана</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</si>
  <si>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подпрограммы "Повышение качества условий проживания населения области за счет обеспечения населенных пунктов области социальной инфраструктурой"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</si>
  <si>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08 5 03 86010</t>
  </si>
  <si>
    <t>СВЕДЕНИЯ  О  НЕРАСПРЕДЕЛЕННОЙ  ДОТАЦИИ  В  2024  ГОДУ</t>
  </si>
  <si>
    <t>(вид  расхода  512  "Иные дотации")</t>
  </si>
  <si>
    <t>Дотации местным бюджетам на поддержку мер по обеспечению сбалансированности бюджетов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</si>
  <si>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21 4 03 80030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</si>
  <si>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</si>
  <si>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21 4 03 80040</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</si>
  <si>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</si>
  <si>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21 4 03 80050</t>
  </si>
  <si>
    <t>Иные дотации местным бюджетам в целях поощрения достижения наилучших значений показателей увеличения налогового потенциала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</si>
  <si>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21 4 03 80060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</si>
  <si>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</si>
  <si>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21 4 03 80070</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</si>
  <si>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муниципальных округов и муниципальных районов Липецкой области в рамках комплекса процессных мероприятий "Создание условий для эффективного и ответственного управления государственными и муниципальными финансами, повышения устойчивости бюджетов муниципальных образований" государственной программы Липецкой области "Управление государственными финансами и государственным долгом Липецкой области"</t>
  </si>
  <si>
    <t>21 4 03 80080</t>
  </si>
  <si>
    <t>Справочно:</t>
  </si>
  <si>
    <t>нераспределенная  субсидия</t>
  </si>
  <si>
    <t>нераспределенная  субвенция</t>
  </si>
  <si>
    <t>нераспределенные  иные  МБТ</t>
  </si>
  <si>
    <t xml:space="preserve">Всего </t>
  </si>
  <si>
    <t>МЕЖБЮДЖЕТНЫЕ  ТРАНСФЕРТЫ  В  2024  ГОДУ</t>
  </si>
  <si>
    <t>Дотации бюджетам бюджетной системы Российской Федерации,  всего</t>
  </si>
  <si>
    <t>вид  расхода  511  "Дотации на выравнивание бюджетной обеспеченности"</t>
  </si>
  <si>
    <t>вид  расхода  512  "Иные дотации"</t>
  </si>
  <si>
    <t>Субсидии бюджетам бюджетной системы Российской Федерации (межбюджетные субсидии),  всего</t>
  </si>
  <si>
    <t xml:space="preserve">вид  расхода  521  "Субсидии, за исключением субсидий на софинансирование капитальных вложений в объекты государственной (муниципальной) собственности"  </t>
  </si>
  <si>
    <t>вид  расхода  522  "Субсидии на софинансирование капитальных вложений в объекты государственной (муниципальной) собственности"</t>
  </si>
  <si>
    <t>вид  расхода  523  "Консолидированные  субсидии"</t>
  </si>
  <si>
    <t>Субвенции бюджетам бюджетной системы Российской Федерации,  всего</t>
  </si>
  <si>
    <t>вид  расхода  530  "Субвенции"</t>
  </si>
  <si>
    <t>Иные  межбюджетные  трансферты,  всего</t>
  </si>
  <si>
    <t>вид  расхода  540  "Иные межбюджетные трансферты"</t>
  </si>
  <si>
    <t>Исполнено</t>
  </si>
  <si>
    <t>в  рамках  государственных  программ</t>
  </si>
  <si>
    <t>из  них</t>
  </si>
  <si>
    <t>в  рамках  непрограммной  деятельности</t>
  </si>
  <si>
    <t>Дотации бюджетам бюджетной системы Российской Федерации</t>
  </si>
  <si>
    <t xml:space="preserve">Субсидии бюджетам бюджетной системы Российской Федерации (межбюджетные субсидии) </t>
  </si>
  <si>
    <t>Субвенции бюджетам бюджетной системы Российской Федерации</t>
  </si>
  <si>
    <t>Иные  межбюджетные  трансферты</t>
  </si>
  <si>
    <t>без  учета  дотации</t>
  </si>
  <si>
    <t>ФЕДЕРАЛЬНЫЕ  СРЕДСТВА  В  2024  ГОДУ</t>
  </si>
  <si>
    <t>тыс.руб.</t>
  </si>
  <si>
    <t>СУБСИДИЯ</t>
  </si>
  <si>
    <t>1. 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в рамках регионального проекта "Спорт-норма жизни" государственной программы Липецкой области "Развитие физической культуры и спорта Липецкой области"  (ЦС  03 1 P5 52281)</t>
  </si>
  <si>
    <t>2. Реализация мероприятий, направленных на закупку и монтаж оборудования для создания "умных" спортивных площадок в рамках регионального проекта "Развитие спортивной инфраструктуры" государственной программы Липецкой области "Развитие физической культуры и спорта Липецкой области"  (ЦС  03 2 01 R7530)</t>
  </si>
  <si>
    <t>3. 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  (ЦС  04 1 E1 52390)</t>
  </si>
  <si>
    <t>4. Создание новых мест в общеобразовательных организациях в рамках регионального проекта "Современная школа" государственной программы Липецкой области "Развитие образования Липецкой области"  (ЦС  04 1 E1 55200)</t>
  </si>
  <si>
    <t>5.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  (ЦС  04 1 E2 50980)</t>
  </si>
  <si>
    <t>7. 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(ЦС  05 1 A1 55131)</t>
  </si>
  <si>
    <t>8.  Государственная поддержка отрасли культуры (оснащение музыкальными инструментами, оборудованием и учебными материалами детских школ искусств) в рамках регионального проекта "Культурная среда" государственной программы Липецкой области "Развитие культуры и туризма в Липецкой области"  (ЦС  05 1 A1 55198)</t>
  </si>
  <si>
    <t>9. 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  (ЦС  05 1 A1 5519Б)</t>
  </si>
  <si>
    <t>10. 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(ЦС  05 1 A1 54540)</t>
  </si>
  <si>
    <t>11. 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(ЦС  05 1 A1 55840)</t>
  </si>
  <si>
    <t>12. Техническое оснащение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(ЦС  05 1 A1 55900)</t>
  </si>
  <si>
    <t>13. Реконструкция и капитальный ремонт региональных и муниципальных музеев в рамках регионального проекта "Культурная среда" государственной программы Липецкой области "Развитие культуры и туризма в Липецкой области"  (ЦС  05 1 A1 55970)</t>
  </si>
  <si>
    <t>14. 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(ЦС  05 1 A3 54530)</t>
  </si>
  <si>
    <t>15. Создание школ креативных индустрий (предоставление субсидий местным бюджетам на реализацию муниципальных программ, направленных на создание школ креативных индустрий)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R3530)</t>
  </si>
  <si>
    <t>16.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R4660)</t>
  </si>
  <si>
    <t>17. Предоставление субсидий местным бюджетам на реализацию муниципальных программ, направленных на обеспечение развития и укрепления материально-технической базы муниципальных домов культуры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R4670)</t>
  </si>
  <si>
    <t>18. 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(ЦС  05 4 02 R5191)</t>
  </si>
  <si>
    <t>19.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F2 54240)</t>
  </si>
  <si>
    <t>20. 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(ЦС  06 1 F2 55550)</t>
  </si>
  <si>
    <t>21.  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F5 52432)</t>
  </si>
  <si>
    <t>22.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R5762)</t>
  </si>
  <si>
    <t>24.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 (ЦС  07 2 02 R5763)</t>
  </si>
  <si>
    <t>25. 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(ЦС  07 2 03 R3722)</t>
  </si>
  <si>
    <t>26.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 (ЦС  07 2 04 R5766)</t>
  </si>
  <si>
    <t>27.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(ЦС  08 1 R1 53940)</t>
  </si>
  <si>
    <t>28. 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  (ЦС  08 1 R7 54010)</t>
  </si>
  <si>
    <t>29. 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F1 50212)</t>
  </si>
  <si>
    <t>30.  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   (ЦС  09 1 F1 50213)</t>
  </si>
  <si>
    <t>31.  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   (ЦС  09 1 F1 50214)</t>
  </si>
  <si>
    <t>33. 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 (ЦС  19 4 01 R5110)</t>
  </si>
  <si>
    <t>34.  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(ЦС  20 4 02 R2991)</t>
  </si>
  <si>
    <t>ИТОГО  СУБСИДИЯ</t>
  </si>
  <si>
    <t>СУБВЕНЦИЯ</t>
  </si>
  <si>
    <t>1.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51340)</t>
  </si>
  <si>
    <t>2.  Осуществление полномочий по обеспечению жильем отдельных категорий граждан, установленных Федеральным законом от 12 января 1995 года № 5-ФЗ "О ветеранах"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51350)</t>
  </si>
  <si>
    <t>3.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в рамках  комплекса процессных мероприятий "Совершенствование системы социальной поддержки граждан"  государственной программы Липецкой области "Социальная поддержка граждан, реализация семейно-демографической политики Липецкой области"  (ЦС 01 4 01 51760)</t>
  </si>
  <si>
    <t>4.  Обеспечение бесплатного горячего питания обучающихся по образовательным программам начального общего образования  в рамках  комплекса процессных мероприятий "Совершенствование социальной поддержки семьи и детей"  государственной программы Липецкой области "Социальная поддержка граждан, реализация семейно-демографической политики Липецкой области"  (ЦС 01 4 03 R3040)</t>
  </si>
  <si>
    <t>5.  Осуществление переданных органам государственной власти субъектов Российской Федерации в соответствии с пунктом 1 статьи 4 Федерального закона "Об актах гражданского состояния" полномочий Российской Федерации по государственной регистрации актов гражданского состояния в рамках  комплекса процессных мероприятий "Обеспечение деятельности органов записи актов гражданского состояния, органов в сфере архивного дела и подведомственных учреждений" государственной программы Липецкой области "Развитие культуры и туризма в Липецкой области"  (ЦС  05 4 04 59300)</t>
  </si>
  <si>
    <t>6.  Осуществление первичного воинского учета органами местного самоуправления поселений, муниципальных и городских округов по непрограммному направлению расходов "Иные непрограммные мероприятия" в рамках непрограммных расходов областного бюджета  (ЦС  99 9 00 51180)</t>
  </si>
  <si>
    <t>7.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"Иные непрограммные мероприятия" в рамках непрограммных расходов областного бюджета  (ЦС  99 9 00 51200)</t>
  </si>
  <si>
    <t>ИТОГО  СУБВЕНЦИЯ</t>
  </si>
  <si>
    <t>ИНЫЕ  МЕЖБЮДЖЕТНЫЕ  ТРАНСФЕРТЫ</t>
  </si>
  <si>
    <t>ИТОГО  ИНЫЕ  МБТ</t>
  </si>
  <si>
    <t>Всего  федеральные  средства</t>
  </si>
  <si>
    <t>Кроме  того,  средства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</si>
  <si>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1 F3 67483)</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</si>
  <si>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09507)</t>
  </si>
  <si>
    <t>ИТОГО</t>
  </si>
  <si>
    <t>УТОЧНЕННЫЙ  ПЛАН  И  ИСПОЛНЕНИЕ  ПО  СРЕДСТВАМ  ФЕДЕРАЛЬНОГО  БЮДЖЕТА</t>
  </si>
  <si>
    <t xml:space="preserve">Итого  средств,  поступившие от публично-правовой компании "Фонд развития территорий"  </t>
  </si>
  <si>
    <t>в  тос  числе</t>
  </si>
  <si>
    <t>Итого  средства  федерального  бюджета</t>
  </si>
  <si>
    <t>Субсидии бюджетам бюджетной системы Российской Федерации (межбюджетные субсидии)  ( 000 2 02 20000 00 0000 150 )</t>
  </si>
  <si>
    <t>Субвенции бюджетам бюджетной системы Российской Федерации  ( 000 2 02 30000 00 000 150 )</t>
  </si>
  <si>
    <t>Иные межбюджетные трансферты ( 000 2 02 40000 00 0000 150 )</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</si>
  <si>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</si>
  <si>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Субсидии бюджетам на проведение комплексных кадастровых работ  (000 2 02 25511 00 0000 150)</t>
  </si>
  <si>
    <t>Субсидии бюджетам на реконструкцию и капитальный ремонт муниципальных музеев  (000 2 02 25597 00 0000 150)</t>
  </si>
  <si>
    <t>Субсидии бюджетам на реализацию мероприятий по модернизации школьных систем образования  (000 2 02 25750 00 0000 150)</t>
  </si>
  <si>
    <t>Субсидии бюджетам на софинансирование закупки оборудования для создания «умных» спортивных площадок  (000 2 02 25753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</si>
  <si>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( 000 2 02 35118 00 0000 150 )</t>
  </si>
  <si>
    <t>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( 000 2 02 35120 00 0000 150 )</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</si>
  <si>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</si>
  <si>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</si>
  <si>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00 0000 150)</t>
  </si>
  <si>
    <t>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00 0000 150)</t>
  </si>
  <si>
    <t>Субвенции  бюджетам  на  государственную  регистрацию  актов  гражданского  состояния    ( 000 2 02 35930 00 0000 150 )</t>
  </si>
  <si>
    <t>Межбюджетные трансферты, передаваемые бюджетам на реализацию программы комплексного развития молодежной политики в регионах Российской Федерации «Регион для молодых»  (000 2 02 45116 00 0000 150)</t>
  </si>
  <si>
    <t>Межбюджетные трансферты, передаваемые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</si>
  <si>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00 0000 150)</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</si>
  <si>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</si>
  <si>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</si>
  <si>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</si>
  <si>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 </t>
  </si>
  <si>
    <t xml:space="preserve">модернизация региональных и муниципальных детских школ искусств по видам искусств   </t>
  </si>
  <si>
    <t xml:space="preserve">государственная поддержка отрасли культуры (оснащение музыкальными инструментами, оборудованием и учебными материалами детских школ искусств)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</si>
  <si>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городских округов и поселений)</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</si>
  <si>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</si>
  <si>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t>
  </si>
  <si>
    <t>субвенция  МР</t>
  </si>
  <si>
    <t>районы</t>
  </si>
  <si>
    <t>муниципальные  округа</t>
  </si>
  <si>
    <t>городские  округа</t>
  </si>
  <si>
    <t>бухгалтерский  отчет</t>
  </si>
  <si>
    <t>Целевая  статья  06 1 F3 67483</t>
  </si>
  <si>
    <t>Целевая  статья  06 2 01 09507</t>
  </si>
  <si>
    <t>Целевая  статья  09 1 F1 50212</t>
  </si>
  <si>
    <t>Целевая  статья  09 1 F1 50213</t>
  </si>
  <si>
    <t>Целевая  статья  09 1 F1 50214</t>
  </si>
  <si>
    <t xml:space="preserve">Целевая  статья  04 1 Е2 50980  </t>
  </si>
  <si>
    <t xml:space="preserve">Целевая  статья  03 1 Р5 52281 </t>
  </si>
  <si>
    <t>Целевая  статья  04 1 Е1 52390</t>
  </si>
  <si>
    <t>Целевая  статья  06 1 F5 52432</t>
  </si>
  <si>
    <t>Целевая  статья  20 4 02 R2991</t>
  </si>
  <si>
    <t>Целевая  статья  05 4 02 R3530</t>
  </si>
  <si>
    <t>Целевая  статья  07 2 03 R3722</t>
  </si>
  <si>
    <t>Целевая  статья  08 1 R1 53940</t>
  </si>
  <si>
    <t>Целевая  статья  08 1 R7 54010</t>
  </si>
  <si>
    <t>Целевая  статья  06 1 F2 54240</t>
  </si>
  <si>
    <t>Целевая  статья  05 1 A3 54530</t>
  </si>
  <si>
    <t>Целевая  статья  05 1 A1 54540</t>
  </si>
  <si>
    <t xml:space="preserve">Целевая  статья  05 4 02 R4660  </t>
  </si>
  <si>
    <t xml:space="preserve">Целевая  статья  05 4 02 R4670  </t>
  </si>
  <si>
    <t>Целевая  статья  17 2 05 R5990</t>
  </si>
  <si>
    <t xml:space="preserve">Целевая  статья  19 4 01 R5110 </t>
  </si>
  <si>
    <t>Целевая  статья  05 1 A1 55131</t>
  </si>
  <si>
    <t>Целевая  статья 05 1 A1 5519Б</t>
  </si>
  <si>
    <t>Целевая  статья  05 1 A1 55198</t>
  </si>
  <si>
    <t xml:space="preserve">Целевая  статья  05 4 02 R5191 </t>
  </si>
  <si>
    <t xml:space="preserve">Целевая  статья  04 1 E1 55200  </t>
  </si>
  <si>
    <t>Целевая  статья  06 1 F2 55550</t>
  </si>
  <si>
    <t>Целевая  статья  07 2 02 R5763</t>
  </si>
  <si>
    <t>Целевая  статья  05 1 А1 55840</t>
  </si>
  <si>
    <t>Целевая  статья  05 1 A1 55900</t>
  </si>
  <si>
    <t>Целевая  статья  05 1 A1 55970</t>
  </si>
  <si>
    <t>Целевая  статья  03 2 01 R7530</t>
  </si>
  <si>
    <t>Целевая  статья  07 2 01 R5762</t>
  </si>
  <si>
    <t>Целевая  статья  07 2 04 R5766</t>
  </si>
  <si>
    <t>Целевая  статья  99 9 00 51180</t>
  </si>
  <si>
    <t>Целевая  статья  99 9 00 51200</t>
  </si>
  <si>
    <t>Целевая  статья  01 4 01 51340</t>
  </si>
  <si>
    <t>Целевая  статья  01 4 01 51350</t>
  </si>
  <si>
    <t>Целевая  статья  01 4 01 51760</t>
  </si>
  <si>
    <t>Целевая  статья  01 4 03 R3040</t>
  </si>
  <si>
    <t>Целевая  статья  05 4 04 59300</t>
  </si>
  <si>
    <t>Целевая  статья  20 1 EГ 51160</t>
  </si>
  <si>
    <t>Целевая  статья  20 1 EВ 51790</t>
  </si>
  <si>
    <t>Целевая  статья  04 4 02 53030</t>
  </si>
  <si>
    <t xml:space="preserve">РАСПРЕДЕЛЕНИЕ  МЕЖБЮДЖЕТНЫХ  ТРАНСФЕРТОВ  МЕЖДУ  УРОВНЯМИ  БЮДЖЕТОВ  </t>
  </si>
  <si>
    <t>Наименование  муниципальных  образований</t>
  </si>
  <si>
    <t xml:space="preserve"> из  них</t>
  </si>
  <si>
    <t>СЕЛЬСКИЕ  ПОСЕЛЕНИЯ</t>
  </si>
  <si>
    <t>ГОРОДСКИЕ  ПОСЕЛЕНИЯ</t>
  </si>
  <si>
    <t>муниципальные  районы,  мунуципальные  округа,  городские  округа</t>
  </si>
  <si>
    <t>поселения</t>
  </si>
  <si>
    <t>дотация</t>
  </si>
  <si>
    <t>субсидия</t>
  </si>
  <si>
    <t>субвенция</t>
  </si>
  <si>
    <t>иные  межбюджетные  трансферты</t>
  </si>
  <si>
    <t>прочие  безв. поступления</t>
  </si>
  <si>
    <t>дотация  на  выравнивание</t>
  </si>
  <si>
    <t>дотация  на  сбалансированность</t>
  </si>
  <si>
    <t>дотации на поощрение достижения наилучших показателей деятельности органов местного самоуправления</t>
  </si>
  <si>
    <t xml:space="preserve">субсидии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t>
  </si>
  <si>
    <t>Субсидии бюджетам поселений на софинансирование капитальных вложений в объекты муниципальной собственности</t>
  </si>
  <si>
    <t xml:space="preserve">субсидии бюджетам поселений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 </t>
  </si>
  <si>
    <t xml:space="preserve">Субсидии бюджетам поселений на проведение комплексных кадастровых работ </t>
  </si>
  <si>
    <t xml:space="preserve">субсидии бюджетам поселений на обеспечение мероприятий по переселению граждан из аварийного жилищного фонда за счет средств бюджетов   </t>
  </si>
  <si>
    <t xml:space="preserve">Субсидии бюджетам поселений на обустройство и восстановление воинских захоронений, находящихся в государственной собственности </t>
  </si>
  <si>
    <t xml:space="preserve">Субсидии бюджетам на развитие сети учреждений культурно-досугового типа  </t>
  </si>
  <si>
    <t xml:space="preserve">Субсидии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</si>
  <si>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 xml:space="preserve">субсидия на поддержку отрасли культуры  </t>
  </si>
  <si>
    <t xml:space="preserve">Субсидии бюджетам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t>
  </si>
  <si>
    <t xml:space="preserve">Субсидии бюджетам поселений на поддержку государственных программ субъектов Российской Федерации  и муниципальных программ формирования современной городской среды  </t>
  </si>
  <si>
    <t xml:space="preserve">Субсидии бюджетам поселений на обеспечение комплексного развития сельских территорий  </t>
  </si>
  <si>
    <t xml:space="preserve">Субсидии бюджетам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t>
  </si>
  <si>
    <t xml:space="preserve">Субсидии бюджетам поселений на реализацию мероприятий по стимулированию программ развития жилищного строительства субъектов Российской Федерации   </t>
  </si>
  <si>
    <t xml:space="preserve">субсидии бюджетам поселений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 </t>
  </si>
  <si>
    <t>Субсидии бюджетам поселений на техническое оснащение муниципальных музеев</t>
  </si>
  <si>
    <t xml:space="preserve">прочие  субсидии  </t>
  </si>
  <si>
    <t>субвенция  на  воинский  учет</t>
  </si>
  <si>
    <t xml:space="preserve">Межбюджетные трансферты, передаваемые бюджетам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t>
  </si>
  <si>
    <t>прочие межбюджетные трансферты, передаваемые бюджетам поселений</t>
  </si>
  <si>
    <t>всего  план</t>
  </si>
  <si>
    <t>всего  факт</t>
  </si>
  <si>
    <t>Всего  МБТ</t>
  </si>
  <si>
    <t>Дотация</t>
  </si>
  <si>
    <t>выравнивание</t>
  </si>
  <si>
    <t>сбалансированность</t>
  </si>
  <si>
    <t>гранты</t>
  </si>
  <si>
    <t>Субсидия</t>
  </si>
  <si>
    <t>Субвенция</t>
  </si>
  <si>
    <t>Иные  МБТ</t>
  </si>
  <si>
    <t xml:space="preserve">Субвенции  бюджетам  муниципальных  районов,  муниципальных  округов  и  городских  округов  на  выполнение  передаваемых  полномочий  субъектов  Российской  Федерации  </t>
  </si>
  <si>
    <t>руб.коп</t>
  </si>
  <si>
    <t>Закон Липецкой области от 02.09.2021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</si>
  <si>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педагогическим работникам, медицинским работникам образовательных организаций)</t>
    </r>
  </si>
  <si>
    <r>
      <t xml:space="preserve">Закон Липецкой области от 04.02.2008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 </t>
    </r>
    <r>
      <rPr>
        <b/>
        <u/>
        <sz val="13"/>
        <rFont val="Arial"/>
        <family val="2"/>
        <charset val="204"/>
      </rPr>
      <t>(оплата жилых помещений и коммунальных услуг работникам учреждений культуры и искусства)</t>
    </r>
  </si>
  <si>
    <t xml:space="preserve">Закон  Липецкой  области  от  30.12.2004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</si>
  <si>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социальных выплат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</si>
  <si>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осуществления деятельности специалистов органов местного самоуправления по опеке и попечительству</t>
  </si>
  <si>
    <t xml:space="preserve">    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обеспечения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</si>
  <si>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Закон  Липецкой  области  от  27.12.2007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  в  части предоставления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</si>
  <si>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</si>
  <si>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18.09.2015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</si>
  <si>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 xml:space="preserve">Закон  Липецкой  области  от  11.12.2013  года  № 217-ОЗ  "О  нормативах  финансирования  муниципальных  дошкольных  образовательных  организаций" </t>
  </si>
  <si>
    <t>Закон  Липецкой  области  от  27.12.2007  года  № 119-ОЗ  "О  наделении  органов  местного  самоуправления  отдельными  государственными  полномочиями  в  сфере  образования" в части компенсации затрат родителей (законных представителей) детей-инвалидов на организацию обучения по основным общеобразовательным программам на дому</t>
  </si>
  <si>
    <t xml:space="preserve">Закон  Липецкой  области  от  30.11.2000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</si>
  <si>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15.10.2009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</si>
  <si>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15.12.2015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</si>
  <si>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2 мая 2023 года № 329-ОЗ "О наделении органов местного самоуправления отдельными государственными полномочиями Липецкой области по организации проведения мероприятий по предупреждению и ликвидации болезней животных, их лечению, защите населения от болезней, общих для человека и животных"</t>
  </si>
  <si>
    <t xml:space="preserve"> Закон  Липецкой  области  от  08.11.2012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</si>
  <si>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31.12.2009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  </t>
  </si>
  <si>
    <t>01 4 01 85190</t>
  </si>
  <si>
    <t>01 4 01 85251</t>
  </si>
  <si>
    <t>01 4 01 85252</t>
  </si>
  <si>
    <t>01 4 03 85080</t>
  </si>
  <si>
    <t>01 4 03 85130</t>
  </si>
  <si>
    <t>01 4 03 85440</t>
  </si>
  <si>
    <t xml:space="preserve">01 4 03 85460 </t>
  </si>
  <si>
    <t>01 4 04 85450</t>
  </si>
  <si>
    <t>04 4 02 85090</t>
  </si>
  <si>
    <t>04 4 02 85160</t>
  </si>
  <si>
    <t>04 4 02 85350</t>
  </si>
  <si>
    <t>04 4 02 85420</t>
  </si>
  <si>
    <t>05 4 04 85060</t>
  </si>
  <si>
    <t>09 4 01 85010</t>
  </si>
  <si>
    <t>13 4 01 85070</t>
  </si>
  <si>
    <t>17 4 03 85170</t>
  </si>
  <si>
    <t>17 4 03 85210</t>
  </si>
  <si>
    <t>18 4 03 85340</t>
  </si>
  <si>
    <t>99 9 00 85270</t>
  </si>
  <si>
    <t>муниципальные  районы</t>
  </si>
  <si>
    <t xml:space="preserve">Прочие  субсидии  бюджетам  поселений  </t>
  </si>
  <si>
    <t>руб. коп.</t>
  </si>
  <si>
    <t xml:space="preserve">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 в рамках регионального проекта "Творческие люди" государственной программы Липецкой области "Развитие культуры и туризма в Липецкой области" </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</si>
  <si>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</si>
  <si>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 в рамках регионального проекта "Обеспечение инфраструктурой территорий для жилищного строительства"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</si>
  <si>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в рамках ведомственного проекта "Стимулирование жилищного и социального строительства в Липецкой области"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</si>
  <si>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 xml:space="preserve">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 </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</si>
  <si>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t>
  </si>
  <si>
    <t>09 3 01 86010 - в  части  капремонта</t>
  </si>
  <si>
    <t xml:space="preserve">                    Прочие  субсидии  бюджетам  муниципальных  районов,  муниципальных  округов  и  городских  округов  </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</si>
  <si>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 в рамках регионального проекта "Спорт-норма жизни" государственной программы Липецкой области "Развитие физической культуры и спорта Липецкой области"</t>
  </si>
  <si>
    <t>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t>
  </si>
  <si>
    <t>Предоставление субсидий местным бюджетам на реализацию муниципальных программ, направленных на совершенствование муниципального управления в рамках комплекса процессных мероприятий "Совершенствование государственной гражданской и муниципальной службы Липецкой области" государственной программы Липецкой области "Эффективное государственное управление и развитие муниципальной службы в Липецкой области"</t>
  </si>
  <si>
    <t xml:space="preserve">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t>
  </si>
  <si>
    <t xml:space="preserve">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 в рамках комплекса процессных мероприятий "Укрепление гражданского единства, сохранение российской нации, гармонизация межнациональных (межэтнических) отношений, обеспечения межнационального мира" государственной программы Липецкой области "Реализация внутренней политики Липецкой области" </t>
  </si>
  <si>
    <t>03 1 P5 86820</t>
  </si>
  <si>
    <t>06 2 01 97020 - казнач. Кредит</t>
  </si>
  <si>
    <t>Справочно:  бюджеты  поселений</t>
  </si>
  <si>
    <t>Всего  консолидированный  бюджет</t>
  </si>
  <si>
    <t xml:space="preserve">УТОЧНЕННЫЙ  ПЛАН  И  ИСПОЛНЕНИЕ  ПО  МЕЖБЮДЖЕТНЫМ  ТРАНСФЕРТАМ  </t>
  </si>
  <si>
    <t>Безвозмездные  поступления     (000 2 00 00000 00 0000 000)</t>
  </si>
  <si>
    <t>Дотации бюджетам бюджетной системы Российской Федерации  (000 2 02 10000 00 0000 150)</t>
  </si>
  <si>
    <t>Субсидии бюджетам бюджетной системы Российской Федерации (межбюджетные субсидии)  (000 2 02 20000 00 0000 150)</t>
  </si>
  <si>
    <t>Субвенции бюджетам бюджетной системы Российской Федерации  (000 2 02 30000 00 000 150)</t>
  </si>
  <si>
    <t>Иные межбюджетные трансферты (000 2 02 04000 00 0000 150)</t>
  </si>
  <si>
    <t>Получение  бюджетных  кредитов  от  других  бюджетов  бюджетной  системы  Российской  Федерации  (000 01 03 00 00 00 0000 700)</t>
  </si>
  <si>
    <t>Погашение  бюджетных  кредитов,  полученных  от  других  бюджетов  бюджетной  системы  Российской  Федерации    (000 01 03 00 00 00 0000 800)</t>
  </si>
  <si>
    <t>Дотации  на  выравнивание  бюджетной  обеспеченности   (000 2 02 15001 00 0000 150)</t>
  </si>
  <si>
    <t>Дотации  бюджетам  на  поддержку  мер  по  обеспечению  сбалансированности  бюджетов  (000 2 02 15002 00 0000 150)</t>
  </si>
  <si>
    <t>Дотации (гранты) бюджетам за достижение показателей деятельности органов местного самоуправления  (000 2 02 16549 00 0000 150)</t>
  </si>
  <si>
    <t xml:space="preserve">Субсидии бюджетам на софинансирование капитальных вложений в объекты муниципальной собственности  (000 2 02 20077 00 0000 150)  </t>
  </si>
  <si>
    <t xml:space="preserve">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00 0000 150)  </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</si>
  <si>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</si>
  <si>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00 0000 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</si>
  <si>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  (000 2 02 20303 00 0000 150)</t>
  </si>
  <si>
    <t>Субсидии бюджетам на реализацию мероприятий государственной программы Российской Федерации "Доступная среда"  (000 2 02 25027 00 0000 150)</t>
  </si>
  <si>
    <t>Субсидии бюджетам на строительство и реконструкцию (модернизацию) объектов питьевого водоснабжения   (000 2 02 25243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</si>
  <si>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00 0000 150)</t>
  </si>
  <si>
    <t xml:space="preserve">Субсидии бюджетам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00 0000 150 ) </t>
  </si>
  <si>
    <t xml:space="preserve">Субсидии бюджетам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00 0000 150) </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</si>
  <si>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   ( 000 2 02 25467 00 0000 150 )</t>
  </si>
  <si>
    <t>Субсидии бюджетам на реализацию программ формирования современной городской среды  ( 000 2 02 25555 00 0000 150 )</t>
  </si>
  <si>
    <t>Прочие  субсидии    ( 000 2 02 29999 00 0000 150 )</t>
  </si>
  <si>
    <t>областная</t>
  </si>
  <si>
    <t>федеральная</t>
  </si>
  <si>
    <t>Субвенции местным бюджетам на выполнение передаваемых полномочий субъектов  Российской  Федерации   (000 2 02 30024 00 0000 150)</t>
  </si>
  <si>
    <t>Субвенции бюджетам муниципальных образований на содержание ребенка в семье опекуна и приемной семье, а также вознаграждение, причитающееся приемному родителю       (000 2 02 30027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</si>
  <si>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    (000 2 02 35118 00 0000 150)</t>
  </si>
  <si>
    <t>Субвенции бюджетам на составление (изменение) списков кандидатов в присяжные заседатели федеральных судов общей юрисдикции в Российской Федерации     (000 2 02 35120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</si>
  <si>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00 0000 150)</t>
  </si>
  <si>
    <t>Субвенции бюджетам на обеспечение жильем отдельных категорий граждан, установленных федеральным законом от 12 января 1995 года № 5-ФЗ "О ветеранах" (000 2 02 35135 00 0000 150)</t>
  </si>
  <si>
    <t>Субвенции  бюджетам  на  государственную  регистрацию  актов  гражданского  состояния   (000 2 02 35930 00 0000 150)</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</si>
  <si>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00 0000 150)</t>
  </si>
  <si>
    <t>Прочие межбюджетные трансферты, передаваемые бюджетам  (000 2 02 49999 00 0000 150)</t>
  </si>
  <si>
    <t>Безвозмездные  поступления  от  других  бюджетов  бюджетной  системы  Российской  Федерации    (000 2 02 00000 00 0000 000)</t>
  </si>
  <si>
    <t>Дотации  бюджетам  городских  округов  на  выравнивание  бюджетной  обеспеченности из бюджета субъекта Российской Федерации  (000 2 02 15001 04 0000 150)</t>
  </si>
  <si>
    <t xml:space="preserve">Дотации  бюджетам  поселений  на  выравнивание  бюджетной  обеспеченности  </t>
  </si>
  <si>
    <t>В  ТОМ  ЧИСЛЕ</t>
  </si>
  <si>
    <t>Дотации  бюджетам  городских  округов  на  поддержку  мер  по  обеспечению  сбалансированности  бюджетов  (000 2 02 15002 04 0000 150)</t>
  </si>
  <si>
    <t>Дотации  бюджетам  поселений  на  поддержку  мер  по  обеспечению  сбалансированности  бюджетов</t>
  </si>
  <si>
    <t>Дотации (гранты) бюджетам городских округов за достижение показателей деятельности органов местного самоуправления  (000 2 02 16549 04 0000 150)</t>
  </si>
  <si>
    <t xml:space="preserve">Дотации (гранты) бюджетам поселений за достижение показателей деятельности органов местного самоуправления </t>
  </si>
  <si>
    <t xml:space="preserve">Субсидии бюджетам городских округов на софинансирование капитальных вложений в объекты муниципальной собственности   (000 2 02 20077 04 0000 150)  </t>
  </si>
  <si>
    <t xml:space="preserve">Субсидии бюджетам городских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04 0000 150)  </t>
  </si>
  <si>
    <t xml:space="preserve">Субсидии бюджетам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</si>
  <si>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04 0000 150)</t>
  </si>
  <si>
    <t>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</si>
  <si>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04 0000 150)</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</si>
  <si>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04 0000 150)</t>
  </si>
  <si>
    <t xml:space="preserve">Субсидии бюджетам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</si>
  <si>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Субсидии бюджетам городских округов на обеспечение мероприятий по модернизации систем коммунальной инфраструктуры за счет средств бюджетов  (000 2 02 20303 04 0000 150)</t>
  </si>
  <si>
    <t>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   (000 2 02 25021 04 0000 150)</t>
  </si>
  <si>
    <t>Субсидии бюджетам городских округов на реализацию мероприятий государственной программы Российской Федерации "Доступная среда"  (000 2 02 25027 04 0000 150)</t>
  </si>
  <si>
    <t>Субсидии бюджетам городских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04 0000 150 )</t>
  </si>
  <si>
    <t>Субсидии бюджетам городских округов на оснащение объектов спортивной инфраструктуры спортивно-технологическим оборудованием  (000 2 02 25228 04 0000 150)</t>
  </si>
  <si>
    <t>Субсидии бюджетам городских округов на модернизацию инфраструктуры общего образования в отдельных субъектах Российской Федерации  (000 2 02 25239 04 0000 150)</t>
  </si>
  <si>
    <t>Субсидии бюджетам городских округов на строительство и реконструкцию (модернизацию) объектов питьевого водоснабжения   (000 2 02 25243 04 0000 150)</t>
  </si>
  <si>
    <t>Субсидии бюджетам городских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04 0000 150)</t>
  </si>
  <si>
    <t xml:space="preserve">Субсидии бюджетам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t>
  </si>
  <si>
    <t xml:space="preserve">Субсидии бюджетам городских округов на создание школ креативных индустрий   (000 2 02 25353 04 0000 150) </t>
  </si>
  <si>
    <t xml:space="preserve">Субсидии бюджетам городских округов на развитие транспортной инфраструктуры на сельских территориях   (000 2 02 25372 04 0000 150) </t>
  </si>
  <si>
    <t xml:space="preserve">Субсидии бюджетам городских округов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04 0000 150) </t>
  </si>
  <si>
    <t xml:space="preserve">Субсидии бюджетам городских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04 0000 150 ) </t>
  </si>
  <si>
    <t xml:space="preserve">Субсидии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04 0000 150) </t>
  </si>
  <si>
    <t xml:space="preserve">Субсидии бюджетам городских округов на создание виртуальных концертных залов  (ООО 2 02 25453 04 0000 150 ) </t>
  </si>
  <si>
    <t xml:space="preserve">Субсидии бюджетам городских округов на создание модельных муниципальных библиотек  (ООО 2 02 25454 04 0000 150 ) </t>
  </si>
  <si>
    <t xml:space="preserve">Субсидии бюджетам городских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04 0000 150) </t>
  </si>
  <si>
    <t>Субсидии бюджетам городских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04 0000 150 )</t>
  </si>
  <si>
    <t xml:space="preserve">Субсидии бюджетам поселений на обеспечение развития и укрепления материально-технической базы домов культуры в населенных пунктах с числом жителей до 50 тысяч человек  </t>
  </si>
  <si>
    <t>Субсидии бюджетам городских округов на проведение комплексных кадастровых работ  ( 000 2 02 25511 04 0000 150 )</t>
  </si>
  <si>
    <t>Субсидии бюджетам поселений на проведение комплексных кадастровых работ</t>
  </si>
  <si>
    <t>Субсидии бюджетам городских округов на развитие сети учреждений культурно-досугового типа  (000 2 02 25513 04 0000 150 )</t>
  </si>
  <si>
    <t>Субсидия бюджетам поселений на развитие сети учреждений культурно-досугового типа</t>
  </si>
  <si>
    <t>Субсидия бюджетам городских округов на поддержку отрасли культуры    ( 000 2 02 25519 04 0000 150 )</t>
  </si>
  <si>
    <t xml:space="preserve">Субсидия бюджетам поселений на поддержку отрасли культуры   </t>
  </si>
  <si>
    <t>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   ( 000 2 02 25520 04 0000 150 )</t>
  </si>
  <si>
    <t>Субсидии бюджетам городских округов на реализацию программ формирования современной городской среды   ( 000 2 02 25555 04 0000 150 )</t>
  </si>
  <si>
    <t>Субсидии бюджетам поселений на реализацию программ формирования современной городской среды</t>
  </si>
  <si>
    <t>Субсидии бюджетам городских округов на обеспечение комплексного развития сельских территорий  (000 2 02 25576 04 0000 150)</t>
  </si>
  <si>
    <t xml:space="preserve">Субсидии бюджетам городских округов на оснащение региональных и муниципальных театров   (000 2 02 25584 04 0000 150) </t>
  </si>
  <si>
    <t xml:space="preserve">Субсидии бюджетам городских округов на техническое оснащение муниципальных музеев   (000 2 02 25590 04 0000 150) </t>
  </si>
  <si>
    <t>Субсидии бюджетам городских округов на реконструкцию и капитальный ремонт муниципальных музеев  (000 2 02 25597 04 0000 150)</t>
  </si>
  <si>
    <t>Субсидии бюджетам городских округов на реализацию мероприятий по модернизации школьных систем образования  (000 2 02 25750 04 0000 150)</t>
  </si>
  <si>
    <t>Субсидии бюджетам городских округов на софинансирование закупки оборудования для создания «умных» спортивных площадок  (000 2 02 25753 04 0000 150)</t>
  </si>
  <si>
    <t>Субсидии бюджетам городских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04 0000 150)</t>
  </si>
  <si>
    <t>Прочие  субсидии  бюджетам  городских  округов      ( 000 2 02 29999 04 0000 150 )</t>
  </si>
  <si>
    <t>Субвенции бюджетам городских округов на выполнение передаваемых полномочий субъектов  Российской  Федерации  (000 2 02 30024 04 0000 150)</t>
  </si>
  <si>
    <t>Субвенции бюджетам городских округов на содержание ребенка в семье опекуна и приемной семье, а также вознаграждение, причитающееся приемному родителю       (000 2 02 30027 04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</si>
  <si>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(000 2 02 35118 14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</si>
  <si>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  (000 2 02 35118 10 0000 150)</t>
  </si>
  <si>
    <t xml:space="preserve"> Субвенции бюджетам городских  округов на составление (изменение) списков кандидатов в присяжные заседатели федеральных судов общей юрисдикции в Российской Федерации  (000 2 02 35120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</si>
  <si>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04 0000 150)</t>
  </si>
  <si>
    <t>Субвенции бюджетам городских округов на обеспечение жильем отдельных категорий граждан, установленных федеральным законом от 12 января 1995 года № 5-ФЗ "О ветеранах" (000 2 02 35135 04 0000 150)</t>
  </si>
  <si>
    <t>Субвенции бюджетам городских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04 0000 150)</t>
  </si>
  <si>
    <t>Субвенции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04 0000 150)</t>
  </si>
  <si>
    <t>Субвенции  бюджетам  городских  округов  на  государственную  регистрацию  актов  гражданского  состояния    (000 2 02 35930 04 0000 150)</t>
  </si>
  <si>
    <t>Межбюджетные трансферты, передаваемые бюджетам городских округов на реализацию программы комплексного развития молодежной политики в регионах Российской Федерации «Регион для молодых»  (000 2 02 45116 04 0000 150)</t>
  </si>
  <si>
    <t>Межбюджетные трансферты, передаваемые бюджетам городских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04 0000 150)</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</si>
  <si>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04 0000 150)</t>
  </si>
  <si>
    <t>Межбюджетные трансферты, передаваемые бюджетам городских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04 0000 150)</t>
  </si>
  <si>
    <t>Прочие межбюджетные трансферты, передаваемые бюджетам городских округов  (2 02 49999 04 0000 150)</t>
  </si>
  <si>
    <t>Прочие межбюджетные трансферты, передаваемые бюджетам поселений</t>
  </si>
  <si>
    <t>Получение  бюджетных  кредитов  от  других  бюджетов  бюджетной  системы  Российской  Федерации  бюджетами  городских  округов  ( 000 01 03 00 00 04 0000 700 )</t>
  </si>
  <si>
    <t>Получение  бюджетных  кредитов  от  других  бюджетов  бюджетной  системы  Российской  Федерации  бюджетами  поселений</t>
  </si>
  <si>
    <t>Погашение  бюджетных  кредитов,  полученных  от  других  бюджетов  бюджетной  системы  Российской  Федерации  бюджетами  городских  округов   (000 01 03 00 00 04 0000 800)</t>
  </si>
  <si>
    <t>Погашение  бюджетных  кредитов,  полученных  от  других  бюджетов  бюджетной  системы  Российской  Федерации  бюджетами  поселений</t>
  </si>
  <si>
    <t xml:space="preserve">Дотации  бюджетам  муниципальных  районов  на  выравнивание  бюджетной  обеспеченности из бюджета субъекта Российской Федерации  (000 2 02 15001 05 0000 150)  </t>
  </si>
  <si>
    <t>Дотации  бюджетам  сельских  поселений  на  выравнивание  бюджетной  обеспеченности   из бюджета субъекта Российской Федерации  (000 2 02 15001 10 0000 150)</t>
  </si>
  <si>
    <t>Дотации  бюджетам  городских  поселений  на  выравнивание  бюджетной  обеспеченности  из бюджета субъекта Российской Федерации  (000 2 02 15001 13 0000 150)</t>
  </si>
  <si>
    <t>Дотации  бюджетам  муниципальных  районов  на  поддержку  мер  по  обеспечению  сбалансированности  бюджетов  (000 2 02 15002 05 0000 150)</t>
  </si>
  <si>
    <t>Дотации  бюджетам  сельских  поселений  на  поддержку  мер  по  обеспечению  сбалансированности  бюджетов   (000 2 02 15002 10 0000 150)</t>
  </si>
  <si>
    <t xml:space="preserve">Дотации  бюджетам  городских  поселений  на  поддержку  мер  по  обеспечению  сбалансированности  бюджетов   (000 2 02 15002 13 0000 150) </t>
  </si>
  <si>
    <t>Дотации (гранты) бюджетам муниципальных районов за достижение показателей деятельности органов местного самоуправления  (000 2 02 16549 05 0000 150)</t>
  </si>
  <si>
    <t>Дотации (гранты) бюджетам сельских поселений за достижение показателей деятельности органов местного самоуправления  (000 2 02 16549 10 0000 150)</t>
  </si>
  <si>
    <t>Дотации (гранты) бюджетам городских поселений за достижение показателей деятельности органов местного самоуправления  (000 2 02 16549 13 0000 150)</t>
  </si>
  <si>
    <t xml:space="preserve">Субсидии бюджетам муниципальных районов на софинансирование капитальных вложений в объекты муниципальной собственности   (000 2 02 20077 05 0000 150)   </t>
  </si>
  <si>
    <t xml:space="preserve">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05 0000 150)  </t>
  </si>
  <si>
    <t xml:space="preserve">Субсидии бюджетам сельских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10 0000 150)  </t>
  </si>
  <si>
    <t xml:space="preserve">Субсидии бюджетам городских поселений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13 0000 150)  </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</si>
  <si>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</si>
  <si>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</si>
  <si>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13 0000 150)</t>
  </si>
  <si>
    <t>Субсидии бюджетам муниципальных районов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05 0000 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</si>
  <si>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05 0000 150)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</si>
  <si>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10 0000 150)</t>
  </si>
  <si>
    <t>Субсидии бюджетам городских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13 0000 150)</t>
  </si>
  <si>
    <t>Субсидии бюджетам муниципальных районов на обеспечение мероприятий по модернизации систем коммунальной инфраструктуры за счет средств бюджетов  (000 2 02 20303 05 0000 150)</t>
  </si>
  <si>
    <t>Субсидии бюджетам муниципальных районов на реализацию мероприятий по стимулированию программ развития жилищного строительства субъектов Российской Федерации   (000 2 02 25021 05 0000 150)</t>
  </si>
  <si>
    <t>Субсидии бюджетам сельских поселений на реализацию мероприятий по стимулированию программ развития жилищного строительства субъектов Российской Федерации      (000 2 02 25021 10 0000 150)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</si>
  <si>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     (000 2 02 25021 13 0000 150)</t>
  </si>
  <si>
    <t>Субсидии бюджетам муниципальных районов на реализацию мероприятий государственной программы Российской Федерации "Доступная среда"  (000 2 02 25027 05 0000 150)</t>
  </si>
  <si>
    <t>Субсидии бюджетам муниципальных районов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05 0000 150 )</t>
  </si>
  <si>
    <t>Субсидии бюджетам муниципальных районов на оснащение объектов спортивной инфраструктуры спортивно-технологическим оборудованием  (000 2 02 25228 05 0000 150)</t>
  </si>
  <si>
    <t>Субсидии бюджетам муниципальных районов на модернизацию инфраструктуры общего образования в отдельных субъектах Российской Федерации  (000 2 02 25239 05 0000 150)</t>
  </si>
  <si>
    <t>Субсидии бюджетам муниципальных районов на строительство и реконструкцию (модернизацию) объектов питьевого водоснабжения   (000 2 02 25243 05 0000 150)</t>
  </si>
  <si>
    <t>Субсидии бюджетам муниципальных районов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05 0000 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</si>
  <si>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10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</si>
  <si>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13 0000 150)</t>
  </si>
  <si>
    <t xml:space="preserve">Субсидии бюджетам муниципальных районов на создание школ креативных индустрий   (000 2 02 25353 05 0000 150) </t>
  </si>
  <si>
    <t xml:space="preserve">Субсидии бюджетам муниципальных районов на развитие транспортной инфраструктуры на сельских территориях   (000 2 02 25372 05 0000 150) </t>
  </si>
  <si>
    <t xml:space="preserve">Субсидии бюджетам муниципальных районов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05 0000 150) </t>
  </si>
  <si>
    <t xml:space="preserve">Субсидии бюджетам сельских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10 0000 150) </t>
  </si>
  <si>
    <t xml:space="preserve">Субсидии бюджетам городских поселений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13 0000 150) </t>
  </si>
  <si>
    <t xml:space="preserve">Субсидии бюджетам муниципальных районов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05 0000 150 ) </t>
  </si>
  <si>
    <t xml:space="preserve">Субсидии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05 0000 150) </t>
  </si>
  <si>
    <t>Субсидии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10 0000 150)</t>
  </si>
  <si>
    <t>Субсидии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13 0000 150)</t>
  </si>
  <si>
    <t xml:space="preserve">Субсидии бюджетам муниципальных районов на создание виртуальных концертных залов  (ООО 2 02 25453 05 0000 150 ) </t>
  </si>
  <si>
    <t xml:space="preserve">Субсидии бюджетам муниципальных районов на создание модельных муниципальных библиотек  (ООО 2 02 25454 05 0000 150 ) </t>
  </si>
  <si>
    <t xml:space="preserve">Субсидии бюджетам муниципальных районов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05 0000 150) </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</si>
  <si>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      ( 000 2 02 25467 05 0000 150 )</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</si>
  <si>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10 0000 150 )</t>
  </si>
  <si>
    <t>Субсидии бюджетам городских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      ( 000 2 02 25467 13 0000 150 )</t>
  </si>
  <si>
    <t>Субсидии бюджетам муниципальных районов на проведение комплексных кадастровых работ  ( 000 2 02 25511 05 0000 150 )</t>
  </si>
  <si>
    <t>Субсидии бюджетам сельских поселений на проведение комплексных кадастровых работ  ( 000 2 02 25511 10 0000 150 )</t>
  </si>
  <si>
    <t>Субсидии бюджетам городских поселений на проведение комплексных кадастровых работ  ( 000 2 02 25511 13 0000 150 )</t>
  </si>
  <si>
    <t>Субсидии бюджетам муниципальных районов на развитие сети учреждений культурно-досугового типа  (000 2 02 25513 05 0000 150 )</t>
  </si>
  <si>
    <t>Субсидия бюджетам сельских поселений на развитие сети учреждений культурно-досугового типа   (000 2 02 25513 10 0000 150 )</t>
  </si>
  <si>
    <t>Субсидия бюджетам городских поселений на развитие сети учреждений культурно-досугового типа   (000 2 02 25513 13 0000 150 )</t>
  </si>
  <si>
    <t>Субсидия бюджетам муниципальных районов на поддержку отрасли культуры    ( 000 2 02 25519 05 0000 150 )</t>
  </si>
  <si>
    <t>Субсидия бюджетам сельских поселений на поддержку отрасли культуры    (000 2 02 25519 10 0000 150)</t>
  </si>
  <si>
    <t>Субсидия бюджетам городских поселений на поддержку отрасли культуры    (000 2 02 25519 13 0000 150)</t>
  </si>
  <si>
    <t>Субсидии бюджетам муниципальных районов на реализацию мероприятий по содействию созданию в субъектах Российской Федерации новых мест в общеобразовательных организациях   ( 000 2 02 25520 05 0000 150 )</t>
  </si>
  <si>
    <t>Субсидии бюджетам муниципальных районов на реализацию программ формирования современной городской среды   ( 000 2 02 25555 05 0000 150 )</t>
  </si>
  <si>
    <t>Субсидии бюджетам сельских поселений на реализацию программ формирования современной городской среды   ( 000 2 02 25555 10 0000 150 )</t>
  </si>
  <si>
    <t>Субсидии бюджетам городских поселений на реализацию программ формирования современной городской среды   ( 000 2 02 25555 13 0000 150 )</t>
  </si>
  <si>
    <t>Субсидии бюджетам муниципальных районов на обеспечение комплексного развития сельских территорий  (000 2 02 25576 05 0000 150)</t>
  </si>
  <si>
    <t>Субсидии бюджетам сельских поселений на обеспечение комплексного развития сельских территорий  (000 2 02 25576 10 0000 150)</t>
  </si>
  <si>
    <t>Субсидии бюджетам городских поселений на обеспечение комплексного развития сельских территорий  (000 2 02 25576 13 0000 150)</t>
  </si>
  <si>
    <t xml:space="preserve">Субсидии бюджетам муниципальных районов на оснащение региональных и муниципальных театров   (000 2 02 25584 05 0000 150) </t>
  </si>
  <si>
    <t xml:space="preserve">Субсидии бюджетам муниципальных районов на техническое оснащение муниципальных музеев   (000 2 02 25590 05 0000 150) </t>
  </si>
  <si>
    <t xml:space="preserve">Субсидии бюджетам сельских поселений на техническое оснащение муниципальных музеев (000 2 02 25590 10 0000 150) </t>
  </si>
  <si>
    <t xml:space="preserve">Субсидии бюджетам городских поселений на техническое оснащение муниципальных музеев  (000 2 02 25590 13 0000 150) </t>
  </si>
  <si>
    <t>Субсидии бюджетам муниципальных районов на реконструкцию и капитальный ремонт муниципальных музеев  (000 2 02 25597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</si>
  <si>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05 0000 150)</t>
  </si>
  <si>
    <t>Субсидии бюджетам сельских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10 0000 150)</t>
  </si>
  <si>
    <t>Субсидии бюджетам городских поселений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13 0000 150)</t>
  </si>
  <si>
    <t>Прочие  субсидии  бюджетам  муниципальных  районов      ( 000 2 02 29999 05 0000 150 )</t>
  </si>
  <si>
    <t>Прочие  субсидии  бюджетам  сельских  поселений  (000 2 02 29999 10 0000 150)</t>
  </si>
  <si>
    <t>Прочие  субсидии  бюджетам  городских  поселений  (000 2 02 29999 13 0000 150)</t>
  </si>
  <si>
    <t>Субвенции бюджетам муниципальных районов на выполнение передаваемых полномочий субъектов  Российской  Федерации  (000 2 02 30024 05 0000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</si>
  <si>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(000 2 02 30027 05 0000 150)</t>
  </si>
  <si>
    <t xml:space="preserve"> 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   (000 2 02 35120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</si>
  <si>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05 0000 150)</t>
  </si>
  <si>
    <t>Субвенции бюджетам муниципальных районов на обеспечение жильем отдельных категорий граждан, установленных федеральным законом от 12 января 1995 года № 5-ФЗ "О ветеранах"  (000 2 02 35135 05 0000 150)</t>
  </si>
  <si>
    <t>Субвенции бюджетам муниципальных районов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05 0000 150)</t>
  </si>
  <si>
    <t>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05 0000 150)</t>
  </si>
  <si>
    <t>Субвенции  бюджетам  муниципальных  районов  на  государственную  регистрацию  актов  гражданского  состояния (000 2 02 35930 05 0000 150)</t>
  </si>
  <si>
    <t>Межбюджетные трансферты, передаваемые бюджетам муниципальных районов на реализацию программы комплексного развития молодежной политики в регионах Российской Федерации «Регион для молодых»  (000 2 02 45116 05 0000 150)</t>
  </si>
  <si>
    <t>Межбюджетные трансферты, передаваемые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05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</si>
  <si>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05 0000 150)</t>
  </si>
  <si>
    <t>Межбюджетные трансферты, передаваемые бюджетам муниципальных районов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05 0000 150)</t>
  </si>
  <si>
    <t>Межбюджетные трансферты, передаваемые бюджетам сельских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10 0000 150)</t>
  </si>
  <si>
    <t>Межбюджетные трансферты, передаваемые бюджетам городских поселений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13 0000 150)</t>
  </si>
  <si>
    <t>Прочие межбюджетные трансферты, передаваемые бюджетам муниципальных районов  (2 02 49999 05 0000 150)</t>
  </si>
  <si>
    <t>Прочие межбюджетные трансферты, передаваемые бюджетам сельских поселений  (2 02 49999 10 0000 150)</t>
  </si>
  <si>
    <t>Прочие межбюджетные трансферты, передаваемые бюджетам городских поселений  (2 02 49999 13 0000 150)</t>
  </si>
  <si>
    <t>Получение  бюджетных  кредитов  от  других  бюджетов  бюджетной  системы  Российской  Федерации  бюджетами  муниципальных  районов  ( 000 01 03 00 00 05 0000 700 )</t>
  </si>
  <si>
    <t>Получение  бюджетных  кредитов  от  других  бюджетов  бюджетной  системы  Российской  Федерации  бюджетами  сельских  поселений  (000 01 03 00 00 10 0000 700)</t>
  </si>
  <si>
    <t>Получение  бюджетных  кредитов  от  других  бюджетов  бюджетной  системы  Российской  Федерации  бюджетами  городских  поселений  (000 01 03 00 00 13 0000 700)</t>
  </si>
  <si>
    <t>Погашение  бюджетных  кредитов,  полученных  от  других  бюджетов  бюджетной  системы  Российской  Федерации  бюджетами  муниципальных  районов  (000 01 03 00 00 05 0000 800)</t>
  </si>
  <si>
    <t>Погашение  бюджетных  кредитов,  полученных  от  других  бюджетов  бюджетной  системы  Российской  Федерации  бюджетами  сельских  поселений   (000 01 03 00 00 10 0000 800)</t>
  </si>
  <si>
    <t>Погашение  бюджетных  кредитов,  полученных  от  других  бюджетов  бюджетной  системы  Российской  Федерации  бюджетами  городских  поселений   (000 01 03 00 00 13 0000 800)</t>
  </si>
  <si>
    <t xml:space="preserve">Дотации  бюджетам  муниципальных  округов  на  выравнивание  бюджетной  обеспеченности из бюджета субъекта Российской Федерации  (000 2 02 15001 14 0000 150)  </t>
  </si>
  <si>
    <t>Дотации  бюджетам  муниципальных  округов  на  поддержку  мер  по  обеспечению  сбалансированности  бюджетов  (000 2 02 15002 14 0000 150)</t>
  </si>
  <si>
    <t>Дотации (гранты) бюджетам муниципальных округов за достижение показателей деятельности органов местного самоуправления  (000 2 02 16549 14 0000 150)</t>
  </si>
  <si>
    <t xml:space="preserve">Субсидии бюджетам муниципальных округов на софинансирование капитальных вложений в объекты муниципальной собственности   (000 2 02 20077 14 0000 150)   </t>
  </si>
  <si>
    <t xml:space="preserve">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(000 2 02 20216 14 0000 150)  </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</si>
  <si>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  (000 2 02 20299 14 0000 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</si>
  <si>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  (000 2 02 20300 14 0000 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</si>
  <si>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(000 2 02 20302 14 0000 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</si>
  <si>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  (000 2 02 20303 14 0000 150)</t>
  </si>
  <si>
    <t>Субсидии бюджетам муниципальных округов на реализацию мероприятий по стимулированию программ развития жилищного строительства субъектов Российской Федерации   (000 2 02 25021 14 0000 150)</t>
  </si>
  <si>
    <t>Субсидии бюджетам муниципальных округов на реализацию мероприятий государственной программы Российской Федерации "Доступная среда"  (000 2 02 25027 14 0000 150)</t>
  </si>
  <si>
    <t>Субсидии бюджетам муниципальных округов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общеобразовательных организациях  (000 2 02 25098 14 0000 150 )</t>
  </si>
  <si>
    <t>Субсидии бюджетам муниципальных округов на оснащение объектов спортивной инфраструктуры спортивно-технологическим оборудованием  (000 2 02 25228 14 0000 150)</t>
  </si>
  <si>
    <t>Субсидии бюджетам муниципальных округов на модернизацию инфраструктуры общего образования в отдельных субъектах Российской Федерации  (000 2 02 25239 14 0000 150)</t>
  </si>
  <si>
    <t>Субсидии бюджетам муниципальных округов на строительство и реконструкцию (модернизацию) объектов питьевого водоснабжения   (000 2 02 25243 14 0000 150)</t>
  </si>
  <si>
    <t>Субсидии бюджетам муниципальных округов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     (000 2 02 25299 14 0000 150)</t>
  </si>
  <si>
    <t xml:space="preserve">Субсидии бюджетам муниципальных округов на создание школ креативных индустрий   (000 2 02 25353 14 0000 150) </t>
  </si>
  <si>
    <t xml:space="preserve">Субсидии бюджетам муниципальных округов на развитие транспортной инфраструктуры на сельских территориях   (000 2 02 25372 14 0000 150) </t>
  </si>
  <si>
    <t xml:space="preserve">Субсидии бюджетам муниципальных округов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(000 2 02 25394 14 0000 150) </t>
  </si>
  <si>
    <t xml:space="preserve">Субсидии бюджетам муниципальных округов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(000 2 02 25401 14 0000 150 ) </t>
  </si>
  <si>
    <t xml:space="preserve">Субсидии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25424 14 0000 150) </t>
  </si>
  <si>
    <t xml:space="preserve">Субсидии бюджетам муниципальных округов на создание виртуальных концертных залов  (ООО 2 02 25453 14 0000 150 ) </t>
  </si>
  <si>
    <t xml:space="preserve">Субсидии бюджетам муниципальных округов на создание модельных муниципальных библиотек  (ООО 2 02 25454 14 0000 150 ) </t>
  </si>
  <si>
    <t xml:space="preserve">Субсидии бюджетам муниципальных округов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(000 2 02 25466 14 0000 150) </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</si>
  <si>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      ( 000 2 02 25467 14 0000 150 )</t>
  </si>
  <si>
    <t>Субсидии бюджетам муниципальных округов на проведение комплексных кадастровых работ  ( 000 2 02 25511 14 0000 150 )</t>
  </si>
  <si>
    <t>Субсидии бюджетам муниципальных округов на развитие сети учреждений культурно-досугового типа  (000 2 02 25513 14 0000 150 )</t>
  </si>
  <si>
    <t>Субсидия бюджетам муниципальных округов на поддержку отрасли культуры    ( 000 2 02 25519 14 0000 150 )</t>
  </si>
  <si>
    <t>Субсидии бюджетам муниципальных округов на реализацию мероприятий по содействию созданию в субъектах Российской Федерации новых мест в общеобразовательных организациях   ( 000 2 02 25520 14 0000 150 )</t>
  </si>
  <si>
    <t>Субсидии бюджетам муниципальных округов на реализацию программ формирования современной городской среды   ( 000 2 02 25555 14 0000 150 )</t>
  </si>
  <si>
    <t>Субсидии бюджетам муниципальных округов на обеспечение комплексного развития сельских территорий  (000 2 02 25576 14 0000 150)</t>
  </si>
  <si>
    <t xml:space="preserve">Субсидии бюджетам муниципальных округов на оснащение региональных и муниципальных театров   (000 2 02 25584 14 0000 150) </t>
  </si>
  <si>
    <t xml:space="preserve">Субсидии бюджетам муниципальных округов на техническое оснащение муниципальных музеев   (000 2 02 25590 14 0000 150) </t>
  </si>
  <si>
    <t>Субсидии бюджетам муниципальных округов на реконструкцию и капитальный ремонт муниципальных музеев  (000 2 02 25597 14 0000 150)</t>
  </si>
  <si>
    <t>Субсидии бюджетам муниципальных округов на реализацию мероприятий по модернизации школьных систем образования  (000 2 02 25750 14 0000 150)</t>
  </si>
  <si>
    <t>Субсидии бюджетам муниципальных округов на софинансирование закупки оборудования для создания «умных» спортивных площадок  (000 2 02 25753 14 0000 150)</t>
  </si>
  <si>
    <t>Субсидии бюджетам муниципальных округов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  (000 2 02 27576 14 0000 150)</t>
  </si>
  <si>
    <t>Прочие  субсидии  бюджетам  муниципальных  округов   ( 000 2 02 29999 14 0000 150 )</t>
  </si>
  <si>
    <t>Субвенции бюджетам муниципальных округов на выполнение передаваемых полномочий субъектов  Российской  Федерации  (000 2 02 30024 14 0000 150)</t>
  </si>
  <si>
    <t>Субвенции бюджетам муниципальных округов на содержание ребенка в семье опекуна и приемной семье, а также вознаграждение, причитающееся приемному родителю       (000 2 02 30027 14 0000 150)</t>
  </si>
  <si>
    <t xml:space="preserve"> Субвенции бюджетам муниципальных округов на составление (изменение) списков кандидатов в присяжные заседатели федеральных судов общей юрисдикции в Российской Федерации   (000 2 02 35120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</si>
  <si>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(000 2 02 35134 14 0000 150)</t>
  </si>
  <si>
    <t>Субвенции бюджетам муниципальных округов на обеспечение жильем отдельных категорий граждан, установленных федеральным законом от 12 января 1995 года № 5-ФЗ "О ветеранах"  (000 2 02 35135 14 0000 150)</t>
  </si>
  <si>
    <t>Субвенции бюджетам муниципальных округов на 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    (000 2 02 35176 14 0000 150)</t>
  </si>
  <si>
    <t>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(000 2 02 35304 14 0000 150)</t>
  </si>
  <si>
    <t>Субвенции  бюджетам  муниципальных  округов  на  государственную  регистрацию  актов  гражданского  состояния (000 2 02 35930 14 0000 150)</t>
  </si>
  <si>
    <t>Межбюджетные трансферты, передаваемые бюджетам муниципальных округов на реализацию программы комплексного развития молодежной политики в регионах Российской Федерации «Регион для молодых»  (000 2 02 45116 14 0000 150)</t>
  </si>
  <si>
    <t>Межбюджетные трансферты, передаваемые бюджетам муниципальных округов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(000 2 02 45179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</si>
  <si>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(000 2 02 45303 14 0000 150)</t>
  </si>
  <si>
    <t>Межбюджетные трансферты, передаваемые бюджетам муниципальных округов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(000 2 02 45424 14 0000 150)</t>
  </si>
  <si>
    <t>Прочие межбюджетные трансферты, передаваемые бюджетам муниципальных округов  (2 02 49999 14 0000 150)</t>
  </si>
  <si>
    <t>Получение  бюджетных  кредитов  от  других  бюджетов  бюджетной  системы  Российской  Федерации  бюджетами  муниципальных  округов  ( 000 01 03 00 00 14 0000 700 )</t>
  </si>
  <si>
    <t>Погашение  бюджетных  кредитов,  полученных  от  других  бюджетов  бюджетной  системы  Российской  Федерации  бюджетами  муниципальных  округов  (000 01 03 00 00 14 0000 800)</t>
  </si>
  <si>
    <t>09 3 01 86010 - бюдж. Инвест.</t>
  </si>
  <si>
    <t>09 1 F1 50212 - обл</t>
  </si>
  <si>
    <t>09 1 F1 50212 - фед</t>
  </si>
  <si>
    <t>09 1 F1 50213 - обл</t>
  </si>
  <si>
    <t>09 1 F1 50213 - фед</t>
  </si>
  <si>
    <t>09 1 F1 50214 - обл</t>
  </si>
  <si>
    <t>09 1 F1 50214 - фед</t>
  </si>
  <si>
    <t>04 1 Е2 50980 - обл</t>
  </si>
  <si>
    <t>04 1 Е2 50980 - фед</t>
  </si>
  <si>
    <t>03 1 Р5 52281</t>
  </si>
  <si>
    <t>03 1 Р5 52281 - фед</t>
  </si>
  <si>
    <t>04 1 E1 А2390</t>
  </si>
  <si>
    <t>04 1 Е1 52390 - обл</t>
  </si>
  <si>
    <t>04 1 Е1 52390 - фед</t>
  </si>
  <si>
    <t>06 1 F5 52432 - обл</t>
  </si>
  <si>
    <t>06 1 F5 52432 - фед</t>
  </si>
  <si>
    <t>20 4 02 R2991 - обл</t>
  </si>
  <si>
    <t>20 4 02 R2991 - фед</t>
  </si>
  <si>
    <t>05 4 02 R3530 - фед</t>
  </si>
  <si>
    <t>07 2 03 R3722 - фед</t>
  </si>
  <si>
    <t>08 1 R1 53940 - обл</t>
  </si>
  <si>
    <t>08 1 R1 53940 - фед</t>
  </si>
  <si>
    <t xml:space="preserve">08 1 R1 А3944 </t>
  </si>
  <si>
    <t>08 1 R7 54010 - обл</t>
  </si>
  <si>
    <t>08 1 R7 54010 - фед</t>
  </si>
  <si>
    <t>06 1 F2 54240 - обл</t>
  </si>
  <si>
    <t>06 1 F2 54240 - фед</t>
  </si>
  <si>
    <t>05 1 A3 54530 - обл</t>
  </si>
  <si>
    <t>05 1 A3 54530 - фед</t>
  </si>
  <si>
    <t>05 1 A1 54540 - обл</t>
  </si>
  <si>
    <t>05 1 A1 54540 - фед</t>
  </si>
  <si>
    <t>05 4 02 R4660 - обл</t>
  </si>
  <si>
    <t>05 4 02 R4660 - фед</t>
  </si>
  <si>
    <t>05 4 02 R4670 - обл</t>
  </si>
  <si>
    <t>05 4 02 R4670 - фед</t>
  </si>
  <si>
    <t>17 2 05 R5990 - обл</t>
  </si>
  <si>
    <t>17 2 05 R5990- фед</t>
  </si>
  <si>
    <t>19 4 01 R5110 - обл</t>
  </si>
  <si>
    <t>19 4 01 R5110- фед</t>
  </si>
  <si>
    <t>05 1 A1 55131 - обл</t>
  </si>
  <si>
    <t>05 1 A1 55131 - фед</t>
  </si>
  <si>
    <t>05 1 A1 55198 - обл</t>
  </si>
  <si>
    <t>05 1 A1 55198 - фед</t>
  </si>
  <si>
    <t>05 1 A1 5519Б - обл</t>
  </si>
  <si>
    <t>05 1 A1 5519Б - фед</t>
  </si>
  <si>
    <t>05 4 02 R5191 - обл</t>
  </si>
  <si>
    <t>05 4 02 R5191 - фед</t>
  </si>
  <si>
    <t>04 1 E1 55200 - фед</t>
  </si>
  <si>
    <t>06 1 F2 55550 - обл</t>
  </si>
  <si>
    <t>06 1 F2 55550 - фед</t>
  </si>
  <si>
    <t xml:space="preserve">06 1 F2 A5551 </t>
  </si>
  <si>
    <t>план</t>
  </si>
  <si>
    <t>07 2 02 R5763 - фед</t>
  </si>
  <si>
    <t>05 1 А1 55840  - обл</t>
  </si>
  <si>
    <t>05 1 А1 55840  - фед</t>
  </si>
  <si>
    <t>05 1 A1 55900  - обл</t>
  </si>
  <si>
    <t>05 1 A1 55900  - фед</t>
  </si>
  <si>
    <t>05 1 A1 55970 - обл</t>
  </si>
  <si>
    <t>05 1 A1 55970 - фед</t>
  </si>
  <si>
    <t>04 2 01 А7500</t>
  </si>
  <si>
    <t>03 2 01 R7530 - обл</t>
  </si>
  <si>
    <t>03 2 01 R7530 - фед</t>
  </si>
  <si>
    <t>07 2 01 R5762</t>
  </si>
  <si>
    <t>07 2 01 R5762 - фед</t>
  </si>
  <si>
    <t>07 2 04 R5766 - фед</t>
  </si>
  <si>
    <t>01 4 03 R3040</t>
  </si>
  <si>
    <t>01 4 03 R3040 - фед</t>
  </si>
  <si>
    <t>05 4 04 85020</t>
  </si>
  <si>
    <t>05 4 04 59300</t>
  </si>
  <si>
    <t xml:space="preserve"> 20 1 EВ 51790</t>
  </si>
  <si>
    <t>план  погашения  КБ</t>
  </si>
  <si>
    <t>факт  погашения  КБ</t>
  </si>
  <si>
    <t>Целевые  статьи  21 4 03 80010, 21 4 03 80020</t>
  </si>
  <si>
    <t>Целевая  статья  21 4 03 80030</t>
  </si>
  <si>
    <t>Целевые  статьи  21 4 03 80050,  21 4 03 80060,  21 4 03 80080</t>
  </si>
  <si>
    <t>Целевые  статьи  21 4 03 80040,  21 4 03 80070</t>
  </si>
  <si>
    <t>Целевые  статьи  06 2 01 86390,  09 3 01 86010  в  части  бюджетных  инвестиций (ВР 522)</t>
  </si>
  <si>
    <t>Целевая  статья  08 3 01 86030</t>
  </si>
  <si>
    <t>Целевая  статья  06 1 F3 67484</t>
  </si>
  <si>
    <t>Целевые  статьи  06 2 01 09606,  06 2 01 09607</t>
  </si>
  <si>
    <t>Целевые  статьи  09 1 F1 50212,   09 1 F1 50213,  09 1 F1 50214</t>
  </si>
  <si>
    <t>Целевые  статьи  01 4 05 86130,  01 4 05 86310,  01 4 05 86430</t>
  </si>
  <si>
    <t>Целевая  статья  04 1 Е2 50980</t>
  </si>
  <si>
    <t>Целевая  статья  03 1 Р5 52281</t>
  </si>
  <si>
    <t>Целевые  статьи  04 1 Е1 52390,  04 1 E1 А2390</t>
  </si>
  <si>
    <t xml:space="preserve">Целевые  статьи  08 1 R1 53940,  08 1 R1 А3944 </t>
  </si>
  <si>
    <t>Целевая  статья  05 4 02 R4660</t>
  </si>
  <si>
    <t>Целевая  статья  05 4 02 R4670</t>
  </si>
  <si>
    <t>Целевые  статьи  17 2 05 R5990,  19 4 01 R5110</t>
  </si>
  <si>
    <t>Целевые  статьи  05 1 A1 55131,  05 1 A1 Д5131</t>
  </si>
  <si>
    <t xml:space="preserve">Целевые  статьи  05 1 A1 55198,  05 1 A1 5519Б,  05 1 A1 Д5195,  05 4 02 R5191  </t>
  </si>
  <si>
    <t>Целевые  статьи  04 1 E1 55200, 04 1 E1 Д5200</t>
  </si>
  <si>
    <t xml:space="preserve">Целевые  статьи 06 1 F2 55550,  06 1 F2 A5551 </t>
  </si>
  <si>
    <t>Целевые  статьи  03 1 P5 86820,  03 4 01 86440,  03 4 01 86820,  04 2 01 86890,  04 2 01 86920,  04 4 02 86560,  04 4 02 86880,  04 4 04 86910,  05 1 A2 86280,  06 2 01 86120,  06 2 01 97020,  06 4 01 86490,  08 4 01 86070,  08 4 01 86230,  09 2 01 98010,  09 3 01 86010,  10 4 01 86080,  10 4 01 86180,  11 3 02 86210,  11 3 02 86380,  14 4 01 86160,  15 4 01 86060,  15 4 01 86860,  19 4 01 86470,  19 4 02 86790,  20 4 01 86670,  20 4 02 86650,  20 4 03 86630</t>
  </si>
  <si>
    <t>Целевые  статьи   05 1 A2 86280,  08 4 01 86070,  09 2 01 98010,  09 3 01 86010,  10 4 01 86080,  11 3 02 86210, 11 3 02 86380,  19 4 02 86790,  20 4 02 86650,  20 4 03 86630</t>
  </si>
  <si>
    <t>Целевые  статьи  01 4 01 85190,  01 4 01 85251,  01 4 01 85252,  01 4 03 85080,  01 4 03 85130,  01 4 03 85440,  01 4 03 85460,  01 4 03 85450,  04 4 02 85090,  04 4 02 85160,  04 4 02 85350,  04 4 02 85420,  05 4 04 85060,  09 4 01 85010,  13 4 01 85070,  17 4 03 85170,  17 4 03 85210,  18 4 03 85340,  99 9 00 85270</t>
  </si>
  <si>
    <t>Целевая  статья  01 4 03 85430</t>
  </si>
  <si>
    <t>Целевые  статьи  05 4 04 85020  (областные),  05 4 04 59300  (федеральные)</t>
  </si>
  <si>
    <t>Целевая  статья  06 1 F2 А4240</t>
  </si>
  <si>
    <t>Целевые  статьи  03 2 01 87090,  04 2 01 87080,  06 4 03 87070,  08 4 02 87110,  08 4 02 97060,  09 3 01 87130,  21 3 01 80090,  99 9 00 55491,  99 9 00 87100,  99 9 00 87120</t>
  </si>
  <si>
    <t>города</t>
  </si>
  <si>
    <t>район</t>
  </si>
  <si>
    <t>Закон  Липецкой  области  от  31  августа  2004  года  № 120-ОЗ  "О  наделении  органов  местного  самоуправления  отдельными  государственными  полномочиями  в  сфере  деятельности  административных  комиссий  и  производства  по  делам  об  административных  правонарушениях"</t>
  </si>
  <si>
    <t>06 2 01 97010</t>
  </si>
  <si>
    <t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t>
  </si>
  <si>
    <t>06 2 01 97010 - казнач. Кредит</t>
  </si>
  <si>
    <t xml:space="preserve">Субсидии бюджетам поселений на развитие транспортной инфраструктуры на сельских территориях  </t>
  </si>
  <si>
    <t xml:space="preserve">Субсидии бюджетам сельских поселений на развитие транспортной инфраструктуры на сельских территориях   (000 2 02 25372 10 0000 150) </t>
  </si>
  <si>
    <t xml:space="preserve">Субсидии бюджетам городских поселений на развитие транспортной инфраструктуры на сельских территориях   (000 2 02 25372 13 0000 150) </t>
  </si>
  <si>
    <t>годовой  план  целевых  средств</t>
  </si>
  <si>
    <t>консолидированный  бюджет</t>
  </si>
  <si>
    <t>городские  поселения</t>
  </si>
  <si>
    <t>сельские  поселения</t>
  </si>
  <si>
    <t>районы  и  города</t>
  </si>
  <si>
    <t xml:space="preserve">Субсидии бюджетам поселений на создание виртуальных концертных залов </t>
  </si>
  <si>
    <t xml:space="preserve">Субсидии бюджетам сельских поселений на создание виртуальных концертных залов  (ООО 2 02 25453 10 0000 150 ) </t>
  </si>
  <si>
    <t xml:space="preserve">Субсидии бюджетам городских поселений на создание виртуальных концертных залов  (ООО 2 02 25453 13 0000 150 ) </t>
  </si>
  <si>
    <t>Целевые  статьи  06 2 01 09506,  06 2 01 09507</t>
  </si>
  <si>
    <t>06 2 01 09506</t>
  </si>
  <si>
    <t>Целевая  статья  06 2 01 09506</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</si>
  <si>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</si>
  <si>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t>
  </si>
  <si>
    <t xml:space="preserve">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</si>
  <si>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(ЦС  06 2 01 09506)</t>
  </si>
  <si>
    <t>Воловский округ</t>
  </si>
  <si>
    <t>Добровский округ</t>
  </si>
  <si>
    <t>Измалковский округ</t>
  </si>
  <si>
    <t>Становлянский округ</t>
  </si>
  <si>
    <t>Грязинский район</t>
  </si>
  <si>
    <t>Данковский район</t>
  </si>
  <si>
    <t>Добринский район</t>
  </si>
  <si>
    <t>Долгоруковский район</t>
  </si>
  <si>
    <t>Елецкий район</t>
  </si>
  <si>
    <t>Задонский район</t>
  </si>
  <si>
    <t>Краснинский район</t>
  </si>
  <si>
    <t>Лебедянский район</t>
  </si>
  <si>
    <t>Лев-Толстовский район</t>
  </si>
  <si>
    <t>Липецкий район</t>
  </si>
  <si>
    <t>Тербунский район</t>
  </si>
  <si>
    <t>Усманский район</t>
  </si>
  <si>
    <t>Хлевенский район</t>
  </si>
  <si>
    <t>Чаплыгинский район</t>
  </si>
  <si>
    <t>Город Елец</t>
  </si>
  <si>
    <t>Город Липецк</t>
  </si>
  <si>
    <t>Измалковский муниципальный округ</t>
  </si>
  <si>
    <t>Целевые  статьи  07 2 02 R5763,  07 2 04 R5766  в  части  строительства  ледовой  арены  в  Добровском  муниципальном  округе</t>
  </si>
  <si>
    <t>Код ведомства</t>
  </si>
  <si>
    <t>2130180090</t>
  </si>
  <si>
    <t>019</t>
  </si>
  <si>
    <t>035</t>
  </si>
  <si>
    <t>043</t>
  </si>
  <si>
    <t>046</t>
  </si>
  <si>
    <t>1402</t>
  </si>
  <si>
    <t>90001МО</t>
  </si>
  <si>
    <t>90005МО</t>
  </si>
  <si>
    <t>90014МО</t>
  </si>
  <si>
    <t>90003004</t>
  </si>
  <si>
    <t>Данковский, Березовский</t>
  </si>
  <si>
    <t>90003022</t>
  </si>
  <si>
    <t>Данковский, Ягодновский</t>
  </si>
  <si>
    <t>90004018</t>
  </si>
  <si>
    <t>Добринский, Талицкий</t>
  </si>
  <si>
    <t>90007012</t>
  </si>
  <si>
    <t>Елец, Пищулинский</t>
  </si>
  <si>
    <t>90008008</t>
  </si>
  <si>
    <t>Задонск, Каменский</t>
  </si>
  <si>
    <t>90011015</t>
  </si>
  <si>
    <t>Лебедянь,Шовский</t>
  </si>
  <si>
    <t>90012008</t>
  </si>
  <si>
    <t>Лев-Толстой,Октябрьский</t>
  </si>
  <si>
    <t>90015003</t>
  </si>
  <si>
    <t>Тербунский, Борковский</t>
  </si>
  <si>
    <t>90015010</t>
  </si>
  <si>
    <t>Тербунский, Новосильский</t>
  </si>
  <si>
    <t>90018001</t>
  </si>
  <si>
    <t>Чаплыгинский, Братовский</t>
  </si>
  <si>
    <t>90018007</t>
  </si>
  <si>
    <t>Чаплыгинский, Зенкинский</t>
  </si>
  <si>
    <t>90018012</t>
  </si>
  <si>
    <t>Чаплыгинский, Лозовский</t>
  </si>
  <si>
    <t>04 2 01 R7501 - обл</t>
  </si>
  <si>
    <t>04 2 01 R7501 - фед</t>
  </si>
  <si>
    <t>Целевые  статьи  04 2 01 R7501,  04 2 01 А7500</t>
  </si>
  <si>
    <t>Целевая  статья  04 2 01 R7501</t>
  </si>
  <si>
    <t>6. Реализация мероприятий по модернизации школьных систем образования (с однолетним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  (ЦС  04 2 01 R7501)</t>
  </si>
  <si>
    <t xml:space="preserve">04 2 01 R7501 </t>
  </si>
  <si>
    <t>Реализация мероприятий по модернизации школьных систем образования (с однолетним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</si>
  <si>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04 2 01 R7502</t>
  </si>
  <si>
    <t>Реализация мероприятий по модернизации школьных систем образования (с двухлетним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t>
  </si>
  <si>
    <t>0203</t>
  </si>
  <si>
    <t>99 9 00 51180</t>
  </si>
  <si>
    <t>Осуществление первичного воинского учета органами местного самоуправления поселений, муниципальных и городских округов</t>
  </si>
  <si>
    <t>1003</t>
  </si>
  <si>
    <t>01 4 01 51340</t>
  </si>
  <si>
    <t>Социальное обеспечение населения</t>
  </si>
  <si>
    <t>Мобилизационная и вневойсковая подготовка</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</si>
  <si>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</si>
  <si>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04 4 02 50500 </t>
  </si>
  <si>
    <t>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t>
  </si>
  <si>
    <t>2.  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и совершенствование системы общего и дополнительного образования" государственной программы Липецкой области "Развитие образования Липецкой области"  (ЦС  04 4 02 53030)</t>
  </si>
  <si>
    <t>3.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регионального проекта "Патриотическое воспитание граждан Российской Федерации" государственной программы Липецкой области "Реализация внутренней политики Липецкой области"  (ЦС  20 1 EВ 51790)</t>
  </si>
  <si>
    <t>4.  Реализация программы комплексного развития молодежной политики "Регион для молодых" в Липецкой области в рамках регионального проекта "Развитие системы поддержки молодежи ("Молодежь России")" государственной программы Липецкой области «Реализация внутренней политики Липецкой области»   (ЦС  20 1 EГ 51160)</t>
  </si>
  <si>
    <t>1.  Ежемесячное денежное вознаграждение советникам директоров по воспитанию и взаимодействию с детскими общественными объединениями областных государственных общеобразовательных организаций, областных профессиональных образовательных организаций, муниципальных общеобразовательных организаций в рамках комплекса процессных мероприятий "Развитие и совершенствование системы дошкольного, общего и дополнительного образования" государственной программы Липецкой области "Развитие образования Липецкой области"  (ЦС  04 4 02 50500)</t>
  </si>
  <si>
    <t xml:space="preserve">Целевая  статья  04 4 02 50500 </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</si>
  <si>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00 0000 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</si>
  <si>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04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</si>
  <si>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05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</si>
  <si>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(000 2 02 45050 14 0000 150)</t>
  </si>
  <si>
    <t>Целевая  статья  07 2 01 R5764</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</si>
  <si>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</si>
  <si>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23.  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(ЦС  07 2 01 R5764)</t>
  </si>
  <si>
    <t xml:space="preserve">07 2 01 R5764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</si>
  <si>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t>
  </si>
  <si>
    <t>Целевые  статьи  07 2 01 R5762,  07 2 01 R5764,  07 2 04 R5766</t>
  </si>
  <si>
    <t>07 2 01 R5764</t>
  </si>
  <si>
    <t>07 2 01 R5764 - фед</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</si>
  <si>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t>
  </si>
  <si>
    <t xml:space="preserve"> публично-правовая компания "Фонд развития территорий"  </t>
  </si>
  <si>
    <t>90009МО</t>
  </si>
  <si>
    <t>90004008</t>
  </si>
  <si>
    <t>90004015</t>
  </si>
  <si>
    <t>90013012</t>
  </si>
  <si>
    <t>90016017</t>
  </si>
  <si>
    <t>Добринский, Дуровский</t>
  </si>
  <si>
    <t>Добринский, Пушкинский</t>
  </si>
  <si>
    <t>Липецкий, Лубновский</t>
  </si>
  <si>
    <t>Усманский, Пластинский</t>
  </si>
  <si>
    <t xml:space="preserve">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t>
  </si>
  <si>
    <t>32.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  (ЦС  17 2 05 R5990)</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</si>
  <si>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</si>
  <si>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муниципальных районов, муниципальных округов и городских округов Липецкой области в сфере экономики в рамках непрограммного  направления  деятельности  "Иные  непрограммные  мероприятия"  по  непрограммному  направлению  расходов  "Непрограммные  расходы  областного  бюджета" </t>
  </si>
  <si>
    <t>90010005</t>
  </si>
  <si>
    <t>Красное, Краснинский</t>
  </si>
  <si>
    <t>90018311</t>
  </si>
  <si>
    <t>Чаплыгинский м.р., с.п Кривополянский сельсовет часть субсидии в связи с привлеченными внебюджетными средствами</t>
  </si>
  <si>
    <t>90019000</t>
  </si>
  <si>
    <t>Городской округ город Елец</t>
  </si>
  <si>
    <t xml:space="preserve"> Наименование  муниципальных  образований</t>
  </si>
  <si>
    <t xml:space="preserve"> Утвержденные бюджетные назначения</t>
  </si>
  <si>
    <t>% исполнения</t>
  </si>
  <si>
    <t>Утвержденные бюджетные назначения</t>
  </si>
  <si>
    <t>Итого  по  районам</t>
  </si>
  <si>
    <t>Итого по муниципальным округам</t>
  </si>
  <si>
    <t>г. Елец</t>
  </si>
  <si>
    <t>г. Липецк</t>
  </si>
  <si>
    <t>Итого  по  городам</t>
  </si>
  <si>
    <t>Всего  по  области</t>
  </si>
  <si>
    <t>ОБЪЕМ  МЕЖБЮДЖЕТНЫХ  ТРАНСФЕРТОВ,  ПРЕДОСТАВЛЕННЫХ  ИЗ  ОБЛАСТНОГО  БЮДЖЕТА  БЮДЖЕТАМ  МУНИЦИПАЛЬНЫХ  ОБРАЗОВАНИЙ  ЗА 9 месяцев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</si>
</sst>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 _₽_-;\-* #,##0.00\ _₽_-;_-* &quot;-&quot;??\ _₽_-;_-@_-"/>
    <numFmt numFmtId="164" formatCode="_-* #,##0.00_-;\-* #,##0.00_-;_-* &quot;-&quot;??_-;_-@_-"/>
    <numFmt numFmtId="165" formatCode="_-* #,##0.00_р_._-;\-* #,##0.00_р_._-;_-* &quot;-&quot;??_р_._-;_-@_-"/>
    <numFmt numFmtId="166" formatCode="_-* #,##0_р_._-;\-* #,##0_р_._-;_-* &quot;-&quot;??_р_._-;_-@_-"/>
    <numFmt numFmtId="167" formatCode="_-* #,##0.0\ _р_._-;\-* #,##0.0\ _р_._-;_-* &quot;-&quot;??\ _р_._-;_-@_-"/>
    <numFmt numFmtId="168" formatCode="_-* #,##0.00\ _р_._-;\-* #,##0.00\ _р_._-;_-* &quot;-&quot;??\ _р_._-;_-@_-"/>
    <numFmt numFmtId="169" formatCode="#,##0.00_ ;\-#,##0.00\ "/>
    <numFmt numFmtId="170" formatCode="_-* #,##0.00000_р_._-;\-* #,##0.00000_р_._-;_-* &quot;-&quot;??_р_._-;_-@_-"/>
    <numFmt numFmtId="171" formatCode="_-* #,##0.0_р_._-;\-* #,##0.0_р_._-;_-* &quot;-&quot;??_р_._-;_-@_-"/>
    <numFmt numFmtId="172" formatCode="_-* #,##0.0_р_._-;\-* #,##0.0_р_._-;_-* &quot;-&quot;?_р_._-;_-@_-"/>
    <numFmt numFmtId="173" formatCode="_-* #,##0.0\ _₽_-;\-* #,##0.0\ _₽_-;_-* &quot;-&quot;?\ _₽_-;_-@_-"/>
    <numFmt numFmtId="174" formatCode="#,##0.0"/>
  </numFmts>
  <fonts count="104" x14ac:knownFonts="1">
    <font>
      <sz val="11"/>
      <color theme="1"/>
      <name val="Calibri"/>
      <family val="2"/>
      <charset val="204"/>
      <scheme val="minor"/>
    </font>
    <font>
      <sz val="10"/>
      <name val="Arial Cyr"/>
      <charset val="204"/>
    </font>
    <font>
      <b/>
      <sz val="11"/>
      <name val="Arial Cyr"/>
      <charset val="204"/>
    </font>
    <font>
      <b/>
      <sz val="10"/>
      <color rgb="FF000000"/>
      <name val="Arial"/>
      <family val="2"/>
      <charset val="204"/>
    </font>
    <font>
      <sz val="11"/>
      <name val="Calibri"/>
      <family val="2"/>
      <scheme val="minor"/>
    </font>
    <font>
      <sz val="10"/>
      <color rgb="FF000000"/>
      <name val="Arial Cyr"/>
    </font>
    <font>
      <sz val="10"/>
      <color rgb="FF000000"/>
      <name val="Arial"/>
      <family val="2"/>
      <charset val="204"/>
    </font>
    <font>
      <b/>
      <sz val="10"/>
      <color rgb="FFFF0000"/>
      <name val="Arial"/>
      <family val="2"/>
      <charset val="204"/>
    </font>
    <font>
      <sz val="10"/>
      <color rgb="FFFF0000"/>
      <name val="Arial Cyr"/>
      <charset val="204"/>
    </font>
    <font>
      <b/>
      <sz val="12"/>
      <name val="Arial Cyr"/>
      <charset val="204"/>
    </font>
    <font>
      <b/>
      <sz val="11"/>
      <color rgb="FF000000"/>
      <name val="Arial"/>
      <family val="2"/>
      <charset val="204"/>
    </font>
    <font>
      <b/>
      <sz val="12"/>
      <color rgb="FF000000"/>
      <name val="Arial"/>
      <family val="2"/>
      <charset val="204"/>
    </font>
    <font>
      <b/>
      <sz val="12"/>
      <color rgb="FFFF0000"/>
      <name val="Arial Cyr"/>
      <charset val="204"/>
    </font>
    <font>
      <sz val="11"/>
      <name val="Arial Cyr"/>
      <charset val="204"/>
    </font>
    <font>
      <b/>
      <sz val="15"/>
      <name val="Arial Cyr"/>
      <family val="2"/>
      <charset val="204"/>
    </font>
    <font>
      <b/>
      <sz val="15"/>
      <color indexed="10"/>
      <name val="Arial Cyr"/>
      <charset val="204"/>
    </font>
    <font>
      <b/>
      <sz val="10"/>
      <name val="Arial Cyr"/>
      <family val="2"/>
      <charset val="204"/>
    </font>
    <font>
      <b/>
      <sz val="12"/>
      <name val="Arial Cyr"/>
      <family val="2"/>
      <charset val="204"/>
    </font>
    <font>
      <b/>
      <sz val="14"/>
      <name val="Arial Cyr"/>
      <family val="2"/>
      <charset val="204"/>
    </font>
    <font>
      <b/>
      <sz val="13"/>
      <name val="Arial Cyr"/>
      <family val="2"/>
      <charset val="204"/>
    </font>
    <font>
      <b/>
      <sz val="13"/>
      <color indexed="10"/>
      <name val="Arial Cyr"/>
      <family val="2"/>
      <charset val="204"/>
    </font>
    <font>
      <b/>
      <sz val="12"/>
      <color rgb="FFFF0000"/>
      <name val="Arial Cyr"/>
      <family val="2"/>
      <charset val="204"/>
    </font>
    <font>
      <sz val="13"/>
      <name val="Arial Cyr"/>
      <family val="2"/>
      <charset val="204"/>
    </font>
    <font>
      <b/>
      <sz val="13"/>
      <color rgb="FFFF0000"/>
      <name val="Arial Cyr"/>
      <family val="2"/>
      <charset val="204"/>
    </font>
    <font>
      <b/>
      <sz val="12"/>
      <color indexed="10"/>
      <name val="Arial Cyr"/>
      <charset val="204"/>
    </font>
    <font>
      <b/>
      <sz val="12"/>
      <color indexed="10"/>
      <name val="Arial Cyr"/>
      <family val="2"/>
      <charset val="204"/>
    </font>
    <font>
      <b/>
      <sz val="13"/>
      <color rgb="FFFF0000"/>
      <name val="Arial Cyr"/>
      <charset val="204"/>
    </font>
    <font>
      <sz val="13"/>
      <color rgb="FFFF0000"/>
      <name val="Arial Cyr"/>
      <charset val="204"/>
    </font>
    <font>
      <b/>
      <sz val="12"/>
      <name val="Arial"/>
      <family val="2"/>
      <charset val="204"/>
    </font>
    <font>
      <b/>
      <sz val="12"/>
      <color indexed="10"/>
      <name val="Arial"/>
      <family val="2"/>
      <charset val="204"/>
    </font>
    <font>
      <b/>
      <sz val="14"/>
      <color rgb="FFFF0000"/>
      <name val="Arial Cyr"/>
      <charset val="204"/>
    </font>
    <font>
      <b/>
      <sz val="11"/>
      <name val="Arial"/>
      <family val="2"/>
      <charset val="204"/>
    </font>
    <font>
      <b/>
      <sz val="11"/>
      <color rgb="FFFF0000"/>
      <name val="Arial Cyr"/>
      <charset val="204"/>
    </font>
    <font>
      <b/>
      <sz val="10"/>
      <color rgb="FFFF0000"/>
      <name val="Arial Cyr"/>
    </font>
    <font>
      <b/>
      <sz val="10"/>
      <name val="Arial Cyr"/>
      <charset val="204"/>
    </font>
    <font>
      <b/>
      <sz val="10"/>
      <name val="Arial"/>
      <family val="2"/>
      <charset val="204"/>
    </font>
    <font>
      <b/>
      <sz val="10"/>
      <color rgb="FFFF0000"/>
      <name val="Arial Cyr"/>
      <charset val="204"/>
    </font>
    <font>
      <b/>
      <sz val="11"/>
      <color indexed="10"/>
      <name val="Arial"/>
      <family val="2"/>
      <charset val="204"/>
    </font>
    <font>
      <b/>
      <sz val="11"/>
      <color rgb="FFFF0000"/>
      <name val="Arial"/>
      <family val="2"/>
      <charset val="204"/>
    </font>
    <font>
      <b/>
      <i/>
      <sz val="10"/>
      <name val="Arial"/>
      <family val="2"/>
      <charset val="204"/>
    </font>
    <font>
      <b/>
      <i/>
      <u/>
      <sz val="10"/>
      <name val="Arial Cyr"/>
      <charset val="204"/>
    </font>
    <font>
      <b/>
      <i/>
      <sz val="11"/>
      <name val="Arial Cyr"/>
      <charset val="204"/>
    </font>
    <font>
      <b/>
      <i/>
      <sz val="11"/>
      <name val="Arial"/>
      <family val="2"/>
      <charset val="204"/>
    </font>
    <font>
      <b/>
      <i/>
      <sz val="11"/>
      <color rgb="FFFF0000"/>
      <name val="Arial"/>
      <family val="2"/>
      <charset val="204"/>
    </font>
    <font>
      <b/>
      <i/>
      <sz val="11"/>
      <color indexed="10"/>
      <name val="Arial"/>
      <family val="2"/>
      <charset val="204"/>
    </font>
    <font>
      <b/>
      <i/>
      <sz val="10"/>
      <name val="Arial Cyr"/>
      <charset val="204"/>
    </font>
    <font>
      <b/>
      <sz val="11"/>
      <color indexed="10"/>
      <name val="Arial Cyr"/>
      <charset val="204"/>
    </font>
    <font>
      <b/>
      <sz val="10"/>
      <color indexed="10"/>
      <name val="Arial Cyr"/>
      <charset val="204"/>
    </font>
    <font>
      <b/>
      <u/>
      <sz val="10"/>
      <name val="Arial Cyr"/>
      <charset val="204"/>
    </font>
    <font>
      <b/>
      <sz val="11"/>
      <color indexed="8"/>
      <name val="Arial Cyr"/>
      <charset val="204"/>
    </font>
    <font>
      <b/>
      <sz val="10"/>
      <color indexed="10"/>
      <name val="Arial"/>
      <family val="2"/>
      <charset val="204"/>
    </font>
    <font>
      <sz val="8"/>
      <color rgb="FF000000"/>
      <name val="Arial Cyr"/>
      <family val="2"/>
    </font>
    <font>
      <b/>
      <sz val="12"/>
      <color rgb="FFFF0000"/>
      <name val="Arial"/>
      <family val="2"/>
      <charset val="204"/>
    </font>
    <font>
      <b/>
      <i/>
      <sz val="12"/>
      <color indexed="10"/>
      <name val="Arial"/>
      <family val="2"/>
      <charset val="204"/>
    </font>
    <font>
      <b/>
      <i/>
      <sz val="11"/>
      <color indexed="10"/>
      <name val="Arial Cyr"/>
      <charset val="204"/>
    </font>
    <font>
      <b/>
      <sz val="16"/>
      <name val="Arial Cyr"/>
      <charset val="204"/>
    </font>
    <font>
      <b/>
      <sz val="15"/>
      <color rgb="FFFF0000"/>
      <name val="Arial Cyr"/>
      <charset val="204"/>
    </font>
    <font>
      <b/>
      <sz val="13"/>
      <name val="Arial Cyr"/>
      <charset val="204"/>
    </font>
    <font>
      <b/>
      <sz val="13"/>
      <name val="Arial"/>
      <family val="2"/>
      <charset val="204"/>
    </font>
    <font>
      <b/>
      <sz val="13"/>
      <color indexed="10"/>
      <name val="Arial"/>
      <family val="2"/>
      <charset val="204"/>
    </font>
    <font>
      <sz val="13"/>
      <name val="Arial Cyr"/>
      <charset val="204"/>
    </font>
    <font>
      <b/>
      <sz val="13"/>
      <color indexed="10"/>
      <name val="Arial Cyr"/>
      <charset val="204"/>
    </font>
    <font>
      <b/>
      <sz val="20"/>
      <name val="Arial Cyr"/>
      <charset val="204"/>
    </font>
    <font>
      <b/>
      <sz val="11"/>
      <name val="Arial Cyr"/>
      <family val="2"/>
      <charset val="204"/>
    </font>
    <font>
      <b/>
      <sz val="11"/>
      <color indexed="10"/>
      <name val="Arial Cyr"/>
      <family val="2"/>
      <charset val="204"/>
    </font>
    <font>
      <sz val="11"/>
      <name val="Arial CYR"/>
      <family val="2"/>
      <charset val="204"/>
    </font>
    <font>
      <i/>
      <sz val="11"/>
      <name val="Arial Cyr"/>
      <charset val="204"/>
    </font>
    <font>
      <i/>
      <sz val="11"/>
      <color indexed="10"/>
      <name val="Arial CYR"/>
      <charset val="204"/>
    </font>
    <font>
      <sz val="10"/>
      <name val="Arial"/>
      <family val="2"/>
      <charset val="204"/>
    </font>
    <font>
      <b/>
      <u/>
      <sz val="13"/>
      <name val="Arial"/>
      <family val="2"/>
      <charset val="204"/>
    </font>
    <font>
      <b/>
      <sz val="8"/>
      <color rgb="FF000000"/>
      <name val="Arial Cyr"/>
      <family val="2"/>
    </font>
    <font>
      <b/>
      <sz val="13"/>
      <color rgb="FF000000"/>
      <name val="Arial"/>
      <family val="2"/>
      <charset val="204"/>
    </font>
    <font>
      <b/>
      <sz val="14"/>
      <name val="Arial Cyr"/>
      <charset val="204"/>
    </font>
    <font>
      <sz val="12"/>
      <name val="Arial"/>
      <family val="2"/>
      <charset val="204"/>
    </font>
    <font>
      <sz val="12"/>
      <name val="Arial Cyr"/>
      <family val="2"/>
      <charset val="204"/>
    </font>
    <font>
      <b/>
      <sz val="14"/>
      <name val="Arial"/>
      <family val="2"/>
      <charset val="204"/>
    </font>
    <font>
      <b/>
      <sz val="14"/>
      <color rgb="FFFF0000"/>
      <name val="Arial"/>
      <family val="2"/>
      <charset val="204"/>
    </font>
    <font>
      <b/>
      <sz val="13"/>
      <color rgb="FFFF0000"/>
      <name val="Arial"/>
      <family val="2"/>
      <charset val="204"/>
    </font>
    <font>
      <b/>
      <sz val="10"/>
      <color rgb="FF000000"/>
      <name val="Arial Cyr"/>
    </font>
    <font>
      <sz val="10"/>
      <color rgb="FF000000"/>
      <name val="Arial Cyr"/>
      <family val="2"/>
    </font>
    <font>
      <b/>
      <sz val="10"/>
      <color rgb="FF000000"/>
      <name val="Arial Cyr"/>
      <family val="2"/>
    </font>
    <font>
      <sz val="12"/>
      <color rgb="FFFF0000"/>
      <name val="Arial"/>
      <family val="2"/>
      <charset val="204"/>
    </font>
    <font>
      <sz val="8"/>
      <name val="Arial Cyr"/>
      <family val="2"/>
      <charset val="204"/>
    </font>
    <font>
      <sz val="10"/>
      <color rgb="FF000000"/>
      <name val="Times New Roman Cyr"/>
      <family val="2"/>
    </font>
    <font>
      <b/>
      <i/>
      <sz val="13"/>
      <name val="Arial"/>
      <family val="2"/>
      <charset val="204"/>
    </font>
    <font>
      <b/>
      <sz val="16"/>
      <name val="Arial"/>
      <family val="2"/>
      <charset val="204"/>
    </font>
    <font>
      <b/>
      <sz val="11"/>
      <color rgb="FF000000"/>
      <name val="Arial"/>
      <family val="2"/>
      <charset val="204"/>
    </font>
    <font>
      <sz val="12"/>
      <name val="Arial Cyr"/>
      <charset val="204"/>
    </font>
    <font>
      <sz val="11"/>
      <color theme="1"/>
      <name val="Calibri"/>
      <family val="2"/>
      <charset val="204"/>
      <scheme val="minor"/>
    </font>
    <font>
      <sz val="8"/>
      <color rgb="FF000000"/>
      <name val="Arial Cyr"/>
    </font>
    <font>
      <b/>
      <sz val="11"/>
      <name val="Times New Roman"/>
      <family val="1"/>
      <charset val="204"/>
    </font>
    <font>
      <b/>
      <sz val="10"/>
      <name val="Times New Roman"/>
      <family val="1"/>
      <charset val="204"/>
    </font>
    <font>
      <b/>
      <sz val="12"/>
      <name val="Times New Roman"/>
      <family val="1"/>
      <charset val="204"/>
    </font>
    <font>
      <sz val="12"/>
      <name val="Times New Roman"/>
      <family val="1"/>
      <charset val="204"/>
    </font>
    <font>
      <sz val="11"/>
      <name val="Times New Roman"/>
      <family val="1"/>
      <charset val="204"/>
    </font>
    <font>
      <sz val="11"/>
      <name val="Calibri"/>
      <family val="2"/>
      <charset val="204"/>
      <scheme val="minor"/>
    </font>
    <font>
      <b/>
      <sz val="13"/>
      <name val="Arial Cyr"/>
    </font>
    <font>
      <b/>
      <sz val="13"/>
      <name val="Arial Cyr"/>
      <family val="2"/>
    </font>
    <font>
      <b/>
      <sz val="10"/>
      <name val="Arial Cyr"/>
    </font>
    <font>
      <b/>
      <sz val="12"/>
      <name val="Arial Cyr"/>
    </font>
    <font>
      <sz val="11"/>
      <name val="Arial"/>
      <family val="2"/>
      <charset val="204"/>
    </font>
    <font>
      <sz val="13"/>
      <name val="Arial"/>
      <family val="2"/>
      <charset val="204"/>
    </font>
    <font>
      <b/>
      <sz val="11"/>
      <name val="Arial Cyr"/>
    </font>
    <font>
      <b/>
      <sz val="14"/>
      <name val="Arial Cyr"/>
    </font>
  </fonts>
  <fills count="32">
    <fill>
      <patternFill patternType="none"/>
    </fill>
    <fill>
      <patternFill patternType="gray125"/>
    </fill>
    <fill>
      <patternFill patternType="solid">
        <fgColor rgb="FFF1F5F9"/>
      </patternFill>
    </fill>
    <fill>
      <patternFill patternType="solid">
        <fgColor rgb="FFFFFF00"/>
        <bgColor indexed="64"/>
      </patternFill>
    </fill>
    <fill>
      <patternFill patternType="solid">
        <fgColor theme="9" tint="0.59999389629810485"/>
        <bgColor indexed="64"/>
      </patternFill>
    </fill>
    <fill>
      <patternFill patternType="solid">
        <fgColor rgb="FFCCFFFF"/>
        <bgColor indexed="64"/>
      </patternFill>
    </fill>
    <fill>
      <patternFill patternType="solid">
        <fgColor theme="6" tint="0.59999389629810485"/>
        <bgColor indexed="64"/>
      </patternFill>
    </fill>
    <fill>
      <patternFill patternType="solid">
        <fgColor rgb="FFCCFFCC"/>
        <bgColor indexed="64"/>
      </patternFill>
    </fill>
    <fill>
      <patternFill patternType="solid">
        <fgColor indexed="42"/>
        <bgColor indexed="64"/>
      </patternFill>
    </fill>
    <fill>
      <patternFill patternType="solid">
        <fgColor indexed="13"/>
        <bgColor indexed="64"/>
      </patternFill>
    </fill>
    <fill>
      <patternFill patternType="solid">
        <fgColor rgb="FFFFD5AB"/>
      </patternFill>
    </fill>
    <fill>
      <patternFill patternType="solid">
        <fgColor indexed="41"/>
        <bgColor indexed="64"/>
      </patternFill>
    </fill>
    <fill>
      <patternFill patternType="solid">
        <fgColor rgb="FF00B0F0"/>
        <bgColor indexed="64"/>
      </patternFill>
    </fill>
    <fill>
      <patternFill patternType="solid">
        <fgColor indexed="15"/>
        <bgColor indexed="64"/>
      </patternFill>
    </fill>
    <fill>
      <patternFill patternType="solid">
        <fgColor theme="8" tint="0.59999389629810485"/>
        <bgColor indexed="64"/>
      </patternFill>
    </fill>
    <fill>
      <patternFill patternType="solid">
        <fgColor rgb="FF66FFFF"/>
        <bgColor indexed="64"/>
      </patternFill>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FF"/>
      </patternFill>
    </fill>
    <fill>
      <patternFill patternType="solid">
        <fgColor indexed="65"/>
        <bgColor indexed="64"/>
      </patternFill>
    </fill>
    <fill>
      <patternFill patternType="solid">
        <fgColor indexed="27"/>
        <bgColor indexed="64"/>
      </patternFill>
    </fill>
    <fill>
      <patternFill patternType="solid">
        <fgColor rgb="FFFFFFCC"/>
      </patternFill>
    </fill>
    <fill>
      <patternFill patternType="solid">
        <fgColor theme="7" tint="0.59999389629810485"/>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rgb="FFFFFF99"/>
      </patternFill>
    </fill>
    <fill>
      <patternFill patternType="solid">
        <fgColor theme="0"/>
        <bgColor indexed="64"/>
      </patternFill>
    </fill>
    <fill>
      <patternFill patternType="solid">
        <fgColor rgb="FFDCE6F2"/>
      </patternFill>
    </fill>
    <fill>
      <patternFill patternType="solid">
        <fgColor theme="0" tint="-4.9989318521683403E-2"/>
        <bgColor indexed="64"/>
      </patternFill>
    </fill>
    <fill>
      <patternFill patternType="solid">
        <fgColor theme="2"/>
        <bgColor indexed="64"/>
      </patternFill>
    </fill>
    <fill>
      <patternFill patternType="solid">
        <fgColor theme="5" tint="0.79998168889431442"/>
        <bgColor indexed="64"/>
      </patternFill>
    </fill>
  </fills>
  <borders count="68">
    <border>
      <left/>
      <right/>
      <top/>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style="thin">
        <color indexed="64"/>
      </top>
      <bottom style="thin">
        <color indexed="64"/>
      </bottom>
      <diagonal/>
    </border>
    <border>
      <left style="thin">
        <color rgb="FFD9D9D9"/>
      </left>
      <right style="thin">
        <color rgb="FFD9D9D9"/>
      </right>
      <top style="thin">
        <color rgb="FFA6A6A6"/>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A6A6A6"/>
      </left>
      <right style="thin">
        <color rgb="FFD9D9D9"/>
      </right>
      <top style="thin">
        <color rgb="FFA6A6A6"/>
      </top>
      <bottom/>
      <diagonal/>
    </border>
    <border>
      <left style="thin">
        <color rgb="FFD9D9D9"/>
      </left>
      <right style="thin">
        <color rgb="FFD9D9D9"/>
      </right>
      <top style="thin">
        <color rgb="FFA6A6A6"/>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FAC090"/>
      </top>
      <bottom style="medium">
        <color rgb="FFFAC09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rgb="FFD9D9D9"/>
      </left>
      <right style="thin">
        <color rgb="FFD9D9D9"/>
      </right>
      <top/>
      <bottom style="thin">
        <color rgb="FFB9CDE5"/>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8"/>
      </left>
      <right style="thin">
        <color indexed="8"/>
      </right>
      <top/>
      <bottom style="thin">
        <color indexed="8"/>
      </bottom>
      <diagonal/>
    </border>
    <border>
      <left style="thin">
        <color rgb="FF000000"/>
      </left>
      <right style="hair">
        <color rgb="FF000000"/>
      </right>
      <top/>
      <bottom style="thin">
        <color rgb="FF000000"/>
      </bottom>
      <diagonal/>
    </border>
  </borders>
  <cellStyleXfs count="34">
    <xf numFmtId="0" fontId="0" fillId="0" borderId="0"/>
    <xf numFmtId="0" fontId="1" fillId="0" borderId="0"/>
    <xf numFmtId="49" fontId="3" fillId="0" borderId="1">
      <alignment horizontal="center" vertical="center" wrapText="1"/>
    </xf>
    <xf numFmtId="49" fontId="3" fillId="0" borderId="3">
      <alignment horizontal="center" vertical="center" wrapText="1"/>
    </xf>
    <xf numFmtId="164" fontId="4" fillId="0" borderId="0" applyFont="0" applyFill="0" applyBorder="0" applyAlignment="0" applyProtection="0"/>
    <xf numFmtId="0" fontId="3" fillId="2" borderId="4">
      <alignment horizontal="left" vertical="top" wrapText="1"/>
    </xf>
    <xf numFmtId="49" fontId="3" fillId="2" borderId="5">
      <alignment horizontal="center" vertical="top" shrinkToFit="1"/>
    </xf>
    <xf numFmtId="0" fontId="3" fillId="2" borderId="5">
      <alignment horizontal="left" vertical="top" wrapText="1"/>
    </xf>
    <xf numFmtId="4" fontId="3" fillId="2" borderId="5">
      <alignment horizontal="right" vertical="top" shrinkToFit="1"/>
    </xf>
    <xf numFmtId="0" fontId="5" fillId="0" borderId="4">
      <alignment horizontal="left" vertical="top" wrapText="1"/>
    </xf>
    <xf numFmtId="49" fontId="6" fillId="0" borderId="5">
      <alignment horizontal="center" vertical="top" shrinkToFit="1"/>
    </xf>
    <xf numFmtId="0" fontId="6" fillId="0" borderId="5">
      <alignment horizontal="left" vertical="top" wrapText="1"/>
    </xf>
    <xf numFmtId="4" fontId="6" fillId="0" borderId="5">
      <alignment horizontal="right" vertical="top" shrinkToFit="1"/>
    </xf>
    <xf numFmtId="165" fontId="1" fillId="0" borderId="0" applyFont="0" applyFill="0" applyBorder="0" applyAlignment="0" applyProtection="0"/>
    <xf numFmtId="0" fontId="1" fillId="0" borderId="0"/>
    <xf numFmtId="4" fontId="10" fillId="10" borderId="47">
      <alignment horizontal="right" shrinkToFit="1"/>
    </xf>
    <xf numFmtId="4" fontId="6" fillId="0" borderId="5">
      <alignment horizontal="right" vertical="top" shrinkToFit="1"/>
    </xf>
    <xf numFmtId="0" fontId="51" fillId="0" borderId="0"/>
    <xf numFmtId="0" fontId="1" fillId="0" borderId="0"/>
    <xf numFmtId="0" fontId="70" fillId="0" borderId="57">
      <alignment horizontal="center" vertical="center" wrapText="1"/>
    </xf>
    <xf numFmtId="4" fontId="51" fillId="0" borderId="49">
      <alignment horizontal="right" vertical="top" shrinkToFit="1"/>
    </xf>
    <xf numFmtId="0" fontId="1" fillId="0" borderId="0"/>
    <xf numFmtId="0" fontId="1" fillId="0" borderId="0"/>
    <xf numFmtId="0" fontId="79" fillId="0" borderId="0">
      <alignment vertical="top"/>
    </xf>
    <xf numFmtId="4" fontId="80" fillId="19" borderId="49">
      <alignment horizontal="right" vertical="top" shrinkToFit="1"/>
    </xf>
    <xf numFmtId="0" fontId="82" fillId="0" borderId="0"/>
    <xf numFmtId="4" fontId="83" fillId="0" borderId="49">
      <alignment horizontal="right" vertical="top" wrapText="1" shrinkToFit="1"/>
    </xf>
    <xf numFmtId="0" fontId="1" fillId="0" borderId="0"/>
    <xf numFmtId="4" fontId="6" fillId="0" borderId="5">
      <alignment horizontal="right" vertical="top" shrinkToFit="1"/>
    </xf>
    <xf numFmtId="0" fontId="68" fillId="20" borderId="0"/>
    <xf numFmtId="4" fontId="78" fillId="22" borderId="49">
      <alignment horizontal="right" vertical="top" shrinkToFit="1"/>
    </xf>
    <xf numFmtId="4" fontId="86" fillId="10" borderId="47">
      <alignment horizontal="right" shrinkToFit="1"/>
    </xf>
    <xf numFmtId="164" fontId="88" fillId="0" borderId="0" applyFont="0" applyFill="0" applyBorder="0" applyAlignment="0" applyProtection="0"/>
    <xf numFmtId="4" fontId="89" fillId="26" borderId="67">
      <alignment horizontal="right" shrinkToFit="1"/>
    </xf>
  </cellStyleXfs>
  <cellXfs count="1891">
    <xf numFmtId="0" fontId="0" fillId="0" borderId="0" xfId="0"/>
    <xf numFmtId="0" fontId="1" fillId="0" borderId="0" xfId="1"/>
    <xf numFmtId="49" fontId="3" fillId="0" borderId="2" xfId="10" applyFont="1" applyBorder="1" applyAlignment="1">
      <alignment horizontal="center" vertical="center" shrinkToFit="1"/>
    </xf>
    <xf numFmtId="164" fontId="7" fillId="0" borderId="2" xfId="4" applyFont="1" applyBorder="1" applyAlignment="1">
      <alignment horizontal="right" vertical="center" shrinkToFit="1"/>
    </xf>
    <xf numFmtId="49" fontId="10" fillId="0" borderId="6" xfId="2" applyFont="1" applyBorder="1">
      <alignment horizontal="center" vertical="center" wrapText="1"/>
    </xf>
    <xf numFmtId="49" fontId="10" fillId="0" borderId="7" xfId="3" applyFont="1" applyBorder="1">
      <alignment horizontal="center" vertical="center" wrapText="1"/>
    </xf>
    <xf numFmtId="165" fontId="11" fillId="0" borderId="7" xfId="13" applyFont="1" applyBorder="1" applyAlignment="1">
      <alignment horizontal="center" vertical="center" wrapText="1"/>
    </xf>
    <xf numFmtId="165" fontId="12" fillId="0" borderId="0" xfId="13" applyFont="1" applyAlignment="1">
      <alignment vertical="center"/>
    </xf>
    <xf numFmtId="0" fontId="3" fillId="2" borderId="8" xfId="5" applyBorder="1" applyAlignment="1">
      <alignment horizontal="left" vertical="center" wrapText="1"/>
    </xf>
    <xf numFmtId="0" fontId="3" fillId="2" borderId="5" xfId="7" applyAlignment="1">
      <alignment horizontal="left" vertical="center" wrapText="1"/>
    </xf>
    <xf numFmtId="164" fontId="10" fillId="2" borderId="5" xfId="4" applyFont="1" applyFill="1" applyBorder="1" applyAlignment="1">
      <alignment horizontal="right" vertical="center" shrinkToFit="1"/>
    </xf>
    <xf numFmtId="0" fontId="5" fillId="3" borderId="2" xfId="9" applyFill="1" applyBorder="1" applyAlignment="1">
      <alignment horizontal="left" vertical="center" wrapText="1"/>
    </xf>
    <xf numFmtId="0" fontId="6" fillId="0" borderId="5" xfId="11" applyAlignment="1">
      <alignment horizontal="left" vertical="center" wrapText="1"/>
    </xf>
    <xf numFmtId="165" fontId="12" fillId="3" borderId="2" xfId="13" applyFont="1" applyFill="1" applyBorder="1" applyAlignment="1">
      <alignment vertical="center"/>
    </xf>
    <xf numFmtId="0" fontId="5" fillId="3" borderId="9" xfId="9" applyFill="1" applyBorder="1" applyAlignment="1">
      <alignment horizontal="left" vertical="center" wrapText="1"/>
    </xf>
    <xf numFmtId="0" fontId="5" fillId="0" borderId="9" xfId="9" applyBorder="1" applyAlignment="1">
      <alignment horizontal="left" vertical="center" wrapText="1"/>
    </xf>
    <xf numFmtId="165" fontId="12" fillId="3" borderId="0" xfId="13" applyFont="1" applyFill="1" applyAlignment="1">
      <alignment vertical="center"/>
    </xf>
    <xf numFmtId="0" fontId="5" fillId="0" borderId="2" xfId="9" applyBorder="1" applyAlignment="1">
      <alignment horizontal="left" vertical="center" wrapText="1"/>
    </xf>
    <xf numFmtId="0" fontId="5" fillId="3" borderId="8" xfId="9" applyFill="1" applyBorder="1" applyAlignment="1">
      <alignment horizontal="left" vertical="center" wrapText="1"/>
    </xf>
    <xf numFmtId="0" fontId="5" fillId="0" borderId="8" xfId="9" applyBorder="1" applyAlignment="1">
      <alignment horizontal="left" vertical="center" wrapText="1"/>
    </xf>
    <xf numFmtId="0" fontId="3" fillId="2" borderId="4" xfId="5" applyAlignment="1">
      <alignment horizontal="left" vertical="center" wrapText="1"/>
    </xf>
    <xf numFmtId="0" fontId="13" fillId="0" borderId="0" xfId="1" applyFont="1"/>
    <xf numFmtId="0" fontId="5" fillId="0" borderId="4" xfId="9" applyAlignment="1">
      <alignment horizontal="left" vertical="center" wrapText="1"/>
    </xf>
    <xf numFmtId="0" fontId="14" fillId="0" borderId="0" xfId="1" applyFont="1"/>
    <xf numFmtId="0" fontId="15" fillId="0" borderId="0" xfId="1" applyFont="1"/>
    <xf numFmtId="0" fontId="16" fillId="0" borderId="0" xfId="1" applyFont="1"/>
    <xf numFmtId="0" fontId="17" fillId="0" borderId="14" xfId="1" applyFont="1" applyBorder="1" applyAlignment="1">
      <alignment horizontal="center" vertical="center" wrapText="1"/>
    </xf>
    <xf numFmtId="0" fontId="19" fillId="0" borderId="12" xfId="1" applyFont="1" applyBorder="1" applyAlignment="1">
      <alignment vertical="center" wrapText="1"/>
    </xf>
    <xf numFmtId="0" fontId="17" fillId="0" borderId="15" xfId="1" applyFont="1" applyBorder="1" applyAlignment="1">
      <alignment horizontal="center" vertical="center" wrapText="1"/>
    </xf>
    <xf numFmtId="0" fontId="17" fillId="0" borderId="21" xfId="1" applyFont="1" applyBorder="1" applyAlignment="1">
      <alignment vertical="center" wrapText="1"/>
    </xf>
    <xf numFmtId="0" fontId="17" fillId="0" borderId="14" xfId="1" applyFont="1" applyBorder="1" applyAlignment="1">
      <alignment horizontal="center" vertical="center"/>
    </xf>
    <xf numFmtId="0" fontId="17" fillId="4" borderId="14" xfId="1" applyFont="1" applyFill="1" applyBorder="1" applyAlignment="1">
      <alignment horizontal="center" vertical="center"/>
    </xf>
    <xf numFmtId="0" fontId="17" fillId="4" borderId="10" xfId="1" applyFont="1" applyFill="1" applyBorder="1" applyAlignment="1">
      <alignment horizontal="center" vertical="center"/>
    </xf>
    <xf numFmtId="0" fontId="17" fillId="4" borderId="17" xfId="1" applyFont="1" applyFill="1" applyBorder="1" applyAlignment="1">
      <alignment horizontal="center" vertical="center"/>
    </xf>
    <xf numFmtId="0" fontId="17" fillId="0" borderId="22" xfId="1" applyFont="1" applyBorder="1" applyAlignment="1">
      <alignment horizontal="center" vertical="center"/>
    </xf>
    <xf numFmtId="0" fontId="17" fillId="0" borderId="14" xfId="1" applyFont="1" applyBorder="1" applyAlignment="1">
      <alignment horizontal="center"/>
    </xf>
    <xf numFmtId="0" fontId="17" fillId="4" borderId="22" xfId="1" applyFont="1" applyFill="1" applyBorder="1" applyAlignment="1">
      <alignment horizontal="center"/>
    </xf>
    <xf numFmtId="0" fontId="17" fillId="4" borderId="10" xfId="1" applyFont="1" applyFill="1" applyBorder="1" applyAlignment="1">
      <alignment horizontal="center"/>
    </xf>
    <xf numFmtId="0" fontId="17" fillId="0" borderId="16" xfId="1" applyFont="1" applyBorder="1" applyAlignment="1">
      <alignment horizontal="center"/>
    </xf>
    <xf numFmtId="0" fontId="17" fillId="4" borderId="22" xfId="1" applyFont="1" applyFill="1" applyBorder="1" applyAlignment="1">
      <alignment horizontal="center" vertical="center"/>
    </xf>
    <xf numFmtId="0" fontId="17" fillId="4" borderId="16" xfId="1" applyFont="1" applyFill="1" applyBorder="1" applyAlignment="1">
      <alignment horizontal="center"/>
    </xf>
    <xf numFmtId="0" fontId="17" fillId="0" borderId="16" xfId="1" applyFont="1" applyBorder="1" applyAlignment="1">
      <alignment horizontal="center" vertical="center"/>
    </xf>
    <xf numFmtId="0" fontId="17" fillId="4" borderId="11" xfId="1" applyFont="1" applyFill="1" applyBorder="1" applyAlignment="1">
      <alignment horizontal="center" vertical="center"/>
    </xf>
    <xf numFmtId="0" fontId="17" fillId="4" borderId="13" xfId="1" applyFont="1" applyFill="1" applyBorder="1" applyAlignment="1">
      <alignment horizontal="center" vertical="center"/>
    </xf>
    <xf numFmtId="0" fontId="17" fillId="0" borderId="12" xfId="1" applyFont="1" applyBorder="1" applyAlignment="1">
      <alignment horizontal="center" vertical="center"/>
    </xf>
    <xf numFmtId="0" fontId="17" fillId="0" borderId="11" xfId="1" applyFont="1" applyBorder="1" applyAlignment="1">
      <alignment horizontal="center" vertical="center"/>
    </xf>
    <xf numFmtId="0" fontId="17" fillId="0" borderId="13" xfId="1" applyFont="1" applyBorder="1" applyAlignment="1">
      <alignment horizontal="center" vertical="center"/>
    </xf>
    <xf numFmtId="0" fontId="17" fillId="4" borderId="12" xfId="1" applyFont="1" applyFill="1" applyBorder="1" applyAlignment="1">
      <alignment horizontal="center" vertical="center"/>
    </xf>
    <xf numFmtId="0" fontId="17" fillId="4" borderId="16" xfId="1" applyFont="1" applyFill="1" applyBorder="1" applyAlignment="1">
      <alignment horizontal="center" vertical="center"/>
    </xf>
    <xf numFmtId="0" fontId="17" fillId="0" borderId="10" xfId="1" applyFont="1" applyBorder="1" applyAlignment="1">
      <alignment horizontal="center" vertical="center"/>
    </xf>
    <xf numFmtId="0" fontId="17" fillId="6" borderId="14" xfId="1" applyFont="1" applyFill="1" applyBorder="1"/>
    <xf numFmtId="165" fontId="20" fillId="6" borderId="23" xfId="13" applyFont="1" applyFill="1" applyBorder="1" applyAlignment="1">
      <alignment horizontal="center"/>
    </xf>
    <xf numFmtId="0" fontId="17" fillId="0" borderId="24" xfId="1" applyFont="1" applyBorder="1"/>
    <xf numFmtId="165" fontId="21" fillId="0" borderId="24" xfId="1" applyNumberFormat="1" applyFont="1" applyBorder="1"/>
    <xf numFmtId="165" fontId="20" fillId="6" borderId="25" xfId="13" applyFont="1" applyFill="1" applyBorder="1" applyAlignment="1">
      <alignment horizontal="center"/>
    </xf>
    <xf numFmtId="165" fontId="20" fillId="6" borderId="26" xfId="13" applyFont="1" applyFill="1" applyBorder="1" applyAlignment="1">
      <alignment horizontal="center"/>
    </xf>
    <xf numFmtId="165" fontId="20" fillId="6" borderId="27" xfId="13" applyFont="1" applyFill="1" applyBorder="1" applyAlignment="1">
      <alignment horizontal="center"/>
    </xf>
    <xf numFmtId="165" fontId="20" fillId="6" borderId="28" xfId="13" applyFont="1" applyFill="1" applyBorder="1" applyAlignment="1">
      <alignment horizontal="center"/>
    </xf>
    <xf numFmtId="165" fontId="20" fillId="6" borderId="16" xfId="13" applyFont="1" applyFill="1" applyBorder="1" applyAlignment="1">
      <alignment horizontal="center"/>
    </xf>
    <xf numFmtId="165" fontId="20" fillId="6" borderId="14" xfId="13" applyFont="1" applyFill="1" applyBorder="1" applyAlignment="1">
      <alignment horizontal="center"/>
    </xf>
    <xf numFmtId="165" fontId="20" fillId="6" borderId="17" xfId="13" applyFont="1" applyFill="1" applyBorder="1" applyAlignment="1">
      <alignment horizontal="center"/>
    </xf>
    <xf numFmtId="165" fontId="20" fillId="6" borderId="10" xfId="13" applyFont="1" applyFill="1" applyBorder="1" applyAlignment="1">
      <alignment horizontal="center"/>
    </xf>
    <xf numFmtId="165" fontId="20" fillId="6" borderId="29" xfId="13" applyFont="1" applyFill="1" applyBorder="1" applyAlignment="1">
      <alignment horizontal="center"/>
    </xf>
    <xf numFmtId="165" fontId="20" fillId="6" borderId="0" xfId="13" applyFont="1" applyFill="1" applyAlignment="1">
      <alignment horizontal="center"/>
    </xf>
    <xf numFmtId="165" fontId="20" fillId="6" borderId="24" xfId="13" applyFont="1" applyFill="1" applyBorder="1" applyAlignment="1">
      <alignment horizontal="center"/>
    </xf>
    <xf numFmtId="165" fontId="20" fillId="6" borderId="15" xfId="13" applyFont="1" applyFill="1" applyBorder="1" applyAlignment="1">
      <alignment horizontal="center"/>
    </xf>
    <xf numFmtId="165" fontId="20" fillId="0" borderId="25" xfId="13" applyFont="1" applyBorder="1" applyAlignment="1">
      <alignment horizontal="center"/>
    </xf>
    <xf numFmtId="165" fontId="20" fillId="4" borderId="30" xfId="13" applyFont="1" applyFill="1" applyBorder="1" applyAlignment="1">
      <alignment horizontal="center"/>
    </xf>
    <xf numFmtId="0" fontId="17" fillId="0" borderId="31" xfId="1" applyFont="1" applyBorder="1"/>
    <xf numFmtId="165" fontId="20" fillId="0" borderId="23" xfId="13" applyFont="1" applyBorder="1" applyAlignment="1">
      <alignment horizontal="center"/>
    </xf>
    <xf numFmtId="165" fontId="20" fillId="4" borderId="23" xfId="13" applyFont="1" applyFill="1" applyBorder="1" applyAlignment="1">
      <alignment horizontal="center"/>
    </xf>
    <xf numFmtId="165" fontId="20" fillId="0" borderId="32" xfId="13" applyFont="1" applyBorder="1" applyAlignment="1">
      <alignment horizontal="center"/>
    </xf>
    <xf numFmtId="165" fontId="20" fillId="4" borderId="32" xfId="13" applyFont="1" applyFill="1" applyBorder="1" applyAlignment="1">
      <alignment horizontal="center"/>
    </xf>
    <xf numFmtId="165" fontId="20" fillId="4" borderId="33" xfId="13" applyFont="1" applyFill="1" applyBorder="1" applyAlignment="1">
      <alignment horizontal="center"/>
    </xf>
    <xf numFmtId="165" fontId="20" fillId="4" borderId="31" xfId="13" applyFont="1" applyFill="1" applyBorder="1" applyAlignment="1">
      <alignment horizontal="center"/>
    </xf>
    <xf numFmtId="165" fontId="20" fillId="0" borderId="30" xfId="13" applyFont="1" applyBorder="1" applyAlignment="1">
      <alignment horizontal="center"/>
    </xf>
    <xf numFmtId="165" fontId="20" fillId="0" borderId="31" xfId="13" applyFont="1" applyBorder="1" applyAlignment="1">
      <alignment horizontal="center"/>
    </xf>
    <xf numFmtId="165" fontId="20" fillId="0" borderId="33" xfId="13" applyFont="1" applyBorder="1" applyAlignment="1">
      <alignment horizontal="center"/>
    </xf>
    <xf numFmtId="165" fontId="20" fillId="4" borderId="0" xfId="13" applyFont="1" applyFill="1" applyAlignment="1">
      <alignment horizontal="center"/>
    </xf>
    <xf numFmtId="165" fontId="20" fillId="4" borderId="24" xfId="13" applyFont="1" applyFill="1" applyBorder="1" applyAlignment="1">
      <alignment horizontal="center"/>
    </xf>
    <xf numFmtId="165" fontId="20" fillId="4" borderId="29" xfId="13" applyFont="1" applyFill="1" applyBorder="1" applyAlignment="1">
      <alignment horizontal="center"/>
    </xf>
    <xf numFmtId="165" fontId="20" fillId="4" borderId="15" xfId="13" applyFont="1" applyFill="1" applyBorder="1" applyAlignment="1">
      <alignment horizontal="center"/>
    </xf>
    <xf numFmtId="0" fontId="17" fillId="6" borderId="24" xfId="1" applyFont="1" applyFill="1" applyBorder="1"/>
    <xf numFmtId="165" fontId="20" fillId="6" borderId="32" xfId="13" applyFont="1" applyFill="1" applyBorder="1" applyAlignment="1">
      <alignment horizontal="center"/>
    </xf>
    <xf numFmtId="165" fontId="20" fillId="6" borderId="30" xfId="13" applyFont="1" applyFill="1" applyBorder="1" applyAlignment="1">
      <alignment horizontal="center"/>
    </xf>
    <xf numFmtId="165" fontId="20" fillId="6" borderId="33" xfId="13" applyFont="1" applyFill="1" applyBorder="1" applyAlignment="1">
      <alignment horizontal="center"/>
    </xf>
    <xf numFmtId="165" fontId="20" fillId="6" borderId="31" xfId="13" applyFont="1" applyFill="1" applyBorder="1" applyAlignment="1">
      <alignment horizontal="center"/>
    </xf>
    <xf numFmtId="0" fontId="17" fillId="6" borderId="31" xfId="1" applyFont="1" applyFill="1" applyBorder="1"/>
    <xf numFmtId="0" fontId="17" fillId="0" borderId="18" xfId="1" applyFont="1" applyBorder="1"/>
    <xf numFmtId="165" fontId="20" fillId="0" borderId="34" xfId="13" applyFont="1" applyBorder="1" applyAlignment="1">
      <alignment horizontal="center"/>
    </xf>
    <xf numFmtId="165" fontId="20" fillId="4" borderId="35" xfId="13" applyFont="1" applyFill="1" applyBorder="1" applyAlignment="1">
      <alignment horizontal="center"/>
    </xf>
    <xf numFmtId="165" fontId="20" fillId="4" borderId="34" xfId="13" applyFont="1" applyFill="1" applyBorder="1" applyAlignment="1">
      <alignment horizontal="center"/>
    </xf>
    <xf numFmtId="165" fontId="20" fillId="4" borderId="36" xfId="13" applyFont="1" applyFill="1" applyBorder="1" applyAlignment="1">
      <alignment horizontal="center"/>
    </xf>
    <xf numFmtId="165" fontId="20" fillId="4" borderId="37" xfId="13" applyFont="1" applyFill="1" applyBorder="1" applyAlignment="1">
      <alignment horizontal="center"/>
    </xf>
    <xf numFmtId="165" fontId="20" fillId="0" borderId="35" xfId="13" applyFont="1" applyBorder="1" applyAlignment="1">
      <alignment horizontal="center"/>
    </xf>
    <xf numFmtId="165" fontId="20" fillId="0" borderId="37" xfId="13" applyFont="1" applyBorder="1" applyAlignment="1">
      <alignment horizontal="center"/>
    </xf>
    <xf numFmtId="165" fontId="20" fillId="0" borderId="36" xfId="13" applyFont="1" applyBorder="1" applyAlignment="1">
      <alignment horizontal="center"/>
    </xf>
    <xf numFmtId="165" fontId="20" fillId="4" borderId="21" xfId="13" applyFont="1" applyFill="1" applyBorder="1" applyAlignment="1">
      <alignment horizontal="center"/>
    </xf>
    <xf numFmtId="165" fontId="20" fillId="4" borderId="19" xfId="13" applyFont="1" applyFill="1" applyBorder="1" applyAlignment="1">
      <alignment horizontal="center"/>
    </xf>
    <xf numFmtId="165" fontId="20" fillId="4" borderId="38" xfId="13" applyFont="1" applyFill="1" applyBorder="1" applyAlignment="1">
      <alignment horizontal="center"/>
    </xf>
    <xf numFmtId="165" fontId="20" fillId="4" borderId="39" xfId="13" applyFont="1" applyFill="1" applyBorder="1" applyAlignment="1">
      <alignment horizontal="center"/>
    </xf>
    <xf numFmtId="165" fontId="20" fillId="0" borderId="39" xfId="13" applyFont="1" applyBorder="1" applyAlignment="1">
      <alignment horizontal="center"/>
    </xf>
    <xf numFmtId="165" fontId="20" fillId="4" borderId="40" xfId="13" applyFont="1" applyFill="1" applyBorder="1" applyAlignment="1">
      <alignment horizontal="center"/>
    </xf>
    <xf numFmtId="165" fontId="20" fillId="4" borderId="41" xfId="13" applyFont="1" applyFill="1" applyBorder="1" applyAlignment="1">
      <alignment horizontal="center"/>
    </xf>
    <xf numFmtId="0" fontId="17" fillId="0" borderId="11" xfId="1" applyFont="1" applyBorder="1"/>
    <xf numFmtId="165" fontId="19" fillId="0" borderId="22" xfId="13" applyFont="1" applyBorder="1"/>
    <xf numFmtId="165" fontId="19" fillId="4" borderId="22" xfId="13" applyFont="1" applyFill="1" applyBorder="1"/>
    <xf numFmtId="165" fontId="19" fillId="0" borderId="18" xfId="13" applyFont="1" applyBorder="1"/>
    <xf numFmtId="165" fontId="19" fillId="4" borderId="18" xfId="13" applyFont="1" applyFill="1" applyBorder="1"/>
    <xf numFmtId="165" fontId="19" fillId="4" borderId="21" xfId="13" applyFont="1" applyFill="1" applyBorder="1"/>
    <xf numFmtId="165" fontId="19" fillId="4" borderId="20" xfId="13" applyFont="1" applyFill="1" applyBorder="1"/>
    <xf numFmtId="165" fontId="19" fillId="0" borderId="19" xfId="13" applyFont="1" applyBorder="1"/>
    <xf numFmtId="165" fontId="19" fillId="4" borderId="19" xfId="13" applyFont="1" applyFill="1" applyBorder="1"/>
    <xf numFmtId="165" fontId="19" fillId="4" borderId="12" xfId="13" applyFont="1" applyFill="1" applyBorder="1"/>
    <xf numFmtId="165" fontId="19" fillId="0" borderId="21" xfId="13" applyFont="1" applyBorder="1"/>
    <xf numFmtId="165" fontId="19" fillId="0" borderId="20" xfId="13" applyFont="1" applyBorder="1"/>
    <xf numFmtId="165" fontId="19" fillId="4" borderId="13" xfId="13" applyFont="1" applyFill="1" applyBorder="1"/>
    <xf numFmtId="165" fontId="19" fillId="4" borderId="11" xfId="13" applyFont="1" applyFill="1" applyBorder="1"/>
    <xf numFmtId="166" fontId="19" fillId="0" borderId="15" xfId="13" applyNumberFormat="1" applyFont="1" applyBorder="1"/>
    <xf numFmtId="166" fontId="19" fillId="4" borderId="15" xfId="13" applyNumberFormat="1" applyFont="1" applyFill="1" applyBorder="1"/>
    <xf numFmtId="165" fontId="19" fillId="0" borderId="42" xfId="13" applyFont="1" applyBorder="1"/>
    <xf numFmtId="165" fontId="19" fillId="4" borderId="42" xfId="13" applyFont="1" applyFill="1" applyBorder="1"/>
    <xf numFmtId="165" fontId="19" fillId="4" borderId="23" xfId="13" applyFont="1" applyFill="1" applyBorder="1"/>
    <xf numFmtId="165" fontId="19" fillId="4" borderId="43" xfId="13" applyFont="1" applyFill="1" applyBorder="1"/>
    <xf numFmtId="165" fontId="19" fillId="0" borderId="23" xfId="13" applyFont="1" applyBorder="1"/>
    <xf numFmtId="165" fontId="19" fillId="4" borderId="44" xfId="13" applyFont="1" applyFill="1" applyBorder="1"/>
    <xf numFmtId="165" fontId="19" fillId="0" borderId="43" xfId="13" applyFont="1" applyBorder="1"/>
    <xf numFmtId="165" fontId="19" fillId="0" borderId="44" xfId="13" applyFont="1" applyBorder="1"/>
    <xf numFmtId="165" fontId="19" fillId="4" borderId="15" xfId="13" applyFont="1" applyFill="1" applyBorder="1"/>
    <xf numFmtId="165" fontId="19" fillId="0" borderId="28" xfId="13" applyFont="1" applyBorder="1"/>
    <xf numFmtId="165" fontId="19" fillId="0" borderId="24" xfId="13" applyFont="1" applyBorder="1"/>
    <xf numFmtId="165" fontId="19" fillId="4" borderId="0" xfId="13" applyFont="1" applyFill="1"/>
    <xf numFmtId="165" fontId="19" fillId="0" borderId="10" xfId="13" applyFont="1" applyBorder="1"/>
    <xf numFmtId="165" fontId="19" fillId="4" borderId="24" xfId="13" applyFont="1" applyFill="1" applyBorder="1"/>
    <xf numFmtId="165" fontId="19" fillId="0" borderId="16" xfId="13" applyFont="1" applyBorder="1"/>
    <xf numFmtId="165" fontId="19" fillId="0" borderId="25" xfId="13" applyFont="1" applyBorder="1"/>
    <xf numFmtId="165" fontId="19" fillId="0" borderId="0" xfId="13" applyFont="1"/>
    <xf numFmtId="165" fontId="19" fillId="0" borderId="15" xfId="13" applyFont="1" applyBorder="1"/>
    <xf numFmtId="165" fontId="19" fillId="4" borderId="29" xfId="13" applyFont="1" applyFill="1" applyBorder="1"/>
    <xf numFmtId="165" fontId="19" fillId="0" borderId="14" xfId="13" applyFont="1" applyBorder="1"/>
    <xf numFmtId="165" fontId="19" fillId="0" borderId="27" xfId="13" applyFont="1" applyBorder="1"/>
    <xf numFmtId="165" fontId="19" fillId="0" borderId="26" xfId="13" applyFont="1" applyBorder="1"/>
    <xf numFmtId="165" fontId="20" fillId="0" borderId="2" xfId="13" applyFont="1" applyBorder="1" applyAlignment="1">
      <alignment horizontal="center"/>
    </xf>
    <xf numFmtId="165" fontId="20" fillId="4" borderId="43" xfId="13" applyFont="1" applyFill="1" applyBorder="1" applyAlignment="1">
      <alignment horizontal="center"/>
    </xf>
    <xf numFmtId="165" fontId="20" fillId="4" borderId="44" xfId="13" applyFont="1" applyFill="1" applyBorder="1" applyAlignment="1">
      <alignment horizontal="center"/>
    </xf>
    <xf numFmtId="165" fontId="20" fillId="0" borderId="42" xfId="13" applyFont="1" applyBorder="1" applyAlignment="1">
      <alignment horizontal="center"/>
    </xf>
    <xf numFmtId="165" fontId="20" fillId="0" borderId="43" xfId="13" applyFont="1" applyBorder="1" applyAlignment="1">
      <alignment horizontal="center"/>
    </xf>
    <xf numFmtId="165" fontId="19" fillId="4" borderId="14" xfId="13" applyFont="1" applyFill="1" applyBorder="1"/>
    <xf numFmtId="165" fontId="19" fillId="4" borderId="10" xfId="13" applyFont="1" applyFill="1" applyBorder="1"/>
    <xf numFmtId="165" fontId="19" fillId="4" borderId="17" xfId="13" applyFont="1" applyFill="1" applyBorder="1"/>
    <xf numFmtId="165" fontId="19" fillId="4" borderId="16" xfId="13" applyFont="1" applyFill="1" applyBorder="1"/>
    <xf numFmtId="165" fontId="19" fillId="0" borderId="17" xfId="13" applyFont="1" applyBorder="1"/>
    <xf numFmtId="165" fontId="19" fillId="0" borderId="11" xfId="13" applyFont="1" applyBorder="1"/>
    <xf numFmtId="165" fontId="19" fillId="0" borderId="13" xfId="13" applyFont="1" applyBorder="1"/>
    <xf numFmtId="165" fontId="19" fillId="0" borderId="12" xfId="13" applyFont="1" applyBorder="1"/>
    <xf numFmtId="0" fontId="17" fillId="0" borderId="14" xfId="1" applyFont="1" applyBorder="1"/>
    <xf numFmtId="0" fontId="22" fillId="0" borderId="10" xfId="1" applyFont="1" applyBorder="1"/>
    <xf numFmtId="0" fontId="22" fillId="4" borderId="10" xfId="1" applyFont="1" applyFill="1" applyBorder="1"/>
    <xf numFmtId="0" fontId="22" fillId="0" borderId="14" xfId="1" applyFont="1" applyBorder="1"/>
    <xf numFmtId="0" fontId="22" fillId="4" borderId="14" xfId="1" applyFont="1" applyFill="1" applyBorder="1"/>
    <xf numFmtId="0" fontId="22" fillId="4" borderId="17" xfId="1" applyFont="1" applyFill="1" applyBorder="1"/>
    <xf numFmtId="0" fontId="22" fillId="0" borderId="16" xfId="1" applyFont="1" applyBorder="1"/>
    <xf numFmtId="0" fontId="22" fillId="4" borderId="16" xfId="1" applyFont="1" applyFill="1" applyBorder="1"/>
    <xf numFmtId="165" fontId="22" fillId="0" borderId="0" xfId="1" applyNumberFormat="1" applyFont="1"/>
    <xf numFmtId="165" fontId="22" fillId="0" borderId="14" xfId="1" applyNumberFormat="1" applyFont="1" applyBorder="1"/>
    <xf numFmtId="165" fontId="22" fillId="0" borderId="24" xfId="1" applyNumberFormat="1" applyFont="1" applyBorder="1"/>
    <xf numFmtId="165" fontId="22" fillId="0" borderId="10" xfId="1" applyNumberFormat="1" applyFont="1" applyBorder="1"/>
    <xf numFmtId="165" fontId="22" fillId="0" borderId="16" xfId="1" applyNumberFormat="1" applyFont="1" applyBorder="1"/>
    <xf numFmtId="165" fontId="22" fillId="0" borderId="15" xfId="1" applyNumberFormat="1" applyFont="1" applyBorder="1"/>
    <xf numFmtId="165" fontId="22" fillId="0" borderId="17" xfId="1" applyNumberFormat="1" applyFont="1" applyBorder="1"/>
    <xf numFmtId="0" fontId="22" fillId="0" borderId="21" xfId="1" applyFont="1" applyBorder="1"/>
    <xf numFmtId="0" fontId="22" fillId="4" borderId="21" xfId="1" applyFont="1" applyFill="1" applyBorder="1"/>
    <xf numFmtId="0" fontId="22" fillId="0" borderId="18" xfId="1" applyFont="1" applyBorder="1"/>
    <xf numFmtId="0" fontId="22" fillId="4" borderId="18" xfId="1" applyFont="1" applyFill="1" applyBorder="1"/>
    <xf numFmtId="0" fontId="22" fillId="4" borderId="20" xfId="1" applyFont="1" applyFill="1" applyBorder="1"/>
    <xf numFmtId="0" fontId="22" fillId="0" borderId="19" xfId="1" applyFont="1" applyBorder="1"/>
    <xf numFmtId="0" fontId="22" fillId="4" borderId="19" xfId="1" applyFont="1" applyFill="1" applyBorder="1"/>
    <xf numFmtId="165" fontId="22" fillId="0" borderId="19" xfId="1" applyNumberFormat="1" applyFont="1" applyBorder="1"/>
    <xf numFmtId="165" fontId="22" fillId="0" borderId="18" xfId="1" applyNumberFormat="1" applyFont="1" applyBorder="1"/>
    <xf numFmtId="165" fontId="22" fillId="0" borderId="21" xfId="1" applyNumberFormat="1" applyFont="1" applyBorder="1"/>
    <xf numFmtId="165" fontId="22" fillId="0" borderId="20" xfId="1" applyNumberFormat="1" applyFont="1" applyBorder="1"/>
    <xf numFmtId="165" fontId="19" fillId="0" borderId="34" xfId="13" applyFont="1" applyBorder="1" applyAlignment="1">
      <alignment horizontal="center"/>
    </xf>
    <xf numFmtId="165" fontId="19" fillId="4" borderId="34" xfId="13" applyFont="1" applyFill="1" applyBorder="1" applyAlignment="1">
      <alignment horizontal="center"/>
    </xf>
    <xf numFmtId="165" fontId="19" fillId="0" borderId="18" xfId="13" applyFont="1" applyBorder="1" applyAlignment="1">
      <alignment horizontal="center"/>
    </xf>
    <xf numFmtId="165" fontId="19" fillId="4" borderId="18" xfId="13" applyFont="1" applyFill="1" applyBorder="1" applyAlignment="1">
      <alignment horizontal="center"/>
    </xf>
    <xf numFmtId="165" fontId="19" fillId="4" borderId="21" xfId="13" applyFont="1" applyFill="1" applyBorder="1" applyAlignment="1">
      <alignment horizontal="center"/>
    </xf>
    <xf numFmtId="165" fontId="19" fillId="4" borderId="20" xfId="13" applyFont="1" applyFill="1" applyBorder="1" applyAlignment="1">
      <alignment horizontal="center"/>
    </xf>
    <xf numFmtId="165" fontId="19" fillId="0" borderId="21" xfId="13" applyFont="1" applyBorder="1" applyAlignment="1">
      <alignment horizontal="center"/>
    </xf>
    <xf numFmtId="165" fontId="19" fillId="0" borderId="19" xfId="13" applyFont="1" applyBorder="1" applyAlignment="1">
      <alignment horizontal="center"/>
    </xf>
    <xf numFmtId="165" fontId="19" fillId="4" borderId="19" xfId="13" applyFont="1" applyFill="1" applyBorder="1" applyAlignment="1">
      <alignment horizontal="center"/>
    </xf>
    <xf numFmtId="165" fontId="19" fillId="0" borderId="12" xfId="13" applyFont="1" applyBorder="1" applyAlignment="1">
      <alignment horizontal="center"/>
    </xf>
    <xf numFmtId="165" fontId="19" fillId="0" borderId="11" xfId="13" applyFont="1" applyBorder="1" applyAlignment="1">
      <alignment horizontal="center"/>
    </xf>
    <xf numFmtId="165" fontId="19" fillId="0" borderId="22" xfId="13" applyFont="1" applyBorder="1" applyAlignment="1">
      <alignment horizontal="center"/>
    </xf>
    <xf numFmtId="165" fontId="19" fillId="0" borderId="13" xfId="13" applyFont="1" applyBorder="1" applyAlignment="1">
      <alignment horizontal="center"/>
    </xf>
    <xf numFmtId="0" fontId="19" fillId="0" borderId="0" xfId="1" applyFont="1"/>
    <xf numFmtId="165" fontId="23" fillId="0" borderId="0" xfId="1" applyNumberFormat="1" applyFont="1"/>
    <xf numFmtId="0" fontId="23" fillId="0" borderId="0" xfId="1" applyFont="1"/>
    <xf numFmtId="165" fontId="24" fillId="0" borderId="0" xfId="1" applyNumberFormat="1" applyFont="1"/>
    <xf numFmtId="165" fontId="20" fillId="0" borderId="0" xfId="1" applyNumberFormat="1" applyFont="1"/>
    <xf numFmtId="165" fontId="25" fillId="0" borderId="0" xfId="1" applyNumberFormat="1" applyFont="1"/>
    <xf numFmtId="0" fontId="22" fillId="0" borderId="0" xfId="1" applyFont="1"/>
    <xf numFmtId="0" fontId="26" fillId="0" borderId="0" xfId="1" applyFont="1" applyAlignment="1">
      <alignment horizontal="center" vertical="center" wrapText="1"/>
    </xf>
    <xf numFmtId="165" fontId="26" fillId="0" borderId="0" xfId="1" applyNumberFormat="1" applyFont="1" applyAlignment="1">
      <alignment horizontal="center" vertical="center" wrapText="1"/>
    </xf>
    <xf numFmtId="165" fontId="26" fillId="0" borderId="0" xfId="1" applyNumberFormat="1" applyFont="1"/>
    <xf numFmtId="165" fontId="26" fillId="0" borderId="0" xfId="1" applyNumberFormat="1" applyFont="1" applyAlignment="1">
      <alignment vertical="center" wrapText="1"/>
    </xf>
    <xf numFmtId="0" fontId="27" fillId="0" borderId="0" xfId="1" applyFont="1" applyAlignment="1">
      <alignment vertical="center" wrapText="1"/>
    </xf>
    <xf numFmtId="0" fontId="1" fillId="0" borderId="0" xfId="1" applyAlignment="1">
      <alignment vertical="center"/>
    </xf>
    <xf numFmtId="167" fontId="28" fillId="0" borderId="2" xfId="1" applyNumberFormat="1" applyFont="1" applyBorder="1" applyAlignment="1">
      <alignment horizontal="center" vertical="center"/>
    </xf>
    <xf numFmtId="167" fontId="28" fillId="0" borderId="2" xfId="13" applyNumberFormat="1" applyFont="1" applyBorder="1" applyAlignment="1">
      <alignment horizontal="center" vertical="center" wrapText="1"/>
    </xf>
    <xf numFmtId="168" fontId="29" fillId="3" borderId="2" xfId="1" applyNumberFormat="1" applyFont="1" applyFill="1" applyBorder="1"/>
    <xf numFmtId="168" fontId="29" fillId="3" borderId="2" xfId="13" applyNumberFormat="1" applyFont="1" applyFill="1" applyBorder="1"/>
    <xf numFmtId="43" fontId="30" fillId="0" borderId="2" xfId="1" applyNumberFormat="1" applyFont="1" applyBorder="1"/>
    <xf numFmtId="0" fontId="2" fillId="0" borderId="0" xfId="1" applyFont="1" applyAlignment="1">
      <alignment vertical="center"/>
    </xf>
    <xf numFmtId="0" fontId="2" fillId="0" borderId="0" xfId="1" applyFont="1" applyAlignment="1">
      <alignment horizontal="center" vertical="center"/>
    </xf>
    <xf numFmtId="165" fontId="2" fillId="0" borderId="0" xfId="13" applyFont="1" applyAlignment="1">
      <alignment vertical="center"/>
    </xf>
    <xf numFmtId="0" fontId="31" fillId="0" borderId="2" xfId="1" applyFont="1" applyBorder="1" applyAlignment="1">
      <alignment horizontal="center" vertical="center" wrapText="1"/>
    </xf>
    <xf numFmtId="165" fontId="31" fillId="3" borderId="2" xfId="13" applyFont="1" applyFill="1" applyBorder="1" applyAlignment="1">
      <alignment horizontal="center" vertical="center" wrapText="1"/>
    </xf>
    <xf numFmtId="0" fontId="31" fillId="3" borderId="2" xfId="1" applyFont="1" applyFill="1" applyBorder="1" applyAlignment="1">
      <alignment horizontal="center" vertical="center" wrapText="1"/>
    </xf>
    <xf numFmtId="169" fontId="32" fillId="0" borderId="2" xfId="1" applyNumberFormat="1" applyFont="1" applyBorder="1" applyAlignment="1">
      <alignment vertical="center" wrapText="1"/>
    </xf>
    <xf numFmtId="169" fontId="32" fillId="0" borderId="2" xfId="1" applyNumberFormat="1" applyFont="1" applyBorder="1" applyAlignment="1">
      <alignment horizontal="center" vertical="center" wrapText="1"/>
    </xf>
    <xf numFmtId="165" fontId="32" fillId="0" borderId="2" xfId="13" applyFont="1" applyBorder="1" applyAlignment="1">
      <alignment vertical="center"/>
    </xf>
    <xf numFmtId="165" fontId="32" fillId="0" borderId="2" xfId="13" applyFont="1" applyBorder="1" applyAlignment="1">
      <alignment horizontal="right" vertical="center" shrinkToFit="1"/>
    </xf>
    <xf numFmtId="165" fontId="32" fillId="0" borderId="2" xfId="1" applyNumberFormat="1" applyFont="1" applyBorder="1" applyAlignment="1">
      <alignment vertical="center"/>
    </xf>
    <xf numFmtId="0" fontId="32" fillId="0" borderId="0" xfId="1" applyFont="1" applyAlignment="1">
      <alignment vertical="center"/>
    </xf>
    <xf numFmtId="165" fontId="32" fillId="0" borderId="2" xfId="13" applyFont="1" applyBorder="1" applyAlignment="1">
      <alignment horizontal="center" vertical="center" wrapText="1"/>
    </xf>
    <xf numFmtId="165" fontId="32" fillId="0" borderId="2" xfId="1" applyNumberFormat="1" applyFont="1" applyBorder="1" applyAlignment="1">
      <alignment horizontal="center" vertical="center"/>
    </xf>
    <xf numFmtId="169" fontId="32" fillId="0" borderId="2" xfId="1" applyNumberFormat="1" applyFont="1" applyBorder="1" applyAlignment="1">
      <alignment horizontal="left" vertical="center" wrapText="1"/>
    </xf>
    <xf numFmtId="165" fontId="33" fillId="0" borderId="2" xfId="13" applyFont="1" applyBorder="1" applyAlignment="1">
      <alignment horizontal="right" vertical="center" shrinkToFit="1"/>
    </xf>
    <xf numFmtId="165" fontId="32" fillId="0" borderId="2" xfId="13" applyFont="1" applyBorder="1" applyAlignment="1">
      <alignment vertical="center" wrapText="1"/>
    </xf>
    <xf numFmtId="0" fontId="34" fillId="0" borderId="2" xfId="1" applyFont="1" applyBorder="1" applyAlignment="1">
      <alignment horizontal="left" vertical="center" wrapText="1"/>
    </xf>
    <xf numFmtId="0" fontId="2" fillId="0" borderId="45" xfId="1" applyFont="1" applyBorder="1" applyAlignment="1">
      <alignment horizontal="center" vertical="center" wrapText="1"/>
    </xf>
    <xf numFmtId="165" fontId="10" fillId="0" borderId="2" xfId="13" applyFont="1" applyBorder="1" applyAlignment="1">
      <alignment horizontal="right" vertical="center" shrinkToFit="1"/>
    </xf>
    <xf numFmtId="0" fontId="35" fillId="3" borderId="2" xfId="1" applyFont="1" applyFill="1" applyBorder="1" applyAlignment="1">
      <alignment horizontal="center" vertical="center" wrapText="1"/>
    </xf>
    <xf numFmtId="0" fontId="2" fillId="3" borderId="45" xfId="1" applyFont="1" applyFill="1" applyBorder="1" applyAlignment="1">
      <alignment horizontal="center" vertical="center" wrapText="1"/>
    </xf>
    <xf numFmtId="165" fontId="32" fillId="3" borderId="2" xfId="13" applyFont="1" applyFill="1" applyBorder="1" applyAlignment="1">
      <alignment vertical="center"/>
    </xf>
    <xf numFmtId="165" fontId="32" fillId="3" borderId="2" xfId="1" applyNumberFormat="1" applyFont="1" applyFill="1" applyBorder="1" applyAlignment="1">
      <alignment vertical="center"/>
    </xf>
    <xf numFmtId="165" fontId="32" fillId="0" borderId="0" xfId="13" applyFont="1" applyAlignment="1">
      <alignment vertical="center"/>
    </xf>
    <xf numFmtId="165" fontId="32" fillId="0" borderId="0" xfId="1" applyNumberFormat="1" applyFont="1" applyAlignment="1">
      <alignment vertical="center"/>
    </xf>
    <xf numFmtId="0" fontId="35" fillId="0" borderId="2" xfId="1" applyFont="1" applyBorder="1" applyAlignment="1">
      <alignment horizontal="center" vertical="center" wrapText="1"/>
    </xf>
    <xf numFmtId="165" fontId="35" fillId="3" borderId="2" xfId="13" applyFont="1" applyFill="1" applyBorder="1" applyAlignment="1">
      <alignment horizontal="center" vertical="center" wrapText="1"/>
    </xf>
    <xf numFmtId="165" fontId="36" fillId="0" borderId="2" xfId="13" applyFont="1" applyBorder="1" applyAlignment="1">
      <alignment horizontal="right" vertical="center" shrinkToFit="1"/>
    </xf>
    <xf numFmtId="0" fontId="2" fillId="0" borderId="0" xfId="1" applyFont="1" applyAlignment="1">
      <alignment horizontal="left" vertical="center"/>
    </xf>
    <xf numFmtId="0" fontId="34" fillId="0" borderId="0" xfId="1" applyFont="1" applyAlignment="1">
      <alignment vertical="center"/>
    </xf>
    <xf numFmtId="0" fontId="34" fillId="0" borderId="0" xfId="1" applyFont="1" applyAlignment="1">
      <alignment horizontal="center" vertical="center" wrapText="1"/>
    </xf>
    <xf numFmtId="0" fontId="2" fillId="0" borderId="0" xfId="1" applyFont="1" applyAlignment="1">
      <alignment horizontal="center" vertical="center" wrapText="1"/>
    </xf>
    <xf numFmtId="0" fontId="35" fillId="9" borderId="2" xfId="1" quotePrefix="1" applyFont="1" applyFill="1" applyBorder="1" applyAlignment="1">
      <alignment horizontal="center" vertical="center" wrapText="1"/>
    </xf>
    <xf numFmtId="0" fontId="35" fillId="9" borderId="2" xfId="1" applyFont="1" applyFill="1" applyBorder="1" applyAlignment="1">
      <alignment vertical="center" wrapText="1"/>
    </xf>
    <xf numFmtId="0" fontId="31" fillId="9" borderId="2" xfId="1" applyFont="1" applyFill="1" applyBorder="1" applyAlignment="1">
      <alignment horizontal="center" vertical="center" wrapText="1"/>
    </xf>
    <xf numFmtId="165" fontId="37" fillId="9" borderId="2" xfId="1" applyNumberFormat="1" applyFont="1" applyFill="1" applyBorder="1" applyAlignment="1">
      <alignment horizontal="center" vertical="center" wrapText="1"/>
    </xf>
    <xf numFmtId="166" fontId="37" fillId="0" borderId="0" xfId="13" applyNumberFormat="1" applyFont="1" applyAlignment="1">
      <alignment horizontal="center" vertical="center" wrapText="1"/>
    </xf>
    <xf numFmtId="0" fontId="35" fillId="0" borderId="2" xfId="1" quotePrefix="1" applyFont="1" applyBorder="1" applyAlignment="1">
      <alignment horizontal="center" vertical="center" wrapText="1"/>
    </xf>
    <xf numFmtId="0" fontId="37" fillId="0" borderId="2" xfId="1" applyFont="1" applyBorder="1" applyAlignment="1">
      <alignment horizontal="center" vertical="center" wrapText="1"/>
    </xf>
    <xf numFmtId="49" fontId="35" fillId="0" borderId="2" xfId="1" applyNumberFormat="1" applyFont="1" applyBorder="1" applyAlignment="1">
      <alignment horizontal="center" vertical="center" wrapText="1"/>
    </xf>
    <xf numFmtId="0" fontId="35" fillId="0" borderId="2" xfId="1" applyFont="1" applyBorder="1" applyAlignment="1">
      <alignment horizontal="left" vertical="center" wrapText="1"/>
    </xf>
    <xf numFmtId="0" fontId="2" fillId="0" borderId="2" xfId="1" applyFont="1" applyBorder="1" applyAlignment="1">
      <alignment horizontal="center" vertical="center" wrapText="1"/>
    </xf>
    <xf numFmtId="4" fontId="2" fillId="0" borderId="2" xfId="14" applyNumberFormat="1" applyFont="1" applyBorder="1" applyAlignment="1">
      <alignment horizontal="center" vertical="center"/>
    </xf>
    <xf numFmtId="165" fontId="38" fillId="0" borderId="2" xfId="13" applyFont="1" applyBorder="1" applyAlignment="1">
      <alignment horizontal="center" vertical="center" wrapText="1"/>
    </xf>
    <xf numFmtId="165" fontId="37" fillId="0" borderId="2" xfId="13" applyFont="1" applyBorder="1" applyAlignment="1">
      <alignment vertical="center"/>
    </xf>
    <xf numFmtId="0" fontId="2" fillId="0" borderId="2" xfId="1" quotePrefix="1" applyFont="1" applyBorder="1" applyAlignment="1">
      <alignment horizontal="center" vertical="center" wrapText="1"/>
    </xf>
    <xf numFmtId="4" fontId="32" fillId="0" borderId="2" xfId="14" applyNumberFormat="1" applyFont="1" applyBorder="1" applyAlignment="1">
      <alignment horizontal="center" vertical="center"/>
    </xf>
    <xf numFmtId="165" fontId="31" fillId="0" borderId="2" xfId="13" applyFont="1" applyBorder="1" applyAlignment="1">
      <alignment horizontal="center" vertical="center" wrapText="1"/>
    </xf>
    <xf numFmtId="165" fontId="37" fillId="0" borderId="2" xfId="1" applyNumberFormat="1" applyFont="1" applyBorder="1" applyAlignment="1">
      <alignment horizontal="center" vertical="center" wrapText="1"/>
    </xf>
    <xf numFmtId="165" fontId="36" fillId="0" borderId="0" xfId="1" applyNumberFormat="1" applyFont="1" applyAlignment="1">
      <alignment vertical="center"/>
    </xf>
    <xf numFmtId="49" fontId="39" fillId="4" borderId="2" xfId="1" applyNumberFormat="1" applyFont="1" applyFill="1" applyBorder="1" applyAlignment="1">
      <alignment horizontal="center" vertical="center" wrapText="1"/>
    </xf>
    <xf numFmtId="0" fontId="40" fillId="4" borderId="2" xfId="1" applyFont="1" applyFill="1" applyBorder="1" applyAlignment="1">
      <alignment horizontal="center" vertical="center" wrapText="1"/>
    </xf>
    <xf numFmtId="0" fontId="41" fillId="4" borderId="2" xfId="1" applyFont="1" applyFill="1" applyBorder="1" applyAlignment="1">
      <alignment horizontal="center" vertical="center" wrapText="1"/>
    </xf>
    <xf numFmtId="165" fontId="42" fillId="4" borderId="2" xfId="13" applyFont="1" applyFill="1" applyBorder="1" applyAlignment="1">
      <alignment horizontal="center" vertical="center" wrapText="1"/>
    </xf>
    <xf numFmtId="165" fontId="43" fillId="4" borderId="2" xfId="13" applyFont="1" applyFill="1" applyBorder="1" applyAlignment="1">
      <alignment vertical="center"/>
    </xf>
    <xf numFmtId="165" fontId="44" fillId="4" borderId="2" xfId="13" applyFont="1" applyFill="1" applyBorder="1" applyAlignment="1">
      <alignment vertical="center"/>
    </xf>
    <xf numFmtId="166" fontId="44" fillId="0" borderId="0" xfId="13" applyNumberFormat="1" applyFont="1" applyAlignment="1">
      <alignment horizontal="center" vertical="center" wrapText="1"/>
    </xf>
    <xf numFmtId="0" fontId="45" fillId="0" borderId="0" xfId="1" applyFont="1" applyAlignment="1">
      <alignment vertical="center"/>
    </xf>
    <xf numFmtId="43" fontId="36" fillId="0" borderId="0" xfId="1" applyNumberFormat="1" applyFont="1" applyAlignment="1">
      <alignment vertical="center"/>
    </xf>
    <xf numFmtId="165" fontId="43" fillId="4" borderId="2" xfId="13" applyFont="1" applyFill="1" applyBorder="1" applyAlignment="1">
      <alignment horizontal="center" vertical="center" wrapText="1"/>
    </xf>
    <xf numFmtId="165" fontId="37" fillId="0" borderId="2" xfId="13" applyFont="1" applyBorder="1" applyAlignment="1">
      <alignment horizontal="center" vertical="center" wrapText="1"/>
    </xf>
    <xf numFmtId="49" fontId="31" fillId="9" borderId="2" xfId="1" applyNumberFormat="1" applyFont="1" applyFill="1" applyBorder="1" applyAlignment="1">
      <alignment horizontal="center" vertical="center" wrapText="1"/>
    </xf>
    <xf numFmtId="165" fontId="37" fillId="9" borderId="2" xfId="13" applyFont="1" applyFill="1" applyBorder="1" applyAlignment="1">
      <alignment vertical="center"/>
    </xf>
    <xf numFmtId="49" fontId="31" fillId="0" borderId="2" xfId="1" applyNumberFormat="1" applyFont="1" applyBorder="1" applyAlignment="1">
      <alignment horizontal="center" vertical="center" wrapText="1"/>
    </xf>
    <xf numFmtId="165" fontId="31" fillId="0" borderId="2" xfId="13" applyFont="1" applyBorder="1" applyAlignment="1">
      <alignment vertical="center"/>
    </xf>
    <xf numFmtId="0" fontId="35" fillId="0" borderId="2" xfId="1" applyFont="1" applyBorder="1" applyAlignment="1">
      <alignment vertical="center" wrapText="1"/>
    </xf>
    <xf numFmtId="165" fontId="38" fillId="0" borderId="2" xfId="13" applyFont="1" applyBorder="1" applyAlignment="1">
      <alignment vertical="center"/>
    </xf>
    <xf numFmtId="49" fontId="35" fillId="4" borderId="2" xfId="1" applyNumberFormat="1" applyFont="1" applyFill="1" applyBorder="1" applyAlignment="1">
      <alignment horizontal="center" vertical="center" wrapText="1"/>
    </xf>
    <xf numFmtId="0" fontId="2" fillId="4" borderId="2" xfId="1" applyFont="1" applyFill="1" applyBorder="1" applyAlignment="1">
      <alignment horizontal="center" vertical="center" wrapText="1"/>
    </xf>
    <xf numFmtId="165" fontId="31" fillId="4" borderId="2" xfId="13" applyFont="1" applyFill="1" applyBorder="1" applyAlignment="1">
      <alignment vertical="center"/>
    </xf>
    <xf numFmtId="165" fontId="2" fillId="0" borderId="2" xfId="13" applyFont="1" applyBorder="1" applyAlignment="1">
      <alignment horizontal="center" vertical="center"/>
    </xf>
    <xf numFmtId="166" fontId="46" fillId="0" borderId="0" xfId="1" applyNumberFormat="1" applyFont="1" applyAlignment="1">
      <alignment horizontal="center" vertical="center"/>
    </xf>
    <xf numFmtId="0" fontId="34" fillId="0" borderId="0" xfId="1" applyFont="1" applyAlignment="1">
      <alignment horizontal="center" vertical="center"/>
    </xf>
    <xf numFmtId="165" fontId="47" fillId="0" borderId="0" xfId="1" applyNumberFormat="1" applyFont="1" applyAlignment="1">
      <alignment vertical="center"/>
    </xf>
    <xf numFmtId="165" fontId="31" fillId="4" borderId="2" xfId="13" applyFont="1" applyFill="1" applyBorder="1" applyAlignment="1">
      <alignment horizontal="center" vertical="center"/>
    </xf>
    <xf numFmtId="165" fontId="37" fillId="4" borderId="2" xfId="13" applyFont="1" applyFill="1" applyBorder="1" applyAlignment="1">
      <alignment horizontal="center" vertical="center"/>
    </xf>
    <xf numFmtId="165" fontId="31" fillId="0" borderId="0" xfId="13" applyFont="1" applyAlignment="1">
      <alignment horizontal="center" vertical="center"/>
    </xf>
    <xf numFmtId="165" fontId="35" fillId="0" borderId="0" xfId="13" applyFont="1" applyAlignment="1">
      <alignment vertical="center" wrapText="1"/>
    </xf>
    <xf numFmtId="0" fontId="34" fillId="0" borderId="2" xfId="1" applyFont="1" applyBorder="1" applyAlignment="1">
      <alignment horizontal="center" vertical="center"/>
    </xf>
    <xf numFmtId="165" fontId="31" fillId="0" borderId="0" xfId="13" applyFont="1" applyAlignment="1">
      <alignment horizontal="center" vertical="center" wrapText="1"/>
    </xf>
    <xf numFmtId="4" fontId="10" fillId="0" borderId="2" xfId="15" applyFill="1" applyBorder="1">
      <alignment horizontal="right" shrinkToFit="1"/>
    </xf>
    <xf numFmtId="165" fontId="31" fillId="0" borderId="2" xfId="13" applyFont="1" applyBorder="1" applyAlignment="1">
      <alignment horizontal="center" vertical="center"/>
    </xf>
    <xf numFmtId="4" fontId="38" fillId="0" borderId="2" xfId="15" applyFont="1" applyFill="1" applyBorder="1">
      <alignment horizontal="right" shrinkToFit="1"/>
    </xf>
    <xf numFmtId="165" fontId="35" fillId="0" borderId="0" xfId="13" applyFont="1" applyAlignment="1">
      <alignment horizontal="center" vertical="center"/>
    </xf>
    <xf numFmtId="165" fontId="38" fillId="0" borderId="0" xfId="13" applyFont="1" applyAlignment="1">
      <alignment horizontal="center" vertical="center"/>
    </xf>
    <xf numFmtId="165" fontId="37" fillId="9" borderId="2" xfId="13" applyFont="1" applyFill="1" applyBorder="1" applyAlignment="1">
      <alignment horizontal="center" vertical="center" wrapText="1"/>
    </xf>
    <xf numFmtId="166" fontId="31" fillId="0" borderId="0" xfId="13" applyNumberFormat="1" applyFont="1" applyAlignment="1">
      <alignment vertical="center"/>
    </xf>
    <xf numFmtId="165" fontId="31" fillId="0" borderId="0" xfId="13" applyFont="1" applyAlignment="1">
      <alignment vertical="center"/>
    </xf>
    <xf numFmtId="0" fontId="35" fillId="0" borderId="0" xfId="1" applyFont="1" applyAlignment="1">
      <alignment vertical="center"/>
    </xf>
    <xf numFmtId="166" fontId="31" fillId="0" borderId="0" xfId="13" applyNumberFormat="1" applyFont="1" applyAlignment="1">
      <alignment horizontal="center" vertical="center" wrapText="1"/>
    </xf>
    <xf numFmtId="0" fontId="35" fillId="0" borderId="0" xfId="1" applyFont="1" applyAlignment="1">
      <alignment horizontal="center" vertical="center" wrapText="1"/>
    </xf>
    <xf numFmtId="0" fontId="35" fillId="11" borderId="2" xfId="1" quotePrefix="1" applyFont="1" applyFill="1" applyBorder="1" applyAlignment="1">
      <alignment horizontal="center" vertical="center" wrapText="1"/>
    </xf>
    <xf numFmtId="0" fontId="45" fillId="11" borderId="2" xfId="1" applyFont="1" applyFill="1" applyBorder="1" applyAlignment="1">
      <alignment horizontal="center" vertical="center" wrapText="1"/>
    </xf>
    <xf numFmtId="0" fontId="31" fillId="11" borderId="2" xfId="1" applyFont="1" applyFill="1" applyBorder="1" applyAlignment="1">
      <alignment horizontal="center" vertical="center" wrapText="1"/>
    </xf>
    <xf numFmtId="165" fontId="44" fillId="5" borderId="2" xfId="13" applyFont="1" applyFill="1" applyBorder="1" applyAlignment="1">
      <alignment horizontal="center" vertical="center" wrapText="1"/>
    </xf>
    <xf numFmtId="49" fontId="35" fillId="12" borderId="2" xfId="1" applyNumberFormat="1" applyFont="1" applyFill="1" applyBorder="1" applyAlignment="1">
      <alignment horizontal="center" vertical="center" wrapText="1"/>
    </xf>
    <xf numFmtId="165" fontId="31" fillId="13" borderId="2" xfId="13" applyFont="1" applyFill="1" applyBorder="1" applyAlignment="1">
      <alignment horizontal="center" vertical="center" wrapText="1"/>
    </xf>
    <xf numFmtId="49" fontId="35" fillId="8" borderId="2" xfId="1" applyNumberFormat="1" applyFont="1" applyFill="1" applyBorder="1" applyAlignment="1">
      <alignment horizontal="center" vertical="center" wrapText="1"/>
    </xf>
    <xf numFmtId="0" fontId="45" fillId="8" borderId="2" xfId="1" applyFont="1" applyFill="1" applyBorder="1" applyAlignment="1">
      <alignment horizontal="center" vertical="center" wrapText="1"/>
    </xf>
    <xf numFmtId="49" fontId="31" fillId="8" borderId="2" xfId="1" quotePrefix="1" applyNumberFormat="1" applyFont="1" applyFill="1" applyBorder="1" applyAlignment="1">
      <alignment horizontal="center" vertical="center" wrapText="1"/>
    </xf>
    <xf numFmtId="165" fontId="44" fillId="8" borderId="2" xfId="13" applyFont="1" applyFill="1" applyBorder="1" applyAlignment="1">
      <alignment vertical="center"/>
    </xf>
    <xf numFmtId="165" fontId="43" fillId="8" borderId="2" xfId="13" applyFont="1" applyFill="1" applyBorder="1" applyAlignment="1">
      <alignment vertical="center"/>
    </xf>
    <xf numFmtId="165" fontId="38" fillId="0" borderId="0" xfId="13" applyFont="1" applyAlignment="1">
      <alignment vertical="center"/>
    </xf>
    <xf numFmtId="165" fontId="42" fillId="4" borderId="2" xfId="13" quotePrefix="1" applyFont="1" applyFill="1" applyBorder="1" applyAlignment="1">
      <alignment horizontal="center" vertical="center"/>
    </xf>
    <xf numFmtId="0" fontId="45" fillId="4" borderId="2" xfId="1" applyFont="1" applyFill="1" applyBorder="1" applyAlignment="1">
      <alignment horizontal="center" vertical="center" wrapText="1"/>
    </xf>
    <xf numFmtId="49" fontId="31" fillId="4" borderId="2" xfId="1" quotePrefix="1" applyNumberFormat="1" applyFont="1" applyFill="1" applyBorder="1" applyAlignment="1">
      <alignment horizontal="center" vertical="center" wrapText="1"/>
    </xf>
    <xf numFmtId="165" fontId="44" fillId="5" borderId="2" xfId="13" applyFont="1" applyFill="1" applyBorder="1" applyAlignment="1">
      <alignment vertical="center"/>
    </xf>
    <xf numFmtId="165" fontId="37" fillId="5" borderId="2" xfId="13" applyFont="1" applyFill="1" applyBorder="1" applyAlignment="1">
      <alignment vertical="center"/>
    </xf>
    <xf numFmtId="0" fontId="34" fillId="8" borderId="2" xfId="1" applyFont="1" applyFill="1" applyBorder="1" applyAlignment="1">
      <alignment horizontal="center" vertical="center" wrapText="1"/>
    </xf>
    <xf numFmtId="165" fontId="37" fillId="8" borderId="2" xfId="13" applyFont="1" applyFill="1" applyBorder="1" applyAlignment="1">
      <alignment vertical="center"/>
    </xf>
    <xf numFmtId="165" fontId="31" fillId="8" borderId="2" xfId="13" applyFont="1" applyFill="1" applyBorder="1" applyAlignment="1">
      <alignment vertical="center"/>
    </xf>
    <xf numFmtId="0" fontId="48" fillId="4" borderId="2" xfId="1" applyFont="1" applyFill="1" applyBorder="1" applyAlignment="1">
      <alignment horizontal="center" vertical="center" wrapText="1"/>
    </xf>
    <xf numFmtId="165" fontId="31" fillId="4" borderId="2" xfId="13" quotePrefix="1" applyFont="1" applyFill="1" applyBorder="1" applyAlignment="1">
      <alignment horizontal="center" vertical="center"/>
    </xf>
    <xf numFmtId="165" fontId="38" fillId="4" borderId="2" xfId="13" applyFont="1" applyFill="1" applyBorder="1" applyAlignment="1">
      <alignment vertical="center"/>
    </xf>
    <xf numFmtId="165" fontId="37" fillId="4" borderId="2" xfId="13" applyFont="1" applyFill="1" applyBorder="1" applyAlignment="1">
      <alignment vertical="center"/>
    </xf>
    <xf numFmtId="0" fontId="34" fillId="4" borderId="2" xfId="1" applyFont="1" applyFill="1" applyBorder="1" applyAlignment="1">
      <alignment horizontal="center" vertical="center" wrapText="1"/>
    </xf>
    <xf numFmtId="49" fontId="35" fillId="0" borderId="45" xfId="1" applyNumberFormat="1" applyFont="1" applyBorder="1" applyAlignment="1">
      <alignment horizontal="center" vertical="center" wrapText="1"/>
    </xf>
    <xf numFmtId="165" fontId="31" fillId="0" borderId="2" xfId="13" applyFont="1" applyBorder="1" applyAlignment="1">
      <alignment vertical="center" wrapText="1"/>
    </xf>
    <xf numFmtId="165" fontId="42" fillId="14" borderId="2" xfId="13" applyFont="1" applyFill="1" applyBorder="1" applyAlignment="1">
      <alignment vertical="center"/>
    </xf>
    <xf numFmtId="43" fontId="35" fillId="0" borderId="0" xfId="1" applyNumberFormat="1" applyFont="1" applyAlignment="1">
      <alignment vertical="center"/>
    </xf>
    <xf numFmtId="4" fontId="6" fillId="0" borderId="5" xfId="16">
      <alignment horizontal="right" vertical="top" shrinkToFit="1"/>
    </xf>
    <xf numFmtId="49" fontId="35" fillId="12" borderId="45" xfId="1" applyNumberFormat="1" applyFont="1" applyFill="1" applyBorder="1" applyAlignment="1">
      <alignment horizontal="center" vertical="center" wrapText="1"/>
    </xf>
    <xf numFmtId="49" fontId="35" fillId="8" borderId="45" xfId="1" applyNumberFormat="1" applyFont="1" applyFill="1" applyBorder="1" applyAlignment="1">
      <alignment horizontal="center" vertical="center" wrapText="1"/>
    </xf>
    <xf numFmtId="165" fontId="43" fillId="7" borderId="2" xfId="13" applyFont="1" applyFill="1" applyBorder="1" applyAlignment="1">
      <alignment vertical="center"/>
    </xf>
    <xf numFmtId="165" fontId="42" fillId="8" borderId="2" xfId="13" applyFont="1" applyFill="1" applyBorder="1" applyAlignment="1">
      <alignment vertical="center"/>
    </xf>
    <xf numFmtId="0" fontId="45" fillId="0" borderId="2" xfId="1" applyFont="1" applyBorder="1" applyAlignment="1">
      <alignment horizontal="center" vertical="center" wrapText="1"/>
    </xf>
    <xf numFmtId="49" fontId="31" fillId="0" borderId="2" xfId="1" quotePrefix="1" applyNumberFormat="1" applyFont="1" applyBorder="1" applyAlignment="1">
      <alignment horizontal="center" vertical="center" wrapText="1"/>
    </xf>
    <xf numFmtId="165" fontId="44" fillId="0" borderId="2" xfId="13" applyFont="1" applyBorder="1" applyAlignment="1">
      <alignment vertical="center"/>
    </xf>
    <xf numFmtId="0" fontId="45" fillId="5" borderId="2" xfId="1" applyFont="1" applyFill="1" applyBorder="1" applyAlignment="1">
      <alignment horizontal="center" vertical="center" wrapText="1"/>
    </xf>
    <xf numFmtId="165" fontId="38" fillId="8" borderId="2" xfId="13" applyFont="1" applyFill="1" applyBorder="1" applyAlignment="1">
      <alignment vertical="center"/>
    </xf>
    <xf numFmtId="0" fontId="35" fillId="15" borderId="2" xfId="1" applyFont="1" applyFill="1" applyBorder="1" applyAlignment="1">
      <alignment vertical="center" wrapText="1"/>
    </xf>
    <xf numFmtId="0" fontId="35" fillId="0" borderId="45" xfId="1" applyFont="1" applyBorder="1" applyAlignment="1">
      <alignment vertical="center" wrapText="1"/>
    </xf>
    <xf numFmtId="165" fontId="31" fillId="0" borderId="46" xfId="13" applyFont="1" applyBorder="1" applyAlignment="1">
      <alignment vertical="center" wrapText="1"/>
    </xf>
    <xf numFmtId="49" fontId="31" fillId="8" borderId="9" xfId="1" quotePrefix="1" applyNumberFormat="1" applyFont="1" applyFill="1" applyBorder="1" applyAlignment="1">
      <alignment horizontal="center" vertical="center" wrapText="1"/>
    </xf>
    <xf numFmtId="0" fontId="45" fillId="7" borderId="2" xfId="1" applyFont="1" applyFill="1" applyBorder="1" applyAlignment="1">
      <alignment horizontal="center" vertical="center" wrapText="1"/>
    </xf>
    <xf numFmtId="49" fontId="31" fillId="8" borderId="8" xfId="1" quotePrefix="1" applyNumberFormat="1" applyFont="1" applyFill="1" applyBorder="1" applyAlignment="1">
      <alignment horizontal="center" vertical="center" wrapText="1"/>
    </xf>
    <xf numFmtId="49" fontId="31" fillId="4" borderId="2" xfId="1" applyNumberFormat="1" applyFont="1" applyFill="1" applyBorder="1" applyAlignment="1">
      <alignment horizontal="center" vertical="center" wrapText="1"/>
    </xf>
    <xf numFmtId="165" fontId="37" fillId="4" borderId="2" xfId="13" applyFont="1" applyFill="1" applyBorder="1" applyAlignment="1">
      <alignment horizontal="center" vertical="center" wrapText="1"/>
    </xf>
    <xf numFmtId="165" fontId="42" fillId="4" borderId="2" xfId="13" applyFont="1" applyFill="1" applyBorder="1" applyAlignment="1">
      <alignment vertical="center"/>
    </xf>
    <xf numFmtId="165" fontId="37" fillId="3" borderId="2" xfId="13" applyFont="1" applyFill="1" applyBorder="1" applyAlignment="1">
      <alignment vertical="center"/>
    </xf>
    <xf numFmtId="0" fontId="35" fillId="0" borderId="45" xfId="1" applyFont="1" applyBorder="1" applyAlignment="1">
      <alignment horizontal="left" vertical="center" wrapText="1"/>
    </xf>
    <xf numFmtId="165" fontId="31" fillId="0" borderId="46" xfId="13" applyFont="1" applyBorder="1" applyAlignment="1">
      <alignment vertical="center"/>
    </xf>
    <xf numFmtId="165" fontId="44" fillId="4" borderId="46" xfId="13" applyFont="1" applyFill="1" applyBorder="1" applyAlignment="1">
      <alignment vertical="center"/>
    </xf>
    <xf numFmtId="0" fontId="35" fillId="0" borderId="0" xfId="1" applyFont="1" applyAlignment="1">
      <alignment horizontal="center" vertical="center"/>
    </xf>
    <xf numFmtId="4" fontId="49" fillId="0" borderId="48" xfId="1" applyNumberFormat="1" applyFont="1" applyBorder="1" applyAlignment="1">
      <alignment horizontal="right" vertical="center" shrinkToFit="1"/>
    </xf>
    <xf numFmtId="0" fontId="35" fillId="0" borderId="2" xfId="1" applyFont="1" applyBorder="1" applyAlignment="1">
      <alignment vertical="center"/>
    </xf>
    <xf numFmtId="0" fontId="31" fillId="0" borderId="2" xfId="1" applyFont="1" applyBorder="1" applyAlignment="1">
      <alignment vertical="center"/>
    </xf>
    <xf numFmtId="0" fontId="35" fillId="9" borderId="2" xfId="1" applyFont="1" applyFill="1" applyBorder="1" applyAlignment="1">
      <alignment horizontal="center" vertical="center"/>
    </xf>
    <xf numFmtId="0" fontId="31" fillId="9" borderId="2" xfId="1" applyFont="1" applyFill="1" applyBorder="1" applyAlignment="1">
      <alignment horizontal="center" vertical="center"/>
    </xf>
    <xf numFmtId="165" fontId="37" fillId="9" borderId="2" xfId="13" applyFont="1" applyFill="1" applyBorder="1" applyAlignment="1">
      <alignment horizontal="center" vertical="center"/>
    </xf>
    <xf numFmtId="0" fontId="41" fillId="11" borderId="2" xfId="1" applyFont="1" applyFill="1" applyBorder="1" applyAlignment="1">
      <alignment horizontal="center" vertical="center" wrapText="1"/>
    </xf>
    <xf numFmtId="165" fontId="44" fillId="5" borderId="2" xfId="13" applyFont="1" applyFill="1" applyBorder="1" applyAlignment="1">
      <alignment horizontal="center" vertical="center"/>
    </xf>
    <xf numFmtId="0" fontId="35" fillId="0" borderId="0" xfId="1" quotePrefix="1" applyFont="1" applyAlignment="1">
      <alignment horizontal="center" vertical="center" wrapText="1"/>
    </xf>
    <xf numFmtId="0" fontId="45" fillId="0" borderId="0" xfId="1" applyFont="1" applyAlignment="1">
      <alignment horizontal="center" vertical="center" wrapText="1"/>
    </xf>
    <xf numFmtId="0" fontId="31" fillId="0" borderId="0" xfId="1" applyFont="1" applyAlignment="1">
      <alignment horizontal="center" vertical="center" wrapText="1"/>
    </xf>
    <xf numFmtId="165" fontId="37" fillId="0" borderId="0" xfId="13" applyFont="1" applyAlignment="1">
      <alignment horizontal="center" vertical="center"/>
    </xf>
    <xf numFmtId="166" fontId="37" fillId="0" borderId="0" xfId="13" applyNumberFormat="1" applyFont="1" applyAlignment="1">
      <alignment vertical="center"/>
    </xf>
    <xf numFmtId="165" fontId="37" fillId="0" borderId="0" xfId="1" applyNumberFormat="1" applyFont="1" applyAlignment="1">
      <alignment vertical="center"/>
    </xf>
    <xf numFmtId="165" fontId="50" fillId="0" borderId="0" xfId="1" applyNumberFormat="1" applyFont="1" applyAlignment="1">
      <alignment vertical="center"/>
    </xf>
    <xf numFmtId="0" fontId="31" fillId="0" borderId="2" xfId="1" applyFont="1" applyBorder="1" applyAlignment="1">
      <alignment horizontal="center" vertical="center"/>
    </xf>
    <xf numFmtId="165" fontId="37" fillId="0" borderId="2" xfId="13" applyFont="1" applyBorder="1" applyAlignment="1">
      <alignment horizontal="center" vertical="center"/>
    </xf>
    <xf numFmtId="4" fontId="3" fillId="2" borderId="5" xfId="8">
      <alignment horizontal="right" vertical="top" shrinkToFit="1"/>
    </xf>
    <xf numFmtId="164" fontId="10" fillId="10" borderId="47" xfId="4" applyFont="1" applyFill="1" applyBorder="1" applyAlignment="1">
      <alignment horizontal="right" vertical="center" shrinkToFit="1"/>
    </xf>
    <xf numFmtId="165" fontId="31" fillId="0" borderId="45" xfId="13" applyFont="1" applyBorder="1" applyAlignment="1">
      <alignment horizontal="center" vertical="center"/>
    </xf>
    <xf numFmtId="4" fontId="38" fillId="0" borderId="2" xfId="15" applyFont="1" applyFill="1" applyBorder="1" applyAlignment="1">
      <alignment horizontal="right" vertical="center" shrinkToFit="1"/>
    </xf>
    <xf numFmtId="0" fontId="31" fillId="0" borderId="0" xfId="1" applyFont="1" applyAlignment="1">
      <alignment horizontal="center" vertical="center"/>
    </xf>
    <xf numFmtId="4" fontId="52" fillId="0" borderId="49" xfId="17" applyNumberFormat="1" applyFont="1" applyBorder="1" applyAlignment="1">
      <alignment horizontal="right" vertical="top" shrinkToFit="1"/>
    </xf>
    <xf numFmtId="170" fontId="37" fillId="0" borderId="2" xfId="1" applyNumberFormat="1" applyFont="1" applyBorder="1" applyAlignment="1">
      <alignment vertical="center"/>
    </xf>
    <xf numFmtId="0" fontId="31" fillId="0" borderId="0" xfId="1" applyFont="1" applyAlignment="1">
      <alignment horizontal="right" vertical="center"/>
    </xf>
    <xf numFmtId="4" fontId="53" fillId="16" borderId="2" xfId="18" applyNumberFormat="1" applyFont="1" applyFill="1" applyBorder="1" applyAlignment="1">
      <alignment horizontal="right" vertical="center" wrapText="1" shrinkToFit="1"/>
    </xf>
    <xf numFmtId="165" fontId="35" fillId="0" borderId="2" xfId="1" applyNumberFormat="1" applyFont="1" applyBorder="1" applyAlignment="1">
      <alignment horizontal="center" vertical="center" wrapText="1"/>
    </xf>
    <xf numFmtId="4" fontId="35" fillId="0" borderId="0" xfId="1" applyNumberFormat="1" applyFont="1" applyAlignment="1">
      <alignment vertical="center"/>
    </xf>
    <xf numFmtId="165" fontId="37" fillId="0" borderId="46" xfId="13" applyFont="1" applyBorder="1" applyAlignment="1">
      <alignment vertical="center" wrapText="1"/>
    </xf>
    <xf numFmtId="0" fontId="41" fillId="7" borderId="2" xfId="1" applyFont="1" applyFill="1" applyBorder="1" applyAlignment="1">
      <alignment horizontal="center" vertical="center" wrapText="1"/>
    </xf>
    <xf numFmtId="0" fontId="31" fillId="7" borderId="9" xfId="1" applyFont="1" applyFill="1" applyBorder="1" applyAlignment="1">
      <alignment horizontal="center" vertical="center" wrapText="1"/>
    </xf>
    <xf numFmtId="165" fontId="37" fillId="7" borderId="46" xfId="13" applyFont="1" applyFill="1" applyBorder="1" applyAlignment="1">
      <alignment vertical="center" wrapText="1"/>
    </xf>
    <xf numFmtId="0" fontId="31" fillId="7" borderId="2" xfId="1" applyFont="1" applyFill="1" applyBorder="1" applyAlignment="1">
      <alignment horizontal="center" vertical="center" wrapText="1"/>
    </xf>
    <xf numFmtId="0" fontId="34" fillId="0" borderId="0" xfId="1" applyFont="1"/>
    <xf numFmtId="43" fontId="32" fillId="17" borderId="0" xfId="1" applyNumberFormat="1" applyFont="1" applyFill="1"/>
    <xf numFmtId="0" fontId="34" fillId="0" borderId="2" xfId="1" applyFont="1" applyBorder="1" applyAlignment="1">
      <alignment horizontal="center" vertical="center" wrapText="1"/>
    </xf>
    <xf numFmtId="0" fontId="34" fillId="0" borderId="2" xfId="1" applyFont="1" applyBorder="1" applyAlignment="1">
      <alignment vertical="center" wrapText="1"/>
    </xf>
    <xf numFmtId="49" fontId="2" fillId="0" borderId="2" xfId="1" applyNumberFormat="1" applyFont="1" applyBorder="1" applyAlignment="1">
      <alignment horizontal="center" vertical="center" wrapText="1"/>
    </xf>
    <xf numFmtId="165" fontId="2" fillId="0" borderId="2" xfId="13" applyFont="1" applyBorder="1" applyAlignment="1">
      <alignment vertical="center"/>
    </xf>
    <xf numFmtId="165" fontId="46" fillId="0" borderId="2" xfId="13" applyFont="1" applyBorder="1" applyAlignment="1">
      <alignment horizontal="center" vertical="center" wrapText="1"/>
    </xf>
    <xf numFmtId="165" fontId="46" fillId="0" borderId="2" xfId="13" applyFont="1" applyBorder="1" applyAlignment="1">
      <alignment vertical="center"/>
    </xf>
    <xf numFmtId="165" fontId="46" fillId="3" borderId="2" xfId="13" applyFont="1" applyFill="1" applyBorder="1" applyAlignment="1">
      <alignment vertical="center"/>
    </xf>
    <xf numFmtId="0" fontId="34" fillId="0" borderId="2" xfId="1" applyFont="1" applyBorder="1" applyAlignment="1">
      <alignment vertical="center"/>
    </xf>
    <xf numFmtId="171" fontId="2" fillId="0" borderId="2" xfId="13" applyNumberFormat="1" applyFont="1" applyBorder="1" applyAlignment="1">
      <alignment vertical="center"/>
    </xf>
    <xf numFmtId="0" fontId="34" fillId="0" borderId="0" xfId="1" applyFont="1" applyAlignment="1">
      <alignment horizontal="center"/>
    </xf>
    <xf numFmtId="4" fontId="47" fillId="0" borderId="0" xfId="1" applyNumberFormat="1" applyFont="1"/>
    <xf numFmtId="0" fontId="2" fillId="0" borderId="2" xfId="1" applyFont="1" applyBorder="1" applyAlignment="1">
      <alignment horizontal="center" vertical="center"/>
    </xf>
    <xf numFmtId="0" fontId="34" fillId="8" borderId="2" xfId="1" applyFont="1" applyFill="1" applyBorder="1" applyAlignment="1">
      <alignment vertical="center" wrapText="1"/>
    </xf>
    <xf numFmtId="165" fontId="46" fillId="8" borderId="2" xfId="13" applyFont="1" applyFill="1" applyBorder="1" applyAlignment="1">
      <alignment vertical="center"/>
    </xf>
    <xf numFmtId="165" fontId="46" fillId="7" borderId="2" xfId="13" applyFont="1" applyFill="1" applyBorder="1" applyAlignment="1">
      <alignment vertical="center"/>
    </xf>
    <xf numFmtId="165" fontId="54" fillId="0" borderId="2" xfId="13" applyFont="1" applyBorder="1" applyAlignment="1">
      <alignment vertical="center"/>
    </xf>
    <xf numFmtId="0" fontId="2" fillId="9" borderId="2" xfId="1" applyFont="1" applyFill="1" applyBorder="1" applyAlignment="1">
      <alignment horizontal="center" vertical="center" wrapText="1"/>
    </xf>
    <xf numFmtId="165" fontId="2" fillId="9" borderId="2" xfId="13" applyFont="1" applyFill="1" applyBorder="1" applyAlignment="1">
      <alignment vertical="center"/>
    </xf>
    <xf numFmtId="0" fontId="47" fillId="0" borderId="0" xfId="1" applyFont="1" applyAlignment="1">
      <alignment vertical="center"/>
    </xf>
    <xf numFmtId="0" fontId="46" fillId="0" borderId="0" xfId="1" applyFont="1" applyAlignment="1">
      <alignment vertical="center"/>
    </xf>
    <xf numFmtId="165" fontId="46" fillId="0" borderId="0" xfId="1" applyNumberFormat="1" applyFont="1" applyAlignment="1">
      <alignment vertical="center"/>
    </xf>
    <xf numFmtId="171" fontId="2" fillId="0" borderId="2" xfId="13" applyNumberFormat="1" applyFont="1" applyBorder="1" applyAlignment="1">
      <alignment horizontal="center" vertical="center"/>
    </xf>
    <xf numFmtId="171" fontId="24" fillId="0" borderId="2" xfId="13" applyNumberFormat="1" applyFont="1" applyBorder="1" applyAlignment="1">
      <alignment vertical="center"/>
    </xf>
    <xf numFmtId="171" fontId="32" fillId="0" borderId="2" xfId="13" applyNumberFormat="1" applyFont="1" applyBorder="1" applyAlignment="1">
      <alignment vertical="center"/>
    </xf>
    <xf numFmtId="171" fontId="32" fillId="0" borderId="2" xfId="13" applyNumberFormat="1" applyFont="1" applyBorder="1" applyAlignment="1">
      <alignment horizontal="center" vertical="center"/>
    </xf>
    <xf numFmtId="0" fontId="55" fillId="0" borderId="0" xfId="1" applyFont="1" applyAlignment="1">
      <alignment vertical="center"/>
    </xf>
    <xf numFmtId="171" fontId="24" fillId="9" borderId="2" xfId="13" applyNumberFormat="1" applyFont="1" applyFill="1" applyBorder="1" applyAlignment="1">
      <alignment vertical="center"/>
    </xf>
    <xf numFmtId="172" fontId="32" fillId="4" borderId="0" xfId="1" applyNumberFormat="1" applyFont="1" applyFill="1" applyAlignment="1">
      <alignment vertical="center"/>
    </xf>
    <xf numFmtId="0" fontId="2" fillId="3" borderId="2" xfId="1" applyFont="1" applyFill="1" applyBorder="1" applyAlignment="1">
      <alignment horizontal="center" vertical="center"/>
    </xf>
    <xf numFmtId="171" fontId="24" fillId="3" borderId="2" xfId="13" applyNumberFormat="1" applyFont="1" applyFill="1" applyBorder="1" applyAlignment="1">
      <alignment vertical="center"/>
    </xf>
    <xf numFmtId="171" fontId="24" fillId="3" borderId="2" xfId="1" applyNumberFormat="1" applyFont="1" applyFill="1" applyBorder="1" applyAlignment="1">
      <alignment vertical="center"/>
    </xf>
    <xf numFmtId="173" fontId="36" fillId="0" borderId="0" xfId="1" applyNumberFormat="1" applyFont="1" applyAlignment="1">
      <alignment vertical="center"/>
    </xf>
    <xf numFmtId="0" fontId="56" fillId="0" borderId="0" xfId="1" applyFont="1"/>
    <xf numFmtId="0" fontId="17" fillId="0" borderId="0" xfId="1" applyFont="1"/>
    <xf numFmtId="0" fontId="57" fillId="0" borderId="0" xfId="1" applyFont="1"/>
    <xf numFmtId="0" fontId="9" fillId="0" borderId="11"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19" fillId="0" borderId="19" xfId="1" applyFont="1" applyBorder="1" applyAlignment="1">
      <alignment vertical="center" wrapText="1"/>
    </xf>
    <xf numFmtId="0" fontId="19" fillId="0" borderId="13" xfId="1" applyFont="1" applyBorder="1" applyAlignment="1">
      <alignment vertical="center" wrapText="1"/>
    </xf>
    <xf numFmtId="0" fontId="17" fillId="0" borderId="10" xfId="1" applyFont="1" applyBorder="1" applyAlignment="1">
      <alignment horizontal="center"/>
    </xf>
    <xf numFmtId="0" fontId="17" fillId="18" borderId="11" xfId="1" applyFont="1" applyFill="1" applyBorder="1" applyAlignment="1">
      <alignment horizontal="center"/>
    </xf>
    <xf numFmtId="0" fontId="17" fillId="18" borderId="22" xfId="1" applyFont="1" applyFill="1" applyBorder="1" applyAlignment="1">
      <alignment horizontal="center"/>
    </xf>
    <xf numFmtId="0" fontId="17" fillId="0" borderId="24" xfId="1" applyFont="1" applyBorder="1" applyAlignment="1">
      <alignment horizontal="center"/>
    </xf>
    <xf numFmtId="0" fontId="17" fillId="0" borderId="22" xfId="1" applyFont="1" applyBorder="1" applyAlignment="1">
      <alignment horizontal="center"/>
    </xf>
    <xf numFmtId="0" fontId="17" fillId="0" borderId="13" xfId="1" applyFont="1" applyBorder="1" applyAlignment="1">
      <alignment horizontal="center"/>
    </xf>
    <xf numFmtId="0" fontId="17" fillId="4" borderId="14" xfId="1" applyFont="1" applyFill="1" applyBorder="1"/>
    <xf numFmtId="43" fontId="23" fillId="4" borderId="25" xfId="1" applyNumberFormat="1" applyFont="1" applyFill="1" applyBorder="1"/>
    <xf numFmtId="43" fontId="23" fillId="4" borderId="26" xfId="1" applyNumberFormat="1" applyFont="1" applyFill="1" applyBorder="1"/>
    <xf numFmtId="165" fontId="20" fillId="18" borderId="44" xfId="13" applyFont="1" applyFill="1" applyBorder="1" applyAlignment="1">
      <alignment horizontal="center"/>
    </xf>
    <xf numFmtId="165" fontId="20" fillId="18" borderId="42" xfId="13" applyFont="1" applyFill="1" applyBorder="1" applyAlignment="1">
      <alignment horizontal="center"/>
    </xf>
    <xf numFmtId="165" fontId="20" fillId="18" borderId="23" xfId="13" applyFont="1" applyFill="1" applyBorder="1" applyAlignment="1">
      <alignment horizontal="center"/>
    </xf>
    <xf numFmtId="165" fontId="20" fillId="0" borderId="26" xfId="13" applyFont="1" applyBorder="1" applyAlignment="1">
      <alignment horizontal="center"/>
    </xf>
    <xf numFmtId="165" fontId="20" fillId="0" borderId="28" xfId="13" applyFont="1" applyBorder="1" applyAlignment="1">
      <alignment horizontal="center"/>
    </xf>
    <xf numFmtId="165" fontId="20" fillId="0" borderId="27" xfId="13" applyFont="1" applyBorder="1" applyAlignment="1">
      <alignment horizontal="center"/>
    </xf>
    <xf numFmtId="165" fontId="59" fillId="0" borderId="28" xfId="13" applyFont="1" applyBorder="1" applyAlignment="1">
      <alignment horizontal="center" wrapText="1" shrinkToFit="1"/>
    </xf>
    <xf numFmtId="165" fontId="59" fillId="0" borderId="25" xfId="13" applyFont="1" applyBorder="1" applyAlignment="1">
      <alignment horizontal="center" wrapText="1" shrinkToFit="1"/>
    </xf>
    <xf numFmtId="165" fontId="59" fillId="0" borderId="26" xfId="13" applyFont="1" applyBorder="1" applyAlignment="1">
      <alignment horizontal="center" wrapText="1" shrinkToFit="1"/>
    </xf>
    <xf numFmtId="165" fontId="20" fillId="0" borderId="16" xfId="13" applyFont="1" applyBorder="1" applyAlignment="1">
      <alignment horizontal="center"/>
    </xf>
    <xf numFmtId="165" fontId="20" fillId="0" borderId="10" xfId="13" applyFont="1" applyBorder="1" applyAlignment="1">
      <alignment horizontal="center"/>
    </xf>
    <xf numFmtId="171" fontId="12" fillId="0" borderId="0" xfId="13" applyNumberFormat="1" applyFont="1"/>
    <xf numFmtId="43" fontId="23" fillId="0" borderId="32" xfId="1" applyNumberFormat="1" applyFont="1" applyBorder="1"/>
    <xf numFmtId="43" fontId="23" fillId="0" borderId="30" xfId="1" applyNumberFormat="1" applyFont="1" applyBorder="1"/>
    <xf numFmtId="165" fontId="20" fillId="18" borderId="31" xfId="13" applyFont="1" applyFill="1" applyBorder="1" applyAlignment="1">
      <alignment horizontal="center"/>
    </xf>
    <xf numFmtId="165" fontId="20" fillId="18" borderId="32" xfId="13" applyFont="1" applyFill="1" applyBorder="1" applyAlignment="1">
      <alignment horizontal="center"/>
    </xf>
    <xf numFmtId="165" fontId="59" fillId="0" borderId="31" xfId="13" applyFont="1" applyBorder="1" applyAlignment="1">
      <alignment horizontal="center" wrapText="1" shrinkToFit="1"/>
    </xf>
    <xf numFmtId="165" fontId="59" fillId="0" borderId="32" xfId="13" applyFont="1" applyBorder="1" applyAlignment="1">
      <alignment horizontal="center" wrapText="1" shrinkToFit="1"/>
    </xf>
    <xf numFmtId="165" fontId="59" fillId="0" borderId="30" xfId="13" applyFont="1" applyBorder="1" applyAlignment="1">
      <alignment horizontal="center" wrapText="1" shrinkToFit="1"/>
    </xf>
    <xf numFmtId="0" fontId="17" fillId="4" borderId="24" xfId="1" applyFont="1" applyFill="1" applyBorder="1"/>
    <xf numFmtId="43" fontId="23" fillId="4" borderId="32" xfId="1" applyNumberFormat="1" applyFont="1" applyFill="1" applyBorder="1"/>
    <xf numFmtId="43" fontId="23" fillId="4" borderId="30" xfId="1" applyNumberFormat="1" applyFont="1" applyFill="1" applyBorder="1"/>
    <xf numFmtId="0" fontId="17" fillId="4" borderId="31" xfId="1" applyFont="1" applyFill="1" applyBorder="1"/>
    <xf numFmtId="43" fontId="23" fillId="0" borderId="34" xfId="1" applyNumberFormat="1" applyFont="1" applyBorder="1"/>
    <xf numFmtId="43" fontId="23" fillId="0" borderId="35" xfId="1" applyNumberFormat="1" applyFont="1" applyBorder="1"/>
    <xf numFmtId="165" fontId="20" fillId="0" borderId="41" xfId="13" applyFont="1" applyBorder="1" applyAlignment="1">
      <alignment horizontal="center"/>
    </xf>
    <xf numFmtId="165" fontId="59" fillId="0" borderId="37" xfId="13" applyFont="1" applyBorder="1" applyAlignment="1">
      <alignment horizontal="center" wrapText="1" shrinkToFit="1"/>
    </xf>
    <xf numFmtId="165" fontId="59" fillId="0" borderId="34" xfId="13" applyFont="1" applyBorder="1" applyAlignment="1">
      <alignment horizontal="center" wrapText="1" shrinkToFit="1"/>
    </xf>
    <xf numFmtId="165" fontId="59" fillId="0" borderId="35" xfId="13" applyFont="1" applyBorder="1" applyAlignment="1">
      <alignment horizontal="center" wrapText="1" shrinkToFit="1"/>
    </xf>
    <xf numFmtId="165" fontId="19" fillId="18" borderId="22" xfId="13" applyFont="1" applyFill="1" applyBorder="1"/>
    <xf numFmtId="165" fontId="19" fillId="18" borderId="13" xfId="13" applyFont="1" applyFill="1" applyBorder="1"/>
    <xf numFmtId="0" fontId="17" fillId="0" borderId="15" xfId="1" applyFont="1" applyBorder="1"/>
    <xf numFmtId="165" fontId="19" fillId="18" borderId="23" xfId="13" applyFont="1" applyFill="1" applyBorder="1"/>
    <xf numFmtId="165" fontId="19" fillId="18" borderId="43" xfId="13" applyFont="1" applyFill="1" applyBorder="1"/>
    <xf numFmtId="166" fontId="19" fillId="0" borderId="42" xfId="13" applyNumberFormat="1" applyFont="1" applyBorder="1"/>
    <xf numFmtId="166" fontId="19" fillId="0" borderId="24" xfId="13" applyNumberFormat="1" applyFont="1" applyBorder="1"/>
    <xf numFmtId="165" fontId="58" fillId="0" borderId="28" xfId="13" applyFont="1" applyBorder="1"/>
    <xf numFmtId="165" fontId="58" fillId="0" borderId="25" xfId="13" applyFont="1" applyBorder="1"/>
    <xf numFmtId="165" fontId="58" fillId="0" borderId="27" xfId="13" applyFont="1" applyBorder="1"/>
    <xf numFmtId="166" fontId="19" fillId="0" borderId="0" xfId="13" applyNumberFormat="1" applyFont="1"/>
    <xf numFmtId="165" fontId="59" fillId="0" borderId="33" xfId="13" applyFont="1" applyBorder="1" applyAlignment="1">
      <alignment horizontal="center" wrapText="1" shrinkToFit="1"/>
    </xf>
    <xf numFmtId="165" fontId="19" fillId="18" borderId="10" xfId="13" applyFont="1" applyFill="1" applyBorder="1"/>
    <xf numFmtId="165" fontId="19" fillId="18" borderId="16" xfId="13" applyFont="1" applyFill="1" applyBorder="1"/>
    <xf numFmtId="0" fontId="22" fillId="18" borderId="10" xfId="1" applyFont="1" applyFill="1" applyBorder="1"/>
    <xf numFmtId="0" fontId="22" fillId="18" borderId="16" xfId="1" applyFont="1" applyFill="1" applyBorder="1"/>
    <xf numFmtId="165" fontId="20" fillId="0" borderId="14" xfId="13" applyFont="1" applyBorder="1" applyAlignment="1">
      <alignment horizontal="center"/>
    </xf>
    <xf numFmtId="0" fontId="22" fillId="0" borderId="24" xfId="1" applyFont="1" applyBorder="1"/>
    <xf numFmtId="0" fontId="22" fillId="0" borderId="15" xfId="1" applyFont="1" applyBorder="1"/>
    <xf numFmtId="0" fontId="22" fillId="18" borderId="21" xfId="1" applyFont="1" applyFill="1" applyBorder="1"/>
    <xf numFmtId="0" fontId="22" fillId="18" borderId="19" xfId="1" applyFont="1" applyFill="1" applyBorder="1"/>
    <xf numFmtId="165" fontId="20" fillId="0" borderId="18" xfId="13" applyFont="1" applyBorder="1" applyAlignment="1">
      <alignment horizontal="center"/>
    </xf>
    <xf numFmtId="165" fontId="19" fillId="18" borderId="21" xfId="13" applyFont="1" applyFill="1" applyBorder="1" applyAlignment="1">
      <alignment horizontal="center"/>
    </xf>
    <xf numFmtId="165" fontId="19" fillId="18" borderId="19" xfId="13" applyFont="1" applyFill="1" applyBorder="1" applyAlignment="1">
      <alignment horizontal="center"/>
    </xf>
    <xf numFmtId="43" fontId="23" fillId="0" borderId="0" xfId="1" applyNumberFormat="1" applyFont="1"/>
    <xf numFmtId="0" fontId="9" fillId="0" borderId="0" xfId="1" applyFont="1"/>
    <xf numFmtId="0" fontId="9" fillId="0" borderId="2" xfId="1" applyFont="1" applyBorder="1"/>
    <xf numFmtId="43" fontId="26" fillId="0" borderId="2" xfId="1" applyNumberFormat="1" applyFont="1" applyBorder="1"/>
    <xf numFmtId="0" fontId="9" fillId="4" borderId="2" xfId="1" applyFont="1" applyFill="1" applyBorder="1"/>
    <xf numFmtId="43" fontId="26" fillId="4" borderId="2" xfId="1" applyNumberFormat="1" applyFont="1" applyFill="1" applyBorder="1"/>
    <xf numFmtId="165" fontId="26" fillId="0" borderId="2" xfId="1" applyNumberFormat="1" applyFont="1" applyBorder="1"/>
    <xf numFmtId="0" fontId="9" fillId="0" borderId="2" xfId="1" applyFont="1" applyBorder="1" applyAlignment="1">
      <alignment horizontal="center" vertical="center"/>
    </xf>
    <xf numFmtId="165" fontId="60" fillId="0" borderId="0" xfId="1" applyNumberFormat="1" applyFont="1" applyAlignment="1">
      <alignment vertical="center" wrapText="1"/>
    </xf>
    <xf numFmtId="165" fontId="61" fillId="0" borderId="0" xfId="13" applyFont="1" applyAlignment="1">
      <alignment vertical="center" wrapText="1"/>
    </xf>
    <xf numFmtId="0" fontId="60" fillId="0" borderId="0" xfId="1" applyFont="1" applyAlignment="1">
      <alignment vertical="center" wrapText="1"/>
    </xf>
    <xf numFmtId="165" fontId="30" fillId="0" borderId="0" xfId="1" applyNumberFormat="1" applyFont="1" applyAlignment="1">
      <alignment horizontal="center"/>
    </xf>
    <xf numFmtId="0" fontId="62" fillId="0" borderId="0" xfId="1" applyFont="1"/>
    <xf numFmtId="0" fontId="61" fillId="0" borderId="0" xfId="1" applyFont="1"/>
    <xf numFmtId="0" fontId="2" fillId="0" borderId="0" xfId="1" applyFont="1"/>
    <xf numFmtId="0" fontId="1" fillId="0" borderId="50" xfId="1" applyBorder="1"/>
    <xf numFmtId="0" fontId="63" fillId="0" borderId="24" xfId="1" applyFont="1" applyBorder="1" applyAlignment="1">
      <alignment horizontal="center" vertical="center" wrapText="1"/>
    </xf>
    <xf numFmtId="0" fontId="63" fillId="0" borderId="14" xfId="1" applyFont="1" applyBorder="1" applyAlignment="1">
      <alignment horizontal="center" vertical="center" wrapText="1"/>
    </xf>
    <xf numFmtId="0" fontId="63" fillId="0" borderId="10" xfId="1" applyFont="1" applyBorder="1" applyAlignment="1">
      <alignment horizontal="center" vertical="center" wrapText="1"/>
    </xf>
    <xf numFmtId="0" fontId="63" fillId="0" borderId="22" xfId="1" applyFont="1" applyBorder="1" applyAlignment="1">
      <alignment horizontal="center" vertical="center" wrapText="1"/>
    </xf>
    <xf numFmtId="0" fontId="63" fillId="0" borderId="0" xfId="1" applyFont="1" applyAlignment="1">
      <alignment horizontal="center" vertical="center" wrapText="1"/>
    </xf>
    <xf numFmtId="0" fontId="63" fillId="0" borderId="16" xfId="1" applyFont="1" applyBorder="1" applyAlignment="1">
      <alignment horizontal="center" vertical="center" wrapText="1"/>
    </xf>
    <xf numFmtId="0" fontId="63" fillId="11" borderId="11" xfId="1" applyFont="1" applyFill="1" applyBorder="1" applyAlignment="1">
      <alignment horizontal="center" vertical="center" wrapText="1"/>
    </xf>
    <xf numFmtId="0" fontId="63" fillId="11" borderId="22" xfId="1" applyFont="1" applyFill="1" applyBorder="1" applyAlignment="1">
      <alignment horizontal="center" vertical="center" wrapText="1"/>
    </xf>
    <xf numFmtId="0" fontId="63" fillId="11" borderId="12" xfId="1" applyFont="1" applyFill="1" applyBorder="1" applyAlignment="1">
      <alignment horizontal="center" vertical="center" wrapText="1"/>
    </xf>
    <xf numFmtId="0" fontId="63" fillId="11" borderId="13" xfId="1" applyFont="1" applyFill="1" applyBorder="1" applyAlignment="1">
      <alignment horizontal="center" vertical="center" wrapText="1"/>
    </xf>
    <xf numFmtId="0" fontId="63" fillId="0" borderId="18" xfId="1" applyFont="1" applyBorder="1" applyAlignment="1">
      <alignment horizontal="center" vertical="center" wrapText="1"/>
    </xf>
    <xf numFmtId="0" fontId="63" fillId="0" borderId="11" xfId="1" applyFont="1" applyBorder="1" applyAlignment="1">
      <alignment horizontal="center" vertical="center" wrapText="1"/>
    </xf>
    <xf numFmtId="0" fontId="63" fillId="0" borderId="19" xfId="1" applyFont="1" applyBorder="1" applyAlignment="1">
      <alignment horizontal="center" vertical="center" wrapText="1"/>
    </xf>
    <xf numFmtId="0" fontId="63" fillId="0" borderId="12" xfId="1" applyFont="1" applyBorder="1" applyAlignment="1">
      <alignment horizontal="center" vertical="center" wrapText="1"/>
    </xf>
    <xf numFmtId="0" fontId="63" fillId="0" borderId="17" xfId="1" applyFont="1" applyBorder="1" applyAlignment="1">
      <alignment horizontal="center" vertical="center" wrapText="1"/>
    </xf>
    <xf numFmtId="0" fontId="63" fillId="5" borderId="12" xfId="1" applyFont="1" applyFill="1" applyBorder="1" applyAlignment="1">
      <alignment horizontal="center" vertical="center" wrapText="1"/>
    </xf>
    <xf numFmtId="0" fontId="63" fillId="5" borderId="22" xfId="1" applyFont="1" applyFill="1" applyBorder="1" applyAlignment="1">
      <alignment horizontal="center" vertical="center" wrapText="1"/>
    </xf>
    <xf numFmtId="0" fontId="63" fillId="5" borderId="13" xfId="1" applyFont="1" applyFill="1" applyBorder="1" applyAlignment="1">
      <alignment horizontal="center" vertical="center" wrapText="1"/>
    </xf>
    <xf numFmtId="0" fontId="63" fillId="4" borderId="14" xfId="1" applyFont="1" applyFill="1" applyBorder="1"/>
    <xf numFmtId="165" fontId="64" fillId="0" borderId="25" xfId="1" applyNumberFormat="1" applyFont="1" applyBorder="1"/>
    <xf numFmtId="165" fontId="64" fillId="0" borderId="26" xfId="1" applyNumberFormat="1" applyFont="1" applyBorder="1"/>
    <xf numFmtId="165" fontId="64" fillId="0" borderId="28" xfId="1" applyNumberFormat="1" applyFont="1" applyBorder="1"/>
    <xf numFmtId="165" fontId="64" fillId="0" borderId="27" xfId="1" applyNumberFormat="1" applyFont="1" applyBorder="1"/>
    <xf numFmtId="165" fontId="64" fillId="0" borderId="26" xfId="13" applyFont="1" applyBorder="1" applyAlignment="1">
      <alignment horizontal="center"/>
    </xf>
    <xf numFmtId="165" fontId="64" fillId="0" borderId="25" xfId="13" applyFont="1" applyBorder="1" applyAlignment="1">
      <alignment horizontal="center"/>
    </xf>
    <xf numFmtId="165" fontId="64" fillId="0" borderId="28" xfId="13" applyFont="1" applyBorder="1" applyAlignment="1">
      <alignment horizontal="center"/>
    </xf>
    <xf numFmtId="165" fontId="64" fillId="0" borderId="30" xfId="13" applyFont="1" applyBorder="1" applyAlignment="1">
      <alignment horizontal="center"/>
    </xf>
    <xf numFmtId="165" fontId="64" fillId="4" borderId="27" xfId="13" applyFont="1" applyFill="1" applyBorder="1" applyAlignment="1">
      <alignment horizontal="center"/>
    </xf>
    <xf numFmtId="165" fontId="64" fillId="5" borderId="42" xfId="13" applyFont="1" applyFill="1" applyBorder="1" applyAlignment="1">
      <alignment horizontal="center"/>
    </xf>
    <xf numFmtId="165" fontId="64" fillId="5" borderId="23" xfId="13" applyFont="1" applyFill="1" applyBorder="1" applyAlignment="1">
      <alignment horizontal="center"/>
    </xf>
    <xf numFmtId="165" fontId="64" fillId="5" borderId="43" xfId="13" applyFont="1" applyFill="1" applyBorder="1" applyAlignment="1">
      <alignment horizontal="center"/>
    </xf>
    <xf numFmtId="165" fontId="64" fillId="5" borderId="44" xfId="13" applyFont="1" applyFill="1" applyBorder="1" applyAlignment="1">
      <alignment horizontal="center"/>
    </xf>
    <xf numFmtId="165" fontId="64" fillId="5" borderId="23" xfId="1" applyNumberFormat="1" applyFont="1" applyFill="1" applyBorder="1"/>
    <xf numFmtId="165" fontId="64" fillId="4" borderId="44" xfId="13" applyFont="1" applyFill="1" applyBorder="1" applyAlignment="1">
      <alignment horizontal="center"/>
    </xf>
    <xf numFmtId="165" fontId="64" fillId="0" borderId="27" xfId="13" applyFont="1" applyBorder="1" applyAlignment="1">
      <alignment horizontal="center"/>
    </xf>
    <xf numFmtId="165" fontId="64" fillId="0" borderId="51" xfId="13" applyFont="1" applyBorder="1" applyAlignment="1">
      <alignment horizontal="center"/>
    </xf>
    <xf numFmtId="165" fontId="64" fillId="4" borderId="52" xfId="1" applyNumberFormat="1" applyFont="1" applyFill="1" applyBorder="1"/>
    <xf numFmtId="165" fontId="64" fillId="5" borderId="53" xfId="13" applyFont="1" applyFill="1" applyBorder="1" applyAlignment="1">
      <alignment horizontal="center"/>
    </xf>
    <xf numFmtId="165" fontId="64" fillId="5" borderId="54" xfId="13" applyFont="1" applyFill="1" applyBorder="1" applyAlignment="1">
      <alignment horizontal="center"/>
    </xf>
    <xf numFmtId="165" fontId="64" fillId="11" borderId="43" xfId="13" applyFont="1" applyFill="1" applyBorder="1" applyAlignment="1">
      <alignment horizontal="center"/>
    </xf>
    <xf numFmtId="165" fontId="64" fillId="11" borderId="23" xfId="1" applyNumberFormat="1" applyFont="1" applyFill="1" applyBorder="1"/>
    <xf numFmtId="0" fontId="63" fillId="0" borderId="31" xfId="1" applyFont="1" applyBorder="1"/>
    <xf numFmtId="165" fontId="64" fillId="0" borderId="32" xfId="1" applyNumberFormat="1" applyFont="1" applyBorder="1"/>
    <xf numFmtId="165" fontId="64" fillId="0" borderId="30" xfId="1" applyNumberFormat="1" applyFont="1" applyBorder="1"/>
    <xf numFmtId="165" fontId="64" fillId="0" borderId="31" xfId="1" applyNumberFormat="1" applyFont="1" applyBorder="1"/>
    <xf numFmtId="165" fontId="64" fillId="0" borderId="33" xfId="1" applyNumberFormat="1" applyFont="1" applyBorder="1"/>
    <xf numFmtId="165" fontId="64" fillId="0" borderId="32" xfId="13" applyFont="1" applyBorder="1" applyAlignment="1">
      <alignment horizontal="center"/>
    </xf>
    <xf numFmtId="165" fontId="64" fillId="0" borderId="31" xfId="13" applyFont="1" applyBorder="1" applyAlignment="1">
      <alignment horizontal="center"/>
    </xf>
    <xf numFmtId="165" fontId="64" fillId="0" borderId="33" xfId="13" applyFont="1" applyBorder="1" applyAlignment="1">
      <alignment horizontal="center"/>
    </xf>
    <xf numFmtId="165" fontId="64" fillId="5" borderId="31" xfId="13" applyFont="1" applyFill="1" applyBorder="1" applyAlignment="1">
      <alignment horizontal="center"/>
    </xf>
    <xf numFmtId="165" fontId="64" fillId="5" borderId="32" xfId="13" applyFont="1" applyFill="1" applyBorder="1" applyAlignment="1">
      <alignment horizontal="center"/>
    </xf>
    <xf numFmtId="165" fontId="64" fillId="5" borderId="30" xfId="13" applyFont="1" applyFill="1" applyBorder="1" applyAlignment="1">
      <alignment horizontal="center"/>
    </xf>
    <xf numFmtId="165" fontId="64" fillId="5" borderId="33" xfId="13" applyFont="1" applyFill="1" applyBorder="1" applyAlignment="1">
      <alignment horizontal="center"/>
    </xf>
    <xf numFmtId="165" fontId="64" fillId="5" borderId="32" xfId="1" applyNumberFormat="1" applyFont="1" applyFill="1" applyBorder="1"/>
    <xf numFmtId="165" fontId="64" fillId="11" borderId="33" xfId="13" applyFont="1" applyFill="1" applyBorder="1" applyAlignment="1">
      <alignment horizontal="center"/>
    </xf>
    <xf numFmtId="165" fontId="64" fillId="0" borderId="46" xfId="13" applyFont="1" applyBorder="1" applyAlignment="1">
      <alignment horizontal="center"/>
    </xf>
    <xf numFmtId="165" fontId="64" fillId="0" borderId="45" xfId="1" applyNumberFormat="1" applyFont="1" applyBorder="1"/>
    <xf numFmtId="165" fontId="64" fillId="5" borderId="46" xfId="13" applyFont="1" applyFill="1" applyBorder="1" applyAlignment="1">
      <alignment horizontal="center"/>
    </xf>
    <xf numFmtId="165" fontId="64" fillId="5" borderId="45" xfId="13" applyFont="1" applyFill="1" applyBorder="1" applyAlignment="1">
      <alignment horizontal="center"/>
    </xf>
    <xf numFmtId="165" fontId="64" fillId="11" borderId="30" xfId="13" applyFont="1" applyFill="1" applyBorder="1" applyAlignment="1">
      <alignment horizontal="center"/>
    </xf>
    <xf numFmtId="165" fontId="64" fillId="11" borderId="32" xfId="1" applyNumberFormat="1" applyFont="1" applyFill="1" applyBorder="1"/>
    <xf numFmtId="0" fontId="63" fillId="0" borderId="24" xfId="1" applyFont="1" applyBorder="1"/>
    <xf numFmtId="0" fontId="63" fillId="4" borderId="24" xfId="1" applyFont="1" applyFill="1" applyBorder="1"/>
    <xf numFmtId="165" fontId="64" fillId="4" borderId="33" xfId="13" applyFont="1" applyFill="1" applyBorder="1" applyAlignment="1">
      <alignment horizontal="center"/>
    </xf>
    <xf numFmtId="165" fontId="64" fillId="4" borderId="45" xfId="1" applyNumberFormat="1" applyFont="1" applyFill="1" applyBorder="1"/>
    <xf numFmtId="0" fontId="63" fillId="4" borderId="31" xfId="1" applyFont="1" applyFill="1" applyBorder="1"/>
    <xf numFmtId="165" fontId="64" fillId="11" borderId="31" xfId="13" applyFont="1" applyFill="1" applyBorder="1" applyAlignment="1">
      <alignment horizontal="center"/>
    </xf>
    <xf numFmtId="165" fontId="64" fillId="11" borderId="32" xfId="13" applyFont="1" applyFill="1" applyBorder="1" applyAlignment="1">
      <alignment horizontal="center"/>
    </xf>
    <xf numFmtId="0" fontId="63" fillId="0" borderId="18" xfId="1" applyFont="1" applyBorder="1"/>
    <xf numFmtId="165" fontId="64" fillId="0" borderId="34" xfId="1" applyNumberFormat="1" applyFont="1" applyBorder="1"/>
    <xf numFmtId="165" fontId="64" fillId="0" borderId="35" xfId="1" applyNumberFormat="1" applyFont="1" applyBorder="1"/>
    <xf numFmtId="165" fontId="64" fillId="0" borderId="37" xfId="1" applyNumberFormat="1" applyFont="1" applyBorder="1"/>
    <xf numFmtId="165" fontId="64" fillId="0" borderId="36" xfId="1" applyNumberFormat="1" applyFont="1" applyBorder="1"/>
    <xf numFmtId="165" fontId="64" fillId="0" borderId="35" xfId="13" applyFont="1" applyBorder="1" applyAlignment="1">
      <alignment horizontal="center"/>
    </xf>
    <xf numFmtId="165" fontId="64" fillId="0" borderId="34" xfId="13" applyFont="1" applyBorder="1" applyAlignment="1">
      <alignment horizontal="center"/>
    </xf>
    <xf numFmtId="165" fontId="64" fillId="0" borderId="37" xfId="13" applyFont="1" applyBorder="1" applyAlignment="1">
      <alignment horizontal="center"/>
    </xf>
    <xf numFmtId="165" fontId="64" fillId="0" borderId="36" xfId="13" applyFont="1" applyBorder="1" applyAlignment="1">
      <alignment horizontal="center"/>
    </xf>
    <xf numFmtId="165" fontId="64" fillId="11" borderId="37" xfId="13" applyFont="1" applyFill="1" applyBorder="1" applyAlignment="1">
      <alignment horizontal="center"/>
    </xf>
    <xf numFmtId="165" fontId="64" fillId="11" borderId="34" xfId="13" applyFont="1" applyFill="1" applyBorder="1" applyAlignment="1">
      <alignment horizontal="center"/>
    </xf>
    <xf numFmtId="165" fontId="64" fillId="11" borderId="35" xfId="13" applyFont="1" applyFill="1" applyBorder="1" applyAlignment="1">
      <alignment horizontal="center"/>
    </xf>
    <xf numFmtId="165" fontId="64" fillId="11" borderId="36" xfId="13" applyFont="1" applyFill="1" applyBorder="1" applyAlignment="1">
      <alignment horizontal="center"/>
    </xf>
    <xf numFmtId="165" fontId="64" fillId="11" borderId="34" xfId="1" applyNumberFormat="1" applyFont="1" applyFill="1" applyBorder="1"/>
    <xf numFmtId="165" fontId="64" fillId="0" borderId="55" xfId="13" applyFont="1" applyBorder="1" applyAlignment="1">
      <alignment horizontal="center"/>
    </xf>
    <xf numFmtId="165" fontId="64" fillId="0" borderId="56" xfId="1" applyNumberFormat="1" applyFont="1" applyBorder="1"/>
    <xf numFmtId="165" fontId="64" fillId="5" borderId="34" xfId="13" applyFont="1" applyFill="1" applyBorder="1" applyAlignment="1">
      <alignment horizontal="center"/>
    </xf>
    <xf numFmtId="165" fontId="64" fillId="5" borderId="35" xfId="13" applyFont="1" applyFill="1" applyBorder="1" applyAlignment="1">
      <alignment horizontal="center"/>
    </xf>
    <xf numFmtId="165" fontId="64" fillId="5" borderId="55" xfId="13" applyFont="1" applyFill="1" applyBorder="1" applyAlignment="1">
      <alignment horizontal="center"/>
    </xf>
    <xf numFmtId="165" fontId="64" fillId="5" borderId="56" xfId="13" applyFont="1" applyFill="1" applyBorder="1" applyAlignment="1">
      <alignment horizontal="center"/>
    </xf>
    <xf numFmtId="165" fontId="63" fillId="0" borderId="21" xfId="13" applyFont="1" applyBorder="1"/>
    <xf numFmtId="165" fontId="63" fillId="0" borderId="19" xfId="13" applyFont="1" applyBorder="1"/>
    <xf numFmtId="165" fontId="63" fillId="0" borderId="18" xfId="13" applyFont="1" applyBorder="1"/>
    <xf numFmtId="165" fontId="63" fillId="0" borderId="0" xfId="13" applyFont="1"/>
    <xf numFmtId="165" fontId="63" fillId="0" borderId="15" xfId="13" applyFont="1" applyBorder="1"/>
    <xf numFmtId="165" fontId="63" fillId="0" borderId="22" xfId="13" applyFont="1" applyBorder="1"/>
    <xf numFmtId="165" fontId="63" fillId="11" borderId="22" xfId="13" applyFont="1" applyFill="1" applyBorder="1"/>
    <xf numFmtId="165" fontId="63" fillId="11" borderId="19" xfId="13" applyFont="1" applyFill="1" applyBorder="1"/>
    <xf numFmtId="165" fontId="63" fillId="11" borderId="21" xfId="13" applyFont="1" applyFill="1" applyBorder="1"/>
    <xf numFmtId="165" fontId="63" fillId="11" borderId="20" xfId="13" applyFont="1" applyFill="1" applyBorder="1"/>
    <xf numFmtId="165" fontId="63" fillId="11" borderId="18" xfId="13" applyFont="1" applyFill="1" applyBorder="1"/>
    <xf numFmtId="0" fontId="63" fillId="0" borderId="15" xfId="1" applyFont="1" applyBorder="1"/>
    <xf numFmtId="0" fontId="63" fillId="0" borderId="0" xfId="1" applyFont="1"/>
    <xf numFmtId="166" fontId="63" fillId="0" borderId="26" xfId="13" applyNumberFormat="1" applyFont="1" applyBorder="1"/>
    <xf numFmtId="166" fontId="63" fillId="0" borderId="25" xfId="13" applyNumberFormat="1" applyFont="1" applyBorder="1"/>
    <xf numFmtId="166" fontId="63" fillId="0" borderId="23" xfId="13" applyNumberFormat="1" applyFont="1" applyBorder="1"/>
    <xf numFmtId="166" fontId="63" fillId="0" borderId="43" xfId="13" applyNumberFormat="1" applyFont="1" applyBorder="1"/>
    <xf numFmtId="166" fontId="63" fillId="0" borderId="0" xfId="13" applyNumberFormat="1" applyFont="1"/>
    <xf numFmtId="166" fontId="63" fillId="0" borderId="10" xfId="13" applyNumberFormat="1" applyFont="1" applyBorder="1"/>
    <xf numFmtId="166" fontId="63" fillId="11" borderId="23" xfId="13" applyNumberFormat="1" applyFont="1" applyFill="1" applyBorder="1"/>
    <xf numFmtId="166" fontId="63" fillId="11" borderId="0" xfId="13" applyNumberFormat="1" applyFont="1" applyFill="1"/>
    <xf numFmtId="166" fontId="63" fillId="11" borderId="15" xfId="13" applyNumberFormat="1" applyFont="1" applyFill="1" applyBorder="1"/>
    <xf numFmtId="0" fontId="63" fillId="11" borderId="15" xfId="1" applyFont="1" applyFill="1" applyBorder="1"/>
    <xf numFmtId="0" fontId="63" fillId="0" borderId="32" xfId="1" applyFont="1" applyBorder="1"/>
    <xf numFmtId="165" fontId="63" fillId="0" borderId="10" xfId="13" applyFont="1" applyBorder="1"/>
    <xf numFmtId="165" fontId="63" fillId="0" borderId="16" xfId="13" applyFont="1" applyBorder="1"/>
    <xf numFmtId="165" fontId="63" fillId="11" borderId="10" xfId="13" applyFont="1" applyFill="1" applyBorder="1"/>
    <xf numFmtId="165" fontId="63" fillId="11" borderId="16" xfId="13" applyFont="1" applyFill="1" applyBorder="1"/>
    <xf numFmtId="165" fontId="63" fillId="0" borderId="14" xfId="13" applyFont="1" applyBorder="1"/>
    <xf numFmtId="0" fontId="63" fillId="0" borderId="10" xfId="1" applyFont="1" applyBorder="1"/>
    <xf numFmtId="0" fontId="63" fillId="0" borderId="16" xfId="1" applyFont="1" applyBorder="1"/>
    <xf numFmtId="0" fontId="65" fillId="0" borderId="16" xfId="1" applyFont="1" applyBorder="1"/>
    <xf numFmtId="0" fontId="65" fillId="0" borderId="10" xfId="1" applyFont="1" applyBorder="1"/>
    <xf numFmtId="0" fontId="65" fillId="11" borderId="10" xfId="1" applyFont="1" applyFill="1" applyBorder="1"/>
    <xf numFmtId="0" fontId="65" fillId="11" borderId="16" xfId="1" applyFont="1" applyFill="1" applyBorder="1"/>
    <xf numFmtId="0" fontId="63" fillId="11" borderId="10" xfId="1" applyFont="1" applyFill="1" applyBorder="1"/>
    <xf numFmtId="0" fontId="63" fillId="0" borderId="21" xfId="1" applyFont="1" applyBorder="1"/>
    <xf numFmtId="0" fontId="63" fillId="0" borderId="19" xfId="1" applyFont="1" applyBorder="1"/>
    <xf numFmtId="0" fontId="65" fillId="0" borderId="19" xfId="1" applyFont="1" applyBorder="1"/>
    <xf numFmtId="0" fontId="65" fillId="0" borderId="21" xfId="1" applyFont="1" applyBorder="1"/>
    <xf numFmtId="0" fontId="65" fillId="11" borderId="21" xfId="1" applyFont="1" applyFill="1" applyBorder="1"/>
    <xf numFmtId="0" fontId="65" fillId="11" borderId="19" xfId="1" applyFont="1" applyFill="1" applyBorder="1"/>
    <xf numFmtId="165" fontId="63" fillId="0" borderId="22" xfId="13" applyFont="1" applyBorder="1" applyAlignment="1">
      <alignment horizontal="center"/>
    </xf>
    <xf numFmtId="165" fontId="63" fillId="0" borderId="12" xfId="13" applyFont="1" applyBorder="1" applyAlignment="1">
      <alignment horizontal="center"/>
    </xf>
    <xf numFmtId="165" fontId="63" fillId="11" borderId="22" xfId="13" applyFont="1" applyFill="1" applyBorder="1" applyAlignment="1">
      <alignment horizontal="center"/>
    </xf>
    <xf numFmtId="165" fontId="63" fillId="11" borderId="12" xfId="13" applyFont="1" applyFill="1" applyBorder="1" applyAlignment="1">
      <alignment horizontal="center"/>
    </xf>
    <xf numFmtId="165" fontId="47" fillId="0" borderId="0" xfId="1" applyNumberFormat="1" applyFont="1"/>
    <xf numFmtId="165" fontId="46" fillId="0" borderId="0" xfId="13" applyFont="1"/>
    <xf numFmtId="165" fontId="1" fillId="0" borderId="0" xfId="1" applyNumberFormat="1"/>
    <xf numFmtId="43" fontId="1" fillId="0" borderId="0" xfId="1" applyNumberFormat="1"/>
    <xf numFmtId="0" fontId="2" fillId="0" borderId="2" xfId="1" applyFont="1" applyBorder="1"/>
    <xf numFmtId="43" fontId="32" fillId="0" borderId="2" xfId="1" applyNumberFormat="1" applyFont="1" applyBorder="1"/>
    <xf numFmtId="0" fontId="2" fillId="4" borderId="2" xfId="1" applyFont="1" applyFill="1" applyBorder="1"/>
    <xf numFmtId="43" fontId="32" fillId="4" borderId="2" xfId="1" applyNumberFormat="1" applyFont="1" applyFill="1" applyBorder="1"/>
    <xf numFmtId="165" fontId="32" fillId="0" borderId="2" xfId="1" applyNumberFormat="1" applyFont="1" applyBorder="1"/>
    <xf numFmtId="0" fontId="2" fillId="0" borderId="30" xfId="1" applyFont="1" applyBorder="1"/>
    <xf numFmtId="0" fontId="1" fillId="0" borderId="30" xfId="1" applyBorder="1"/>
    <xf numFmtId="0" fontId="2" fillId="0" borderId="30" xfId="1" applyFont="1" applyBorder="1" applyAlignment="1">
      <alignment wrapText="1"/>
    </xf>
    <xf numFmtId="165" fontId="46" fillId="0" borderId="30" xfId="1" applyNumberFormat="1" applyFont="1" applyBorder="1"/>
    <xf numFmtId="0" fontId="13" fillId="0" borderId="30" xfId="1" applyFont="1" applyBorder="1"/>
    <xf numFmtId="0" fontId="1" fillId="0" borderId="38" xfId="1" applyBorder="1"/>
    <xf numFmtId="0" fontId="2" fillId="0" borderId="38" xfId="1" applyFont="1" applyBorder="1"/>
    <xf numFmtId="0" fontId="2" fillId="0" borderId="38" xfId="1" applyFont="1" applyBorder="1" applyAlignment="1">
      <alignment wrapText="1"/>
    </xf>
    <xf numFmtId="165" fontId="46" fillId="0" borderId="38" xfId="1" applyNumberFormat="1" applyFont="1" applyBorder="1"/>
    <xf numFmtId="0" fontId="13" fillId="0" borderId="38" xfId="1" applyFont="1" applyBorder="1"/>
    <xf numFmtId="0" fontId="2" fillId="0" borderId="38" xfId="1" applyFont="1" applyBorder="1" applyAlignment="1">
      <alignment horizontal="left"/>
    </xf>
    <xf numFmtId="0" fontId="2" fillId="0" borderId="38" xfId="1" applyFont="1" applyBorder="1" applyAlignment="1">
      <alignment horizontal="left" wrapText="1"/>
    </xf>
    <xf numFmtId="0" fontId="2" fillId="0" borderId="30" xfId="1" applyFont="1" applyBorder="1" applyAlignment="1">
      <alignment horizontal="left"/>
    </xf>
    <xf numFmtId="0" fontId="2" fillId="0" borderId="30" xfId="1" applyFont="1" applyBorder="1" applyAlignment="1">
      <alignment horizontal="left" wrapText="1"/>
    </xf>
    <xf numFmtId="0" fontId="2" fillId="0" borderId="43" xfId="1" applyFont="1" applyBorder="1" applyAlignment="1">
      <alignment wrapText="1"/>
    </xf>
    <xf numFmtId="165" fontId="46" fillId="0" borderId="43" xfId="1" applyNumberFormat="1" applyFont="1" applyBorder="1"/>
    <xf numFmtId="0" fontId="13" fillId="0" borderId="43" xfId="1" applyFont="1" applyBorder="1"/>
    <xf numFmtId="0" fontId="1" fillId="0" borderId="43" xfId="1" applyBorder="1"/>
    <xf numFmtId="0" fontId="2" fillId="0" borderId="43" xfId="1" applyFont="1" applyBorder="1"/>
    <xf numFmtId="0" fontId="66" fillId="0" borderId="0" xfId="1" applyFont="1" applyAlignment="1">
      <alignment horizontal="center" wrapText="1"/>
    </xf>
    <xf numFmtId="165" fontId="67" fillId="0" borderId="0" xfId="1" applyNumberFormat="1" applyFont="1"/>
    <xf numFmtId="0" fontId="1" fillId="0" borderId="0" xfId="1" applyAlignment="1">
      <alignment horizontal="center" vertical="center" wrapText="1"/>
    </xf>
    <xf numFmtId="167" fontId="28" fillId="0" borderId="2" xfId="1" applyNumberFormat="1" applyFont="1" applyBorder="1" applyAlignment="1">
      <alignment horizontal="center" vertical="center" wrapText="1"/>
    </xf>
    <xf numFmtId="165" fontId="47" fillId="0" borderId="0" xfId="1" applyNumberFormat="1" applyFont="1" applyAlignment="1">
      <alignment horizontal="center" vertical="center" wrapText="1"/>
    </xf>
    <xf numFmtId="0" fontId="31" fillId="0" borderId="0" xfId="1" applyFont="1" applyAlignment="1">
      <alignment horizontal="right"/>
    </xf>
    <xf numFmtId="168" fontId="29" fillId="0" borderId="2" xfId="13" applyNumberFormat="1" applyFont="1" applyBorder="1"/>
    <xf numFmtId="168" fontId="1" fillId="0" borderId="0" xfId="1" applyNumberFormat="1"/>
    <xf numFmtId="0" fontId="68" fillId="0" borderId="0" xfId="1" applyFont="1"/>
    <xf numFmtId="168" fontId="68" fillId="3" borderId="0" xfId="1" applyNumberFormat="1" applyFont="1" applyFill="1"/>
    <xf numFmtId="168" fontId="68" fillId="0" borderId="0" xfId="1" applyNumberFormat="1" applyFont="1"/>
    <xf numFmtId="168" fontId="29" fillId="0" borderId="2" xfId="1" applyNumberFormat="1" applyFont="1" applyBorder="1"/>
    <xf numFmtId="168" fontId="8" fillId="0" borderId="0" xfId="1" applyNumberFormat="1" applyFont="1"/>
    <xf numFmtId="168" fontId="12" fillId="3" borderId="0" xfId="1" applyNumberFormat="1" applyFont="1" applyFill="1"/>
    <xf numFmtId="168" fontId="12" fillId="4" borderId="0" xfId="1" applyNumberFormat="1" applyFont="1" applyFill="1"/>
    <xf numFmtId="0" fontId="58" fillId="0" borderId="0" xfId="1" applyFont="1"/>
    <xf numFmtId="0" fontId="30" fillId="0" borderId="0" xfId="1" applyFont="1" applyAlignment="1">
      <alignment vertical="center"/>
    </xf>
    <xf numFmtId="0" fontId="58" fillId="0" borderId="0" xfId="1" applyFont="1" applyAlignment="1">
      <alignment wrapText="1"/>
    </xf>
    <xf numFmtId="0" fontId="58" fillId="0" borderId="0" xfId="1" applyFont="1" applyAlignment="1">
      <alignment horizontal="left"/>
    </xf>
    <xf numFmtId="0" fontId="58" fillId="0" borderId="0" xfId="1" applyFont="1" applyAlignment="1">
      <alignment horizontal="center" wrapText="1"/>
    </xf>
    <xf numFmtId="0" fontId="58" fillId="0" borderId="0" xfId="1" applyFont="1" applyAlignment="1">
      <alignment vertical="center"/>
    </xf>
    <xf numFmtId="0" fontId="58" fillId="0" borderId="2" xfId="1" applyFont="1" applyBorder="1" applyAlignment="1">
      <alignment horizontal="center" vertical="center" wrapText="1"/>
    </xf>
    <xf numFmtId="0" fontId="58" fillId="0" borderId="2" xfId="1" applyFont="1" applyBorder="1" applyAlignment="1">
      <alignment horizontal="center" vertical="center"/>
    </xf>
    <xf numFmtId="0" fontId="58" fillId="0" borderId="46" xfId="1" applyFont="1" applyBorder="1" applyAlignment="1">
      <alignment horizontal="center" vertical="center"/>
    </xf>
    <xf numFmtId="0" fontId="58" fillId="0" borderId="45" xfId="1" applyFont="1" applyBorder="1" applyAlignment="1">
      <alignment horizontal="center" vertical="center"/>
    </xf>
    <xf numFmtId="0" fontId="58" fillId="0" borderId="0" xfId="1" applyFont="1" applyAlignment="1">
      <alignment horizontal="center" vertical="center"/>
    </xf>
    <xf numFmtId="165" fontId="59" fillId="0" borderId="2" xfId="13" applyFont="1" applyBorder="1" applyAlignment="1">
      <alignment horizontal="right" wrapText="1" shrinkToFit="1"/>
    </xf>
    <xf numFmtId="4" fontId="71" fillId="0" borderId="49" xfId="19" applyNumberFormat="1" applyFont="1" applyBorder="1" applyAlignment="1">
      <alignment horizontal="right" shrinkToFit="1"/>
    </xf>
    <xf numFmtId="4" fontId="71" fillId="0" borderId="58" xfId="19" applyNumberFormat="1" applyFont="1" applyBorder="1" applyAlignment="1">
      <alignment horizontal="right" shrinkToFit="1"/>
    </xf>
    <xf numFmtId="4" fontId="58" fillId="0" borderId="2" xfId="20" applyFont="1" applyBorder="1" applyAlignment="1" applyProtection="1">
      <alignment horizontal="right" shrinkToFit="1"/>
      <protection locked="0"/>
    </xf>
    <xf numFmtId="4" fontId="71" fillId="0" borderId="2" xfId="19" applyNumberFormat="1" applyFont="1" applyBorder="1" applyAlignment="1">
      <alignment horizontal="right" shrinkToFit="1"/>
    </xf>
    <xf numFmtId="4" fontId="71" fillId="0" borderId="59" xfId="19" applyNumberFormat="1" applyFont="1" applyBorder="1" applyAlignment="1">
      <alignment horizontal="right" shrinkToFit="1"/>
    </xf>
    <xf numFmtId="49" fontId="58" fillId="0" borderId="0" xfId="1" applyNumberFormat="1" applyFont="1" applyAlignment="1">
      <alignment horizontal="left" vertical="top" wrapText="1"/>
    </xf>
    <xf numFmtId="4" fontId="58" fillId="0" borderId="0" xfId="21" applyNumberFormat="1" applyFont="1" applyAlignment="1">
      <alignment horizontal="right" shrinkToFit="1"/>
    </xf>
    <xf numFmtId="0" fontId="58" fillId="0" borderId="2" xfId="1" applyFont="1" applyBorder="1"/>
    <xf numFmtId="165" fontId="59" fillId="0" borderId="2" xfId="13" applyFont="1" applyBorder="1"/>
    <xf numFmtId="4" fontId="58" fillId="0" borderId="0" xfId="22" applyNumberFormat="1" applyFont="1" applyAlignment="1">
      <alignment vertical="top"/>
    </xf>
    <xf numFmtId="165" fontId="58" fillId="0" borderId="2" xfId="13" applyFont="1" applyBorder="1"/>
    <xf numFmtId="165" fontId="59" fillId="0" borderId="46" xfId="13" applyFont="1" applyBorder="1"/>
    <xf numFmtId="165" fontId="59" fillId="0" borderId="45" xfId="13" applyFont="1" applyBorder="1"/>
    <xf numFmtId="165" fontId="59" fillId="0" borderId="0" xfId="13" applyFont="1"/>
    <xf numFmtId="165" fontId="58" fillId="0" borderId="0" xfId="13" applyFont="1"/>
    <xf numFmtId="0" fontId="58" fillId="0" borderId="2" xfId="1" applyFont="1" applyBorder="1" applyAlignment="1">
      <alignment wrapText="1"/>
    </xf>
    <xf numFmtId="165" fontId="59" fillId="0" borderId="2" xfId="13" applyFont="1" applyBorder="1" applyAlignment="1">
      <alignment wrapText="1"/>
    </xf>
    <xf numFmtId="4" fontId="58" fillId="0" borderId="0" xfId="21" applyNumberFormat="1" applyFont="1" applyAlignment="1">
      <alignment horizontal="right" wrapText="1" shrinkToFit="1"/>
    </xf>
    <xf numFmtId="0" fontId="58" fillId="0" borderId="0" xfId="1" quotePrefix="1" applyFont="1" applyAlignment="1">
      <alignment horizontal="center"/>
    </xf>
    <xf numFmtId="165" fontId="59" fillId="0" borderId="0" xfId="1" applyNumberFormat="1" applyFont="1"/>
    <xf numFmtId="0" fontId="58" fillId="0" borderId="0" xfId="1" applyFont="1" applyAlignment="1">
      <alignment horizontal="center"/>
    </xf>
    <xf numFmtId="4" fontId="59" fillId="0" borderId="0" xfId="1" applyNumberFormat="1" applyFont="1"/>
    <xf numFmtId="0" fontId="72" fillId="0" borderId="0" xfId="1" applyFont="1" applyAlignment="1">
      <alignment horizontal="left"/>
    </xf>
    <xf numFmtId="0" fontId="30" fillId="0" borderId="0" xfId="1" applyFont="1"/>
    <xf numFmtId="0" fontId="9" fillId="0" borderId="0" xfId="1" applyFont="1" applyAlignment="1">
      <alignment horizontal="center" wrapText="1"/>
    </xf>
    <xf numFmtId="0" fontId="73" fillId="0" borderId="0" xfId="1" applyFont="1"/>
    <xf numFmtId="0" fontId="65" fillId="0" borderId="0" xfId="1" applyFont="1"/>
    <xf numFmtId="0" fontId="74" fillId="0" borderId="0" xfId="1" applyFont="1"/>
    <xf numFmtId="0" fontId="2" fillId="5" borderId="2" xfId="1" applyFont="1" applyFill="1" applyBorder="1" applyAlignment="1">
      <alignment horizontal="center" vertical="center"/>
    </xf>
    <xf numFmtId="0" fontId="2" fillId="11" borderId="2" xfId="1" applyFont="1" applyFill="1" applyBorder="1" applyAlignment="1">
      <alignment horizontal="center" vertical="center"/>
    </xf>
    <xf numFmtId="165" fontId="29" fillId="5" borderId="2" xfId="13" applyFont="1" applyFill="1" applyBorder="1"/>
    <xf numFmtId="165" fontId="29" fillId="0" borderId="2" xfId="13" applyFont="1" applyBorder="1" applyAlignment="1">
      <alignment horizontal="right" wrapText="1" shrinkToFit="1"/>
    </xf>
    <xf numFmtId="165" fontId="52" fillId="0" borderId="2" xfId="13" applyFont="1" applyBorder="1" applyAlignment="1">
      <alignment horizontal="right" shrinkToFit="1"/>
    </xf>
    <xf numFmtId="165" fontId="29" fillId="5" borderId="2" xfId="13" applyFont="1" applyFill="1" applyBorder="1" applyAlignment="1">
      <alignment horizontal="right" wrapText="1" shrinkToFit="1"/>
    </xf>
    <xf numFmtId="165" fontId="28" fillId="5" borderId="2" xfId="13" applyFont="1" applyFill="1" applyBorder="1"/>
    <xf numFmtId="165" fontId="59" fillId="0" borderId="2" xfId="13" applyFont="1" applyBorder="1" applyAlignment="1">
      <alignment horizontal="center"/>
    </xf>
    <xf numFmtId="165" fontId="58" fillId="0" borderId="2" xfId="13" applyFont="1" applyBorder="1" applyAlignment="1">
      <alignment horizontal="center"/>
    </xf>
    <xf numFmtId="165" fontId="28" fillId="0" borderId="2" xfId="13" applyFont="1" applyBorder="1" applyAlignment="1">
      <alignment horizontal="right" shrinkToFit="1"/>
    </xf>
    <xf numFmtId="0" fontId="31" fillId="0" borderId="0" xfId="1" applyFont="1"/>
    <xf numFmtId="0" fontId="31" fillId="0" borderId="2" xfId="1" applyFont="1" applyBorder="1"/>
    <xf numFmtId="165" fontId="29" fillId="0" borderId="2" xfId="13" applyFont="1" applyBorder="1"/>
    <xf numFmtId="0" fontId="31" fillId="0" borderId="8" xfId="1" applyFont="1" applyBorder="1"/>
    <xf numFmtId="165" fontId="28" fillId="0" borderId="46" xfId="13" applyFont="1" applyBorder="1"/>
    <xf numFmtId="165" fontId="28" fillId="5" borderId="46" xfId="13" applyFont="1" applyFill="1" applyBorder="1"/>
    <xf numFmtId="165" fontId="28" fillId="0" borderId="2" xfId="13" applyFont="1" applyBorder="1" applyAlignment="1">
      <alignment horizontal="right" wrapText="1" shrinkToFit="1"/>
    </xf>
    <xf numFmtId="165" fontId="28" fillId="11" borderId="46" xfId="13" applyFont="1" applyFill="1" applyBorder="1"/>
    <xf numFmtId="165" fontId="28" fillId="0" borderId="0" xfId="13" applyFont="1"/>
    <xf numFmtId="165" fontId="28" fillId="0" borderId="0" xfId="13" applyFont="1" applyAlignment="1">
      <alignment horizontal="right" wrapText="1" shrinkToFit="1"/>
    </xf>
    <xf numFmtId="165" fontId="29" fillId="0" borderId="0" xfId="13" applyFont="1"/>
    <xf numFmtId="165" fontId="29" fillId="0" borderId="0" xfId="1" applyNumberFormat="1" applyFont="1"/>
    <xf numFmtId="0" fontId="28" fillId="0" borderId="0" xfId="1" applyFont="1"/>
    <xf numFmtId="4" fontId="58" fillId="0" borderId="0" xfId="1" applyNumberFormat="1" applyFont="1" applyAlignment="1">
      <alignment horizontal="right" vertical="center" shrinkToFit="1"/>
    </xf>
    <xf numFmtId="165" fontId="59" fillId="0" borderId="0" xfId="1" applyNumberFormat="1" applyFont="1" applyAlignment="1">
      <alignment horizontal="center" vertical="center"/>
    </xf>
    <xf numFmtId="165" fontId="59" fillId="0" borderId="0" xfId="1" applyNumberFormat="1" applyFont="1" applyAlignment="1">
      <alignment vertical="center"/>
    </xf>
    <xf numFmtId="0" fontId="75" fillId="0" borderId="0" xfId="1" applyFont="1" applyAlignment="1">
      <alignment horizontal="left"/>
    </xf>
    <xf numFmtId="0" fontId="76" fillId="0" borderId="0" xfId="1" applyFont="1"/>
    <xf numFmtId="0" fontId="28" fillId="0" borderId="0" xfId="1" applyFont="1" applyAlignment="1">
      <alignment horizontal="center" wrapText="1"/>
    </xf>
    <xf numFmtId="0" fontId="28" fillId="0" borderId="2" xfId="1" applyFont="1" applyBorder="1" applyAlignment="1">
      <alignment horizontal="center" vertical="center"/>
    </xf>
    <xf numFmtId="0" fontId="28" fillId="0" borderId="9" xfId="1" applyFont="1" applyBorder="1" applyAlignment="1">
      <alignment horizontal="center" vertical="center"/>
    </xf>
    <xf numFmtId="0" fontId="28" fillId="0" borderId="46" xfId="1" applyFont="1" applyBorder="1" applyAlignment="1">
      <alignment horizontal="center" vertical="center"/>
    </xf>
    <xf numFmtId="0" fontId="28" fillId="0" borderId="0" xfId="1" applyFont="1" applyAlignment="1">
      <alignment horizontal="center" vertical="center"/>
    </xf>
    <xf numFmtId="165" fontId="28" fillId="0" borderId="45" xfId="13" applyFont="1" applyBorder="1" applyAlignment="1">
      <alignment horizontal="right" shrinkToFit="1"/>
    </xf>
    <xf numFmtId="165" fontId="77" fillId="0" borderId="46" xfId="13" applyFont="1" applyBorder="1" applyAlignment="1">
      <alignment horizontal="center"/>
    </xf>
    <xf numFmtId="165" fontId="29" fillId="0" borderId="2" xfId="13" applyFont="1" applyBorder="1" applyAlignment="1">
      <alignment horizontal="center" wrapText="1" shrinkToFit="1"/>
    </xf>
    <xf numFmtId="165" fontId="28" fillId="0" borderId="2" xfId="13" applyFont="1" applyBorder="1" applyAlignment="1">
      <alignment horizontal="center" shrinkToFit="1"/>
    </xf>
    <xf numFmtId="165" fontId="29" fillId="0" borderId="46" xfId="13" applyFont="1" applyBorder="1" applyAlignment="1">
      <alignment horizontal="right" wrapText="1" shrinkToFit="1"/>
    </xf>
    <xf numFmtId="0" fontId="28" fillId="0" borderId="2" xfId="1" applyFont="1" applyBorder="1"/>
    <xf numFmtId="165" fontId="28" fillId="4" borderId="2" xfId="13" applyFont="1" applyFill="1" applyBorder="1" applyAlignment="1">
      <alignment horizontal="right" shrinkToFit="1"/>
    </xf>
    <xf numFmtId="165" fontId="28" fillId="0" borderId="45" xfId="13" applyFont="1" applyBorder="1" applyAlignment="1">
      <alignment horizontal="right" wrapText="1" shrinkToFit="1"/>
    </xf>
    <xf numFmtId="165" fontId="58" fillId="0" borderId="46" xfId="13" applyFont="1" applyBorder="1" applyAlignment="1">
      <alignment horizontal="center"/>
    </xf>
    <xf numFmtId="165" fontId="28" fillId="0" borderId="2" xfId="13" applyFont="1" applyBorder="1" applyAlignment="1">
      <alignment horizontal="center" wrapText="1" shrinkToFit="1"/>
    </xf>
    <xf numFmtId="165" fontId="28" fillId="0" borderId="46" xfId="13" applyFont="1" applyBorder="1" applyAlignment="1">
      <alignment horizontal="right" wrapText="1" shrinkToFit="1"/>
    </xf>
    <xf numFmtId="165" fontId="28" fillId="0" borderId="2" xfId="13" applyFont="1" applyBorder="1"/>
    <xf numFmtId="165" fontId="28" fillId="0" borderId="30" xfId="13" applyFont="1" applyBorder="1"/>
    <xf numFmtId="165" fontId="28" fillId="0" borderId="46" xfId="13" applyFont="1" applyBorder="1" applyAlignment="1">
      <alignment horizontal="center"/>
    </xf>
    <xf numFmtId="165" fontId="29" fillId="0" borderId="46" xfId="13" applyFont="1" applyBorder="1"/>
    <xf numFmtId="165" fontId="73" fillId="0" borderId="2" xfId="13" applyFont="1" applyBorder="1"/>
    <xf numFmtId="165" fontId="73" fillId="0" borderId="2" xfId="13" applyFont="1" applyBorder="1" applyAlignment="1">
      <alignment horizontal="center"/>
    </xf>
    <xf numFmtId="165" fontId="73" fillId="0" borderId="0" xfId="13" applyFont="1"/>
    <xf numFmtId="165" fontId="73" fillId="0" borderId="0" xfId="13" applyFont="1" applyAlignment="1">
      <alignment horizontal="center"/>
    </xf>
    <xf numFmtId="0" fontId="28" fillId="0" borderId="2" xfId="1" applyFont="1" applyBorder="1" applyAlignment="1">
      <alignment wrapText="1"/>
    </xf>
    <xf numFmtId="0" fontId="28" fillId="4" borderId="2" xfId="1" applyFont="1" applyFill="1" applyBorder="1" applyAlignment="1">
      <alignment wrapText="1"/>
    </xf>
    <xf numFmtId="165" fontId="29" fillId="0" borderId="2" xfId="13" applyFont="1" applyBorder="1" applyAlignment="1">
      <alignment horizontal="center"/>
    </xf>
    <xf numFmtId="165" fontId="28" fillId="0" borderId="2" xfId="13" applyFont="1" applyBorder="1" applyAlignment="1">
      <alignment horizontal="center"/>
    </xf>
    <xf numFmtId="0" fontId="28" fillId="0" borderId="0" xfId="1" applyFont="1" applyAlignment="1">
      <alignment wrapText="1"/>
    </xf>
    <xf numFmtId="4" fontId="78" fillId="0" borderId="49" xfId="17" applyNumberFormat="1" applyFont="1" applyBorder="1" applyAlignment="1">
      <alignment horizontal="right" vertical="top" shrinkToFit="1"/>
    </xf>
    <xf numFmtId="165" fontId="11" fillId="2" borderId="5" xfId="13" applyFont="1" applyFill="1" applyBorder="1" applyAlignment="1">
      <alignment horizontal="right" vertical="top" shrinkToFit="1"/>
    </xf>
    <xf numFmtId="165" fontId="28" fillId="0" borderId="0" xfId="1" applyNumberFormat="1" applyFont="1"/>
    <xf numFmtId="0" fontId="81" fillId="0" borderId="0" xfId="1" applyFont="1"/>
    <xf numFmtId="165" fontId="52" fillId="0" borderId="0" xfId="1" applyNumberFormat="1" applyFont="1"/>
    <xf numFmtId="4" fontId="78" fillId="0" borderId="0" xfId="23" applyNumberFormat="1" applyFont="1" applyAlignment="1">
      <alignment horizontal="right" vertical="top" shrinkToFit="1"/>
    </xf>
    <xf numFmtId="165" fontId="59" fillId="0" borderId="0" xfId="13" applyFont="1" applyAlignment="1">
      <alignment horizontal="right" vertical="top" shrinkToFit="1"/>
    </xf>
    <xf numFmtId="0" fontId="58" fillId="0" borderId="0" xfId="0" applyFont="1" applyAlignment="1">
      <alignment vertical="center"/>
    </xf>
    <xf numFmtId="0" fontId="58" fillId="0" borderId="11" xfId="0" applyFont="1" applyBorder="1" applyAlignment="1">
      <alignment vertical="center"/>
    </xf>
    <xf numFmtId="0" fontId="57" fillId="0" borderId="12" xfId="0" applyFont="1" applyBorder="1"/>
    <xf numFmtId="0" fontId="57" fillId="0" borderId="13" xfId="0" applyFont="1" applyBorder="1"/>
    <xf numFmtId="0" fontId="58" fillId="0" borderId="22" xfId="0" applyFont="1" applyBorder="1" applyAlignment="1">
      <alignment horizontal="center" vertical="center" wrapText="1"/>
    </xf>
    <xf numFmtId="0" fontId="58" fillId="11" borderId="22" xfId="0" applyFont="1" applyFill="1" applyBorder="1" applyAlignment="1">
      <alignment horizontal="center" vertical="center" wrapText="1"/>
    </xf>
    <xf numFmtId="0" fontId="58" fillId="3" borderId="22" xfId="0" applyFont="1" applyFill="1" applyBorder="1" applyAlignment="1">
      <alignment horizontal="center" vertical="center" wrapText="1"/>
    </xf>
    <xf numFmtId="0" fontId="58" fillId="3" borderId="22" xfId="0" quotePrefix="1" applyFont="1" applyFill="1" applyBorder="1" applyAlignment="1">
      <alignment horizontal="center" vertical="center" wrapText="1"/>
    </xf>
    <xf numFmtId="0" fontId="58" fillId="9" borderId="22" xfId="0" applyFont="1" applyFill="1" applyBorder="1" applyAlignment="1">
      <alignment horizontal="center" vertical="center" wrapText="1"/>
    </xf>
    <xf numFmtId="0" fontId="58" fillId="9" borderId="12" xfId="0" quotePrefix="1" applyFont="1" applyFill="1" applyBorder="1" applyAlignment="1">
      <alignment horizontal="center" vertical="center" wrapText="1"/>
    </xf>
    <xf numFmtId="0" fontId="58" fillId="5" borderId="22" xfId="0" applyFont="1" applyFill="1" applyBorder="1" applyAlignment="1">
      <alignment horizontal="center" vertical="center" wrapText="1"/>
    </xf>
    <xf numFmtId="0" fontId="58" fillId="3" borderId="11" xfId="0" quotePrefix="1" applyFont="1" applyFill="1" applyBorder="1" applyAlignment="1">
      <alignment horizontal="center" vertical="center" wrapText="1"/>
    </xf>
    <xf numFmtId="0" fontId="58" fillId="11" borderId="10" xfId="0" applyFont="1" applyFill="1" applyBorder="1" applyAlignment="1">
      <alignment horizontal="center" vertical="center" wrapText="1"/>
    </xf>
    <xf numFmtId="3" fontId="58" fillId="3" borderId="10" xfId="0" applyNumberFormat="1" applyFont="1" applyFill="1" applyBorder="1" applyAlignment="1">
      <alignment horizontal="center" vertical="center" wrapText="1"/>
    </xf>
    <xf numFmtId="3" fontId="58" fillId="3" borderId="22" xfId="0" applyNumberFormat="1" applyFont="1" applyFill="1" applyBorder="1" applyAlignment="1">
      <alignment horizontal="center" vertical="center" wrapText="1"/>
    </xf>
    <xf numFmtId="3" fontId="58" fillId="4" borderId="12" xfId="0" applyNumberFormat="1" applyFont="1" applyFill="1" applyBorder="1" applyAlignment="1">
      <alignment horizontal="center" vertical="center" wrapText="1"/>
    </xf>
    <xf numFmtId="3" fontId="58" fillId="4" borderId="13" xfId="0" applyNumberFormat="1" applyFont="1" applyFill="1" applyBorder="1" applyAlignment="1">
      <alignment horizontal="center" vertical="center" wrapText="1"/>
    </xf>
    <xf numFmtId="3" fontId="58" fillId="3" borderId="14" xfId="0" applyNumberFormat="1" applyFont="1" applyFill="1" applyBorder="1" applyAlignment="1">
      <alignment horizontal="center" vertical="center" wrapText="1"/>
    </xf>
    <xf numFmtId="3" fontId="58" fillId="4" borderId="22" xfId="0" applyNumberFormat="1" applyFont="1" applyFill="1" applyBorder="1" applyAlignment="1">
      <alignment horizontal="center" vertical="center" wrapText="1"/>
    </xf>
    <xf numFmtId="3" fontId="58" fillId="3" borderId="11" xfId="0" applyNumberFormat="1" applyFont="1" applyFill="1" applyBorder="1" applyAlignment="1">
      <alignment horizontal="center" vertical="center" wrapText="1"/>
    </xf>
    <xf numFmtId="0" fontId="58" fillId="4" borderId="22" xfId="0" applyFont="1" applyFill="1" applyBorder="1" applyAlignment="1">
      <alignment horizontal="center" vertical="center" wrapText="1"/>
    </xf>
    <xf numFmtId="3" fontId="58" fillId="9" borderId="22" xfId="0" applyNumberFormat="1" applyFont="1" applyFill="1" applyBorder="1" applyAlignment="1">
      <alignment horizontal="center" vertical="center" wrapText="1"/>
    </xf>
    <xf numFmtId="0" fontId="57" fillId="4" borderId="22" xfId="0" applyFont="1" applyFill="1" applyBorder="1" applyAlignment="1">
      <alignment horizontal="center" vertical="center" wrapText="1"/>
    </xf>
    <xf numFmtId="0" fontId="57" fillId="3" borderId="13" xfId="0" applyFont="1" applyFill="1" applyBorder="1" applyAlignment="1">
      <alignment horizontal="center" vertical="center" wrapText="1"/>
    </xf>
    <xf numFmtId="0" fontId="57" fillId="3" borderId="22" xfId="0" applyFont="1" applyFill="1" applyBorder="1" applyAlignment="1">
      <alignment horizontal="center" vertical="center" wrapText="1"/>
    </xf>
    <xf numFmtId="0" fontId="57" fillId="4" borderId="13" xfId="0" applyFont="1" applyFill="1" applyBorder="1" applyAlignment="1">
      <alignment horizontal="center" vertical="center" wrapText="1"/>
    </xf>
    <xf numFmtId="0" fontId="57" fillId="4" borderId="12" xfId="0" applyFont="1" applyFill="1" applyBorder="1" applyAlignment="1">
      <alignment horizontal="center" vertical="center" wrapText="1"/>
    </xf>
    <xf numFmtId="0" fontId="58" fillId="4" borderId="12" xfId="0" applyFont="1" applyFill="1" applyBorder="1" applyAlignment="1">
      <alignment horizontal="center" vertical="center" wrapText="1"/>
    </xf>
    <xf numFmtId="3" fontId="58" fillId="3" borderId="12" xfId="0" applyNumberFormat="1" applyFont="1" applyFill="1" applyBorder="1" applyAlignment="1">
      <alignment horizontal="center" vertical="center" wrapText="1"/>
    </xf>
    <xf numFmtId="0" fontId="58" fillId="4" borderId="13" xfId="0" applyFont="1" applyFill="1" applyBorder="1" applyAlignment="1">
      <alignment horizontal="center" vertical="center" wrapText="1"/>
    </xf>
    <xf numFmtId="0" fontId="58" fillId="0" borderId="10" xfId="0" applyFont="1" applyBorder="1" applyAlignment="1">
      <alignment horizontal="center" vertical="center"/>
    </xf>
    <xf numFmtId="0" fontId="58" fillId="0" borderId="16" xfId="0" applyFont="1" applyBorder="1" applyAlignment="1">
      <alignment horizontal="center" vertical="center"/>
    </xf>
    <xf numFmtId="0" fontId="58" fillId="0" borderId="22" xfId="0" applyFont="1" applyBorder="1" applyAlignment="1">
      <alignment horizontal="center" vertical="center"/>
    </xf>
    <xf numFmtId="0" fontId="58" fillId="0" borderId="14" xfId="0" applyFont="1" applyBorder="1" applyAlignment="1">
      <alignment horizontal="center" vertical="center"/>
    </xf>
    <xf numFmtId="0" fontId="58" fillId="0" borderId="17" xfId="0" applyFont="1" applyBorder="1" applyAlignment="1">
      <alignment horizontal="center" vertical="center"/>
    </xf>
    <xf numFmtId="0" fontId="58" fillId="4" borderId="10" xfId="0" applyFont="1" applyFill="1" applyBorder="1" applyAlignment="1">
      <alignment horizontal="center" vertical="center" wrapText="1"/>
    </xf>
    <xf numFmtId="0" fontId="58" fillId="9" borderId="16" xfId="0" applyFont="1" applyFill="1" applyBorder="1" applyAlignment="1">
      <alignment horizontal="center" vertical="center"/>
    </xf>
    <xf numFmtId="0" fontId="58" fillId="4" borderId="10" xfId="0" applyFont="1" applyFill="1" applyBorder="1" applyAlignment="1">
      <alignment horizontal="center" vertical="center"/>
    </xf>
    <xf numFmtId="0" fontId="58" fillId="3" borderId="16" xfId="0" applyFont="1" applyFill="1" applyBorder="1" applyAlignment="1">
      <alignment horizontal="center" vertical="center"/>
    </xf>
    <xf numFmtId="0" fontId="58" fillId="3" borderId="14" xfId="0" applyFont="1" applyFill="1" applyBorder="1" applyAlignment="1">
      <alignment horizontal="center" vertical="center"/>
    </xf>
    <xf numFmtId="0" fontId="58" fillId="9" borderId="10" xfId="0" applyFont="1" applyFill="1" applyBorder="1" applyAlignment="1">
      <alignment horizontal="center" vertical="center"/>
    </xf>
    <xf numFmtId="0" fontId="58" fillId="9" borderId="14" xfId="0" applyFont="1" applyFill="1" applyBorder="1" applyAlignment="1">
      <alignment horizontal="center" vertical="center"/>
    </xf>
    <xf numFmtId="0" fontId="58" fillId="3" borderId="10" xfId="0" applyFont="1" applyFill="1" applyBorder="1" applyAlignment="1">
      <alignment horizontal="center" vertical="center"/>
    </xf>
    <xf numFmtId="0" fontId="58" fillId="5" borderId="16" xfId="0" applyFont="1" applyFill="1" applyBorder="1" applyAlignment="1">
      <alignment horizontal="center" vertical="center"/>
    </xf>
    <xf numFmtId="0" fontId="58" fillId="5" borderId="10" xfId="0" applyFont="1" applyFill="1" applyBorder="1" applyAlignment="1">
      <alignment horizontal="center" vertical="center"/>
    </xf>
    <xf numFmtId="3" fontId="58" fillId="3" borderId="16" xfId="0" applyNumberFormat="1" applyFont="1" applyFill="1" applyBorder="1" applyAlignment="1">
      <alignment horizontal="center" vertical="center"/>
    </xf>
    <xf numFmtId="3" fontId="58" fillId="3" borderId="10" xfId="0" applyNumberFormat="1" applyFont="1" applyFill="1" applyBorder="1" applyAlignment="1">
      <alignment horizontal="center" vertical="center"/>
    </xf>
    <xf numFmtId="3" fontId="58" fillId="3" borderId="22" xfId="0" applyNumberFormat="1" applyFont="1" applyFill="1" applyBorder="1" applyAlignment="1">
      <alignment horizontal="center" vertical="center"/>
    </xf>
    <xf numFmtId="3" fontId="58" fillId="3" borderId="17" xfId="0" applyNumberFormat="1" applyFont="1" applyFill="1" applyBorder="1" applyAlignment="1">
      <alignment horizontal="center" vertical="center"/>
    </xf>
    <xf numFmtId="3" fontId="58" fillId="3" borderId="14" xfId="0" applyNumberFormat="1" applyFont="1" applyFill="1" applyBorder="1" applyAlignment="1">
      <alignment horizontal="center" vertical="center"/>
    </xf>
    <xf numFmtId="3" fontId="58" fillId="3" borderId="11" xfId="0" applyNumberFormat="1" applyFont="1" applyFill="1" applyBorder="1" applyAlignment="1">
      <alignment horizontal="center" vertical="center"/>
    </xf>
    <xf numFmtId="3" fontId="58" fillId="3" borderId="12" xfId="0" applyNumberFormat="1" applyFont="1" applyFill="1" applyBorder="1" applyAlignment="1">
      <alignment horizontal="center" vertical="center"/>
    </xf>
    <xf numFmtId="0" fontId="58" fillId="11" borderId="22"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14" xfId="0" applyFont="1" applyFill="1" applyBorder="1" applyAlignment="1">
      <alignment horizontal="center" vertical="center"/>
    </xf>
    <xf numFmtId="0" fontId="58" fillId="4" borderId="14" xfId="0" applyFont="1" applyFill="1" applyBorder="1" applyAlignment="1">
      <alignment horizontal="left"/>
    </xf>
    <xf numFmtId="165" fontId="58" fillId="5" borderId="43" xfId="13" applyFont="1" applyFill="1" applyBorder="1" applyAlignment="1">
      <alignment horizontal="center" wrapText="1" shrinkToFit="1"/>
    </xf>
    <xf numFmtId="165" fontId="58" fillId="3" borderId="23" xfId="13" applyFont="1" applyFill="1" applyBorder="1" applyAlignment="1">
      <alignment horizontal="center" wrapText="1" shrinkToFit="1"/>
    </xf>
    <xf numFmtId="165" fontId="58" fillId="5" borderId="23" xfId="13" applyFont="1" applyFill="1" applyBorder="1" applyAlignment="1">
      <alignment horizontal="center" wrapText="1" shrinkToFit="1"/>
    </xf>
    <xf numFmtId="165" fontId="58" fillId="3" borderId="23" xfId="13" applyFont="1" applyFill="1" applyBorder="1" applyAlignment="1">
      <alignment horizontal="center"/>
    </xf>
    <xf numFmtId="165" fontId="58" fillId="3" borderId="43" xfId="13" applyFont="1" applyFill="1" applyBorder="1" applyAlignment="1">
      <alignment horizontal="center"/>
    </xf>
    <xf numFmtId="165" fontId="58" fillId="0" borderId="25" xfId="13" applyFont="1" applyBorder="1" applyAlignment="1">
      <alignment horizontal="center" wrapText="1" shrinkToFit="1"/>
    </xf>
    <xf numFmtId="165" fontId="58" fillId="0" borderId="27" xfId="13" applyFont="1" applyBorder="1" applyAlignment="1">
      <alignment horizontal="center" wrapText="1" shrinkToFit="1"/>
    </xf>
    <xf numFmtId="165" fontId="58" fillId="5" borderId="16" xfId="13" applyFont="1" applyFill="1" applyBorder="1" applyAlignment="1">
      <alignment horizontal="center" wrapText="1" shrinkToFit="1"/>
    </xf>
    <xf numFmtId="165" fontId="58" fillId="0" borderId="26" xfId="13" applyFont="1" applyBorder="1" applyAlignment="1">
      <alignment horizontal="center" wrapText="1" shrinkToFit="1"/>
    </xf>
    <xf numFmtId="165" fontId="58" fillId="0" borderId="17" xfId="13" applyFont="1" applyBorder="1" applyAlignment="1">
      <alignment horizontal="center" wrapText="1" shrinkToFit="1"/>
    </xf>
    <xf numFmtId="165" fontId="58" fillId="3" borderId="25" xfId="13" applyFont="1" applyFill="1" applyBorder="1" applyAlignment="1">
      <alignment horizontal="center"/>
    </xf>
    <xf numFmtId="165" fontId="58" fillId="4" borderId="42" xfId="13" applyFont="1" applyFill="1" applyBorder="1" applyAlignment="1">
      <alignment horizontal="center"/>
    </xf>
    <xf numFmtId="165" fontId="58" fillId="3" borderId="42" xfId="13" applyFont="1" applyFill="1" applyBorder="1" applyAlignment="1">
      <alignment horizontal="center"/>
    </xf>
    <xf numFmtId="165" fontId="58" fillId="4" borderId="23" xfId="13" applyFont="1" applyFill="1" applyBorder="1" applyAlignment="1">
      <alignment horizontal="center"/>
    </xf>
    <xf numFmtId="165" fontId="58" fillId="3" borderId="10" xfId="13" applyFont="1" applyFill="1" applyBorder="1" applyAlignment="1">
      <alignment horizontal="center"/>
    </xf>
    <xf numFmtId="165" fontId="58" fillId="3" borderId="31" xfId="13" applyFont="1" applyFill="1" applyBorder="1" applyAlignment="1">
      <alignment horizontal="center"/>
    </xf>
    <xf numFmtId="165" fontId="58" fillId="4" borderId="32" xfId="13" applyFont="1" applyFill="1" applyBorder="1" applyAlignment="1">
      <alignment horizontal="center"/>
    </xf>
    <xf numFmtId="165" fontId="58" fillId="4" borderId="44" xfId="13" applyFont="1" applyFill="1" applyBorder="1" applyAlignment="1">
      <alignment horizontal="center"/>
    </xf>
    <xf numFmtId="165" fontId="58" fillId="3" borderId="44" xfId="13" applyFont="1" applyFill="1" applyBorder="1" applyAlignment="1">
      <alignment horizontal="center"/>
    </xf>
    <xf numFmtId="165" fontId="58" fillId="3" borderId="32" xfId="13" applyFont="1" applyFill="1" applyBorder="1" applyAlignment="1">
      <alignment horizontal="center"/>
    </xf>
    <xf numFmtId="165" fontId="58" fillId="4" borderId="43" xfId="13" applyFont="1" applyFill="1" applyBorder="1" applyAlignment="1">
      <alignment horizontal="center"/>
    </xf>
    <xf numFmtId="165" fontId="58" fillId="0" borderId="26" xfId="13" applyFont="1" applyBorder="1" applyAlignment="1">
      <alignment horizontal="center" shrinkToFit="1"/>
    </xf>
    <xf numFmtId="165" fontId="58" fillId="0" borderId="25" xfId="13" applyFont="1" applyBorder="1" applyAlignment="1">
      <alignment horizontal="center" shrinkToFit="1"/>
    </xf>
    <xf numFmtId="165" fontId="58" fillId="4" borderId="26" xfId="13" applyFont="1" applyFill="1" applyBorder="1" applyAlignment="1">
      <alignment horizontal="center"/>
    </xf>
    <xf numFmtId="165" fontId="58" fillId="3" borderId="28" xfId="13" applyFont="1" applyFill="1" applyBorder="1" applyAlignment="1">
      <alignment horizontal="center" wrapText="1" shrinkToFit="1"/>
    </xf>
    <xf numFmtId="165" fontId="58" fillId="4" borderId="25" xfId="13" applyFont="1" applyFill="1" applyBorder="1" applyAlignment="1">
      <alignment horizontal="center" wrapText="1" shrinkToFit="1"/>
    </xf>
    <xf numFmtId="165" fontId="58" fillId="3" borderId="25" xfId="13" applyFont="1" applyFill="1" applyBorder="1" applyAlignment="1">
      <alignment horizontal="center" wrapText="1" shrinkToFit="1"/>
    </xf>
    <xf numFmtId="165" fontId="58" fillId="3" borderId="26" xfId="13" applyFont="1" applyFill="1" applyBorder="1" applyAlignment="1">
      <alignment horizontal="center"/>
    </xf>
    <xf numFmtId="165" fontId="58" fillId="0" borderId="28" xfId="13" applyFont="1" applyBorder="1" applyAlignment="1">
      <alignment horizontal="center"/>
    </xf>
    <xf numFmtId="165" fontId="58" fillId="5" borderId="27" xfId="13" applyFont="1" applyFill="1" applyBorder="1" applyAlignment="1">
      <alignment horizontal="center"/>
    </xf>
    <xf numFmtId="165" fontId="58" fillId="5" borderId="25" xfId="13" applyFont="1" applyFill="1" applyBorder="1" applyAlignment="1">
      <alignment horizontal="center"/>
    </xf>
    <xf numFmtId="165" fontId="58" fillId="5" borderId="23" xfId="13" applyFont="1" applyFill="1" applyBorder="1" applyAlignment="1">
      <alignment horizontal="center"/>
    </xf>
    <xf numFmtId="165" fontId="58" fillId="5" borderId="32" xfId="13" applyFont="1" applyFill="1" applyBorder="1" applyAlignment="1">
      <alignment horizontal="center"/>
    </xf>
    <xf numFmtId="0" fontId="58" fillId="0" borderId="31" xfId="0" applyFont="1" applyBorder="1" applyAlignment="1">
      <alignment horizontal="left"/>
    </xf>
    <xf numFmtId="165" fontId="58" fillId="5" borderId="30" xfId="13" applyFont="1" applyFill="1" applyBorder="1" applyAlignment="1">
      <alignment horizontal="center" wrapText="1" shrinkToFit="1"/>
    </xf>
    <xf numFmtId="165" fontId="58" fillId="3" borderId="32" xfId="13" applyFont="1" applyFill="1" applyBorder="1" applyAlignment="1">
      <alignment horizontal="center" wrapText="1" shrinkToFit="1"/>
    </xf>
    <xf numFmtId="165" fontId="58" fillId="3" borderId="30" xfId="13" applyFont="1" applyFill="1" applyBorder="1" applyAlignment="1">
      <alignment horizontal="center" wrapText="1" shrinkToFit="1"/>
    </xf>
    <xf numFmtId="165" fontId="58" fillId="5" borderId="32" xfId="13" applyFont="1" applyFill="1" applyBorder="1" applyAlignment="1">
      <alignment horizontal="center" wrapText="1" shrinkToFit="1"/>
    </xf>
    <xf numFmtId="165" fontId="58" fillId="3" borderId="30" xfId="13" applyFont="1" applyFill="1" applyBorder="1" applyAlignment="1">
      <alignment horizontal="center"/>
    </xf>
    <xf numFmtId="165" fontId="58" fillId="0" borderId="32" xfId="13" applyFont="1" applyBorder="1" applyAlignment="1">
      <alignment horizontal="center" wrapText="1" shrinkToFit="1"/>
    </xf>
    <xf numFmtId="165" fontId="58" fillId="0" borderId="33" xfId="13" applyFont="1" applyBorder="1" applyAlignment="1">
      <alignment horizontal="center" wrapText="1" shrinkToFit="1"/>
    </xf>
    <xf numFmtId="165" fontId="58" fillId="0" borderId="30" xfId="13" applyFont="1" applyBorder="1" applyAlignment="1">
      <alignment horizontal="center" wrapText="1" shrinkToFit="1"/>
    </xf>
    <xf numFmtId="165" fontId="58" fillId="4" borderId="31" xfId="13" applyFont="1" applyFill="1" applyBorder="1" applyAlignment="1">
      <alignment horizontal="center"/>
    </xf>
    <xf numFmtId="165" fontId="58" fillId="4" borderId="33" xfId="13" applyFont="1" applyFill="1" applyBorder="1" applyAlignment="1">
      <alignment horizontal="center"/>
    </xf>
    <xf numFmtId="165" fontId="58" fillId="3" borderId="33" xfId="13" applyFont="1" applyFill="1" applyBorder="1" applyAlignment="1">
      <alignment horizontal="center"/>
    </xf>
    <xf numFmtId="165" fontId="58" fillId="0" borderId="30" xfId="13" applyFont="1" applyBorder="1" applyAlignment="1">
      <alignment horizontal="center" shrinkToFit="1"/>
    </xf>
    <xf numFmtId="165" fontId="58" fillId="0" borderId="32" xfId="13" applyFont="1" applyBorder="1" applyAlignment="1">
      <alignment horizontal="center" shrinkToFit="1"/>
    </xf>
    <xf numFmtId="165" fontId="58" fillId="4" borderId="30" xfId="13" applyFont="1" applyFill="1" applyBorder="1" applyAlignment="1">
      <alignment horizontal="center"/>
    </xf>
    <xf numFmtId="165" fontId="58" fillId="3" borderId="31" xfId="13" applyFont="1" applyFill="1" applyBorder="1" applyAlignment="1">
      <alignment horizontal="center" wrapText="1" shrinkToFit="1"/>
    </xf>
    <xf numFmtId="165" fontId="58" fillId="4" borderId="32" xfId="13" applyFont="1" applyFill="1" applyBorder="1" applyAlignment="1">
      <alignment horizontal="center" wrapText="1" shrinkToFit="1"/>
    </xf>
    <xf numFmtId="165" fontId="58" fillId="0" borderId="31" xfId="13" applyFont="1" applyBorder="1" applyAlignment="1">
      <alignment horizontal="center"/>
    </xf>
    <xf numFmtId="165" fontId="58" fillId="5" borderId="33" xfId="13" applyFont="1" applyFill="1" applyBorder="1" applyAlignment="1">
      <alignment horizontal="center"/>
    </xf>
    <xf numFmtId="0" fontId="58" fillId="0" borderId="24" xfId="0" applyFont="1" applyBorder="1" applyAlignment="1">
      <alignment horizontal="left"/>
    </xf>
    <xf numFmtId="165" fontId="58" fillId="5" borderId="0" xfId="13" applyFont="1" applyFill="1" applyAlignment="1">
      <alignment horizontal="center" wrapText="1" shrinkToFit="1"/>
    </xf>
    <xf numFmtId="165" fontId="58" fillId="0" borderId="29" xfId="13" applyFont="1" applyBorder="1" applyAlignment="1">
      <alignment horizontal="center" wrapText="1" shrinkToFit="1"/>
    </xf>
    <xf numFmtId="165" fontId="58" fillId="3" borderId="15" xfId="13" applyFont="1" applyFill="1" applyBorder="1" applyAlignment="1">
      <alignment horizontal="center"/>
    </xf>
    <xf numFmtId="0" fontId="58" fillId="4" borderId="24" xfId="0" applyFont="1" applyFill="1" applyBorder="1" applyAlignment="1">
      <alignment horizontal="left"/>
    </xf>
    <xf numFmtId="0" fontId="58" fillId="4" borderId="31" xfId="0" applyFont="1" applyFill="1" applyBorder="1" applyAlignment="1">
      <alignment horizontal="left"/>
    </xf>
    <xf numFmtId="165" fontId="58" fillId="11" borderId="32" xfId="13" applyFont="1" applyFill="1" applyBorder="1" applyAlignment="1">
      <alignment horizontal="center"/>
    </xf>
    <xf numFmtId="165" fontId="58" fillId="3" borderId="0" xfId="13" applyFont="1" applyFill="1" applyAlignment="1">
      <alignment horizontal="center"/>
    </xf>
    <xf numFmtId="165" fontId="58" fillId="4" borderId="24" xfId="13" applyFont="1" applyFill="1" applyBorder="1" applyAlignment="1">
      <alignment horizontal="center"/>
    </xf>
    <xf numFmtId="165" fontId="58" fillId="3" borderId="24" xfId="13" applyFont="1" applyFill="1" applyBorder="1" applyAlignment="1">
      <alignment horizontal="center"/>
    </xf>
    <xf numFmtId="165" fontId="58" fillId="4" borderId="15" xfId="13" applyFont="1" applyFill="1" applyBorder="1" applyAlignment="1">
      <alignment horizontal="center"/>
    </xf>
    <xf numFmtId="165" fontId="58" fillId="3" borderId="29" xfId="13" applyFont="1" applyFill="1" applyBorder="1" applyAlignment="1">
      <alignment horizontal="center"/>
    </xf>
    <xf numFmtId="165" fontId="58" fillId="11" borderId="33" xfId="13" applyFont="1" applyFill="1" applyBorder="1" applyAlignment="1">
      <alignment horizontal="center"/>
    </xf>
    <xf numFmtId="0" fontId="58" fillId="0" borderId="18" xfId="0" applyFont="1" applyBorder="1" applyAlignment="1">
      <alignment horizontal="left"/>
    </xf>
    <xf numFmtId="165" fontId="58" fillId="5" borderId="38" xfId="13" applyFont="1" applyFill="1" applyBorder="1" applyAlignment="1">
      <alignment horizontal="center" wrapText="1" shrinkToFit="1"/>
    </xf>
    <xf numFmtId="165" fontId="58" fillId="3" borderId="34" xfId="13" applyFont="1" applyFill="1" applyBorder="1" applyAlignment="1">
      <alignment horizontal="center"/>
    </xf>
    <xf numFmtId="165" fontId="58" fillId="3" borderId="35" xfId="13" applyFont="1" applyFill="1" applyBorder="1" applyAlignment="1">
      <alignment horizontal="center"/>
    </xf>
    <xf numFmtId="165" fontId="58" fillId="0" borderId="34" xfId="13" applyFont="1" applyBorder="1" applyAlignment="1">
      <alignment horizontal="center" wrapText="1" shrinkToFit="1"/>
    </xf>
    <xf numFmtId="165" fontId="58" fillId="0" borderId="36" xfId="13" applyFont="1" applyBorder="1" applyAlignment="1">
      <alignment horizontal="center" wrapText="1" shrinkToFit="1"/>
    </xf>
    <xf numFmtId="165" fontId="58" fillId="0" borderId="35" xfId="13" applyFont="1" applyBorder="1" applyAlignment="1">
      <alignment horizontal="center" wrapText="1" shrinkToFit="1"/>
    </xf>
    <xf numFmtId="165" fontId="58" fillId="5" borderId="15" xfId="13" applyFont="1" applyFill="1" applyBorder="1" applyAlignment="1">
      <alignment horizontal="center" wrapText="1" shrinkToFit="1"/>
    </xf>
    <xf numFmtId="165" fontId="58" fillId="3" borderId="37" xfId="13" applyFont="1" applyFill="1" applyBorder="1" applyAlignment="1">
      <alignment horizontal="center"/>
    </xf>
    <xf numFmtId="165" fontId="58" fillId="4" borderId="34" xfId="13" applyFont="1" applyFill="1" applyBorder="1" applyAlignment="1">
      <alignment horizontal="center"/>
    </xf>
    <xf numFmtId="165" fontId="58" fillId="3" borderId="21" xfId="13" applyFont="1" applyFill="1" applyBorder="1" applyAlignment="1">
      <alignment horizontal="center"/>
    </xf>
    <xf numFmtId="165" fontId="58" fillId="3" borderId="41" xfId="13" applyFont="1" applyFill="1" applyBorder="1" applyAlignment="1">
      <alignment horizontal="center"/>
    </xf>
    <xf numFmtId="165" fontId="58" fillId="4" borderId="39" xfId="13" applyFont="1" applyFill="1" applyBorder="1" applyAlignment="1">
      <alignment horizontal="center"/>
    </xf>
    <xf numFmtId="165" fontId="58" fillId="4" borderId="29" xfId="13" applyFont="1" applyFill="1" applyBorder="1" applyAlignment="1">
      <alignment horizontal="center"/>
    </xf>
    <xf numFmtId="165" fontId="58" fillId="4" borderId="0" xfId="13" applyFont="1" applyFill="1" applyAlignment="1">
      <alignment horizontal="center"/>
    </xf>
    <xf numFmtId="165" fontId="58" fillId="0" borderId="35" xfId="13" applyFont="1" applyBorder="1" applyAlignment="1">
      <alignment horizontal="center" shrinkToFit="1"/>
    </xf>
    <xf numFmtId="165" fontId="58" fillId="0" borderId="34" xfId="13" applyFont="1" applyBorder="1" applyAlignment="1">
      <alignment horizontal="center" shrinkToFit="1"/>
    </xf>
    <xf numFmtId="165" fontId="58" fillId="4" borderId="35" xfId="13" applyFont="1" applyFill="1" applyBorder="1" applyAlignment="1">
      <alignment horizontal="center"/>
    </xf>
    <xf numFmtId="165" fontId="58" fillId="3" borderId="37" xfId="13" applyFont="1" applyFill="1" applyBorder="1" applyAlignment="1">
      <alignment horizontal="center" wrapText="1" shrinkToFit="1"/>
    </xf>
    <xf numFmtId="165" fontId="58" fillId="4" borderId="34" xfId="13" applyFont="1" applyFill="1" applyBorder="1" applyAlignment="1">
      <alignment horizontal="center" wrapText="1" shrinkToFit="1"/>
    </xf>
    <xf numFmtId="165" fontId="58" fillId="3" borderId="21" xfId="13" applyFont="1" applyFill="1" applyBorder="1" applyAlignment="1">
      <alignment horizontal="center" wrapText="1" shrinkToFit="1"/>
    </xf>
    <xf numFmtId="165" fontId="58" fillId="4" borderId="21" xfId="13" applyFont="1" applyFill="1" applyBorder="1" applyAlignment="1">
      <alignment horizontal="center" wrapText="1" shrinkToFit="1"/>
    </xf>
    <xf numFmtId="165" fontId="58" fillId="3" borderId="34" xfId="13" applyFont="1" applyFill="1" applyBorder="1" applyAlignment="1">
      <alignment horizontal="center" wrapText="1" shrinkToFit="1"/>
    </xf>
    <xf numFmtId="165" fontId="58" fillId="0" borderId="37" xfId="13" applyFont="1" applyBorder="1" applyAlignment="1">
      <alignment horizontal="center"/>
    </xf>
    <xf numFmtId="165" fontId="58" fillId="11" borderId="36" xfId="13" applyFont="1" applyFill="1" applyBorder="1" applyAlignment="1">
      <alignment horizontal="center"/>
    </xf>
    <xf numFmtId="165" fontId="58" fillId="11" borderId="34" xfId="13" applyFont="1" applyFill="1" applyBorder="1" applyAlignment="1">
      <alignment horizontal="center"/>
    </xf>
    <xf numFmtId="0" fontId="58" fillId="0" borderId="22" xfId="0" applyFont="1" applyBorder="1" applyAlignment="1">
      <alignment horizontal="left"/>
    </xf>
    <xf numFmtId="165" fontId="58" fillId="0" borderId="24" xfId="13" applyFont="1" applyBorder="1" applyAlignment="1">
      <alignment horizontal="center"/>
    </xf>
    <xf numFmtId="165" fontId="58" fillId="0" borderId="21" xfId="13" applyFont="1" applyBorder="1" applyAlignment="1">
      <alignment horizontal="center"/>
    </xf>
    <xf numFmtId="165" fontId="58" fillId="0" borderId="18" xfId="13" applyFont="1" applyBorder="1" applyAlignment="1">
      <alignment horizontal="center"/>
    </xf>
    <xf numFmtId="165" fontId="58" fillId="0" borderId="11" xfId="13" applyFont="1" applyBorder="1" applyAlignment="1">
      <alignment horizontal="center"/>
    </xf>
    <xf numFmtId="165" fontId="58" fillId="0" borderId="22" xfId="13" applyFont="1" applyBorder="1" applyAlignment="1">
      <alignment horizontal="center" wrapText="1"/>
    </xf>
    <xf numFmtId="165" fontId="58" fillId="0" borderId="12" xfId="13" applyFont="1" applyBorder="1" applyAlignment="1">
      <alignment horizontal="center" wrapText="1"/>
    </xf>
    <xf numFmtId="165" fontId="58" fillId="11" borderId="22" xfId="13" applyFont="1" applyFill="1" applyBorder="1" applyAlignment="1">
      <alignment horizontal="center" wrapText="1"/>
    </xf>
    <xf numFmtId="165" fontId="58" fillId="11" borderId="12" xfId="13" applyFont="1" applyFill="1" applyBorder="1" applyAlignment="1">
      <alignment horizontal="center" wrapText="1"/>
    </xf>
    <xf numFmtId="165" fontId="58" fillId="9" borderId="22" xfId="13" applyFont="1" applyFill="1" applyBorder="1" applyAlignment="1">
      <alignment horizontal="center" wrapText="1"/>
    </xf>
    <xf numFmtId="165" fontId="58" fillId="9" borderId="12" xfId="13" applyFont="1" applyFill="1" applyBorder="1" applyAlignment="1">
      <alignment horizontal="center" wrapText="1"/>
    </xf>
    <xf numFmtId="165" fontId="58" fillId="0" borderId="12" xfId="13" applyFont="1" applyBorder="1" applyAlignment="1">
      <alignment horizontal="center"/>
    </xf>
    <xf numFmtId="165" fontId="58" fillId="0" borderId="22" xfId="13" applyFont="1" applyBorder="1" applyAlignment="1">
      <alignment horizontal="center"/>
    </xf>
    <xf numFmtId="165" fontId="58" fillId="3" borderId="19" xfId="13" applyFont="1" applyFill="1" applyBorder="1" applyAlignment="1">
      <alignment horizontal="center"/>
    </xf>
    <xf numFmtId="165" fontId="58" fillId="9" borderId="21" xfId="13" applyFont="1" applyFill="1" applyBorder="1" applyAlignment="1">
      <alignment horizontal="center"/>
    </xf>
    <xf numFmtId="165" fontId="58" fillId="9" borderId="19" xfId="13" applyFont="1" applyFill="1" applyBorder="1" applyAlignment="1">
      <alignment horizontal="center"/>
    </xf>
    <xf numFmtId="165" fontId="58" fillId="3" borderId="22" xfId="13" applyFont="1" applyFill="1" applyBorder="1" applyAlignment="1">
      <alignment horizontal="center"/>
    </xf>
    <xf numFmtId="165" fontId="58" fillId="5" borderId="22" xfId="13" applyFont="1" applyFill="1" applyBorder="1" applyAlignment="1">
      <alignment horizontal="center"/>
    </xf>
    <xf numFmtId="165" fontId="58" fillId="5" borderId="21" xfId="13" applyFont="1" applyFill="1" applyBorder="1" applyAlignment="1">
      <alignment horizontal="center"/>
    </xf>
    <xf numFmtId="165" fontId="58" fillId="9" borderId="22" xfId="13" applyFont="1" applyFill="1" applyBorder="1" applyAlignment="1">
      <alignment horizontal="center"/>
    </xf>
    <xf numFmtId="165" fontId="58" fillId="11" borderId="11" xfId="13" applyFont="1" applyFill="1" applyBorder="1" applyAlignment="1">
      <alignment horizontal="center"/>
    </xf>
    <xf numFmtId="165" fontId="58" fillId="11" borderId="22" xfId="13" applyFont="1" applyFill="1" applyBorder="1" applyAlignment="1">
      <alignment horizontal="center"/>
    </xf>
    <xf numFmtId="165" fontId="58" fillId="11" borderId="12" xfId="13" applyFont="1" applyFill="1" applyBorder="1" applyAlignment="1">
      <alignment horizontal="center"/>
    </xf>
    <xf numFmtId="165" fontId="58" fillId="0" borderId="19" xfId="13" applyFont="1" applyBorder="1" applyAlignment="1">
      <alignment horizontal="center"/>
    </xf>
    <xf numFmtId="165" fontId="58" fillId="11" borderId="19" xfId="13" applyFont="1" applyFill="1" applyBorder="1" applyAlignment="1">
      <alignment horizontal="center"/>
    </xf>
    <xf numFmtId="165" fontId="58" fillId="11" borderId="21" xfId="13" applyFont="1" applyFill="1" applyBorder="1" applyAlignment="1">
      <alignment horizontal="center"/>
    </xf>
    <xf numFmtId="165" fontId="58" fillId="11" borderId="20" xfId="13" applyFont="1" applyFill="1" applyBorder="1" applyAlignment="1">
      <alignment horizontal="center"/>
    </xf>
    <xf numFmtId="165" fontId="58" fillId="0" borderId="13" xfId="13" applyFont="1" applyBorder="1" applyAlignment="1">
      <alignment horizontal="center"/>
    </xf>
    <xf numFmtId="165" fontId="58" fillId="5" borderId="11" xfId="13" applyFont="1" applyFill="1" applyBorder="1" applyAlignment="1">
      <alignment horizontal="center"/>
    </xf>
    <xf numFmtId="165" fontId="58" fillId="3" borderId="11" xfId="13" applyFont="1" applyFill="1" applyBorder="1" applyAlignment="1">
      <alignment horizontal="center"/>
    </xf>
    <xf numFmtId="165" fontId="58" fillId="4" borderId="11" xfId="13" applyFont="1" applyFill="1" applyBorder="1" applyAlignment="1">
      <alignment horizontal="center"/>
    </xf>
    <xf numFmtId="165" fontId="58" fillId="4" borderId="22" xfId="13" applyFont="1" applyFill="1" applyBorder="1" applyAlignment="1">
      <alignment horizontal="center"/>
    </xf>
    <xf numFmtId="165" fontId="58" fillId="9" borderId="12" xfId="13" applyFont="1" applyFill="1" applyBorder="1" applyAlignment="1">
      <alignment horizontal="center"/>
    </xf>
    <xf numFmtId="165" fontId="58" fillId="4" borderId="12" xfId="13" applyFont="1" applyFill="1" applyBorder="1" applyAlignment="1">
      <alignment horizontal="center"/>
    </xf>
    <xf numFmtId="165" fontId="58" fillId="4" borderId="13" xfId="13" applyFont="1" applyFill="1" applyBorder="1" applyAlignment="1">
      <alignment horizontal="center"/>
    </xf>
    <xf numFmtId="165" fontId="58" fillId="3" borderId="18" xfId="13" applyFont="1" applyFill="1" applyBorder="1" applyAlignment="1">
      <alignment horizontal="center"/>
    </xf>
    <xf numFmtId="165" fontId="58" fillId="4" borderId="21" xfId="13" applyFont="1" applyFill="1" applyBorder="1" applyAlignment="1">
      <alignment horizontal="center"/>
    </xf>
    <xf numFmtId="165" fontId="58" fillId="9" borderId="18" xfId="13" applyFont="1" applyFill="1" applyBorder="1" applyAlignment="1">
      <alignment horizontal="center"/>
    </xf>
    <xf numFmtId="165" fontId="58" fillId="9" borderId="11" xfId="13" applyFont="1" applyFill="1" applyBorder="1" applyAlignment="1">
      <alignment horizontal="center"/>
    </xf>
    <xf numFmtId="165" fontId="58" fillId="3" borderId="12" xfId="13" applyFont="1" applyFill="1" applyBorder="1" applyAlignment="1">
      <alignment horizontal="center"/>
    </xf>
    <xf numFmtId="165" fontId="58" fillId="5" borderId="12" xfId="13" applyFont="1" applyFill="1" applyBorder="1" applyAlignment="1">
      <alignment horizontal="center"/>
    </xf>
    <xf numFmtId="165" fontId="58" fillId="3" borderId="13" xfId="13" applyFont="1" applyFill="1" applyBorder="1" applyAlignment="1">
      <alignment horizontal="center"/>
    </xf>
    <xf numFmtId="165" fontId="58" fillId="11" borderId="11" xfId="13" applyFont="1" applyFill="1" applyBorder="1" applyAlignment="1">
      <alignment horizontal="center" wrapText="1"/>
    </xf>
    <xf numFmtId="165" fontId="58" fillId="11" borderId="13" xfId="13" applyFont="1" applyFill="1" applyBorder="1" applyAlignment="1">
      <alignment horizontal="center" wrapText="1"/>
    </xf>
    <xf numFmtId="165" fontId="58" fillId="9" borderId="20" xfId="13" applyFont="1" applyFill="1" applyBorder="1" applyAlignment="1">
      <alignment horizontal="center"/>
    </xf>
    <xf numFmtId="165" fontId="58" fillId="0" borderId="20" xfId="13" applyFont="1" applyBorder="1" applyAlignment="1">
      <alignment horizontal="center"/>
    </xf>
    <xf numFmtId="165" fontId="58" fillId="4" borderId="19" xfId="13" applyFont="1" applyFill="1" applyBorder="1" applyAlignment="1">
      <alignment horizontal="center"/>
    </xf>
    <xf numFmtId="165" fontId="58" fillId="0" borderId="18" xfId="13" applyFont="1" applyBorder="1"/>
    <xf numFmtId="165" fontId="58" fillId="0" borderId="21" xfId="13" applyFont="1" applyBorder="1"/>
    <xf numFmtId="165" fontId="58" fillId="0" borderId="13" xfId="13" applyFont="1" applyBorder="1"/>
    <xf numFmtId="165" fontId="58" fillId="3" borderId="12" xfId="13" applyFont="1" applyFill="1" applyBorder="1"/>
    <xf numFmtId="165" fontId="58" fillId="0" borderId="22" xfId="13" applyFont="1" applyBorder="1"/>
    <xf numFmtId="165" fontId="58" fillId="3" borderId="18" xfId="13" applyFont="1" applyFill="1" applyBorder="1"/>
    <xf numFmtId="165" fontId="58" fillId="3" borderId="21" xfId="13" applyFont="1" applyFill="1" applyBorder="1"/>
    <xf numFmtId="165" fontId="58" fillId="5" borderId="19" xfId="13" applyFont="1" applyFill="1" applyBorder="1"/>
    <xf numFmtId="165" fontId="58" fillId="5" borderId="21" xfId="13" applyFont="1" applyFill="1" applyBorder="1"/>
    <xf numFmtId="165" fontId="58" fillId="3" borderId="19" xfId="13" applyFont="1" applyFill="1" applyBorder="1"/>
    <xf numFmtId="165" fontId="58" fillId="3" borderId="22" xfId="13" applyFont="1" applyFill="1" applyBorder="1"/>
    <xf numFmtId="165" fontId="58" fillId="3" borderId="20" xfId="13" applyFont="1" applyFill="1" applyBorder="1"/>
    <xf numFmtId="165" fontId="58" fillId="0" borderId="11" xfId="13" applyFont="1" applyBorder="1"/>
    <xf numFmtId="165" fontId="58" fillId="0" borderId="15" xfId="13" applyFont="1" applyBorder="1"/>
    <xf numFmtId="165" fontId="58" fillId="11" borderId="24" xfId="13" applyFont="1" applyFill="1" applyBorder="1"/>
    <xf numFmtId="165" fontId="58" fillId="11" borderId="21" xfId="13" applyFont="1" applyFill="1" applyBorder="1"/>
    <xf numFmtId="165" fontId="58" fillId="11" borderId="15" xfId="13" applyFont="1" applyFill="1" applyBorder="1"/>
    <xf numFmtId="0" fontId="58" fillId="0" borderId="15" xfId="0" applyFont="1" applyBorder="1" applyAlignment="1">
      <alignment horizontal="left"/>
    </xf>
    <xf numFmtId="165" fontId="58" fillId="0" borderId="23" xfId="13" applyFont="1" applyBorder="1" applyAlignment="1">
      <alignment horizontal="center"/>
    </xf>
    <xf numFmtId="165" fontId="58" fillId="0" borderId="15" xfId="13" applyFont="1" applyBorder="1" applyAlignment="1">
      <alignment horizontal="center" wrapText="1"/>
    </xf>
    <xf numFmtId="165" fontId="58" fillId="0" borderId="16" xfId="13" applyFont="1" applyBorder="1" applyAlignment="1">
      <alignment horizontal="center" wrapText="1"/>
    </xf>
    <xf numFmtId="165" fontId="58" fillId="11" borderId="15" xfId="13" applyFont="1" applyFill="1" applyBorder="1" applyAlignment="1">
      <alignment horizontal="center" wrapText="1"/>
    </xf>
    <xf numFmtId="165" fontId="58" fillId="11" borderId="16" xfId="13" applyFont="1" applyFill="1" applyBorder="1" applyAlignment="1">
      <alignment horizontal="center" wrapText="1"/>
    </xf>
    <xf numFmtId="165" fontId="58" fillId="0" borderId="10" xfId="13" applyFont="1" applyBorder="1" applyAlignment="1">
      <alignment horizontal="center" wrapText="1"/>
    </xf>
    <xf numFmtId="165" fontId="58" fillId="11" borderId="10" xfId="13" applyFont="1" applyFill="1" applyBorder="1" applyAlignment="1">
      <alignment horizontal="center" wrapText="1"/>
    </xf>
    <xf numFmtId="165" fontId="58" fillId="9" borderId="10" xfId="13" applyFont="1" applyFill="1" applyBorder="1" applyAlignment="1">
      <alignment horizontal="center" wrapText="1"/>
    </xf>
    <xf numFmtId="165" fontId="58" fillId="9" borderId="16" xfId="13" applyFont="1" applyFill="1" applyBorder="1" applyAlignment="1">
      <alignment horizontal="center" wrapText="1"/>
    </xf>
    <xf numFmtId="165" fontId="58" fillId="0" borderId="43" xfId="13" applyFont="1" applyBorder="1" applyAlignment="1">
      <alignment horizontal="center"/>
    </xf>
    <xf numFmtId="165" fontId="58" fillId="0" borderId="42" xfId="13" applyFont="1" applyBorder="1" applyAlignment="1">
      <alignment horizontal="center"/>
    </xf>
    <xf numFmtId="165" fontId="58" fillId="0" borderId="15" xfId="13" applyFont="1" applyBorder="1" applyAlignment="1">
      <alignment horizontal="center"/>
    </xf>
    <xf numFmtId="165" fontId="58" fillId="9" borderId="15" xfId="13" applyFont="1" applyFill="1" applyBorder="1" applyAlignment="1">
      <alignment horizontal="center"/>
    </xf>
    <xf numFmtId="165" fontId="58" fillId="5" borderId="15" xfId="13" applyFont="1" applyFill="1" applyBorder="1" applyAlignment="1">
      <alignment horizontal="center"/>
    </xf>
    <xf numFmtId="165" fontId="58" fillId="9" borderId="24" xfId="13" applyFont="1" applyFill="1" applyBorder="1" applyAlignment="1">
      <alignment horizontal="center"/>
    </xf>
    <xf numFmtId="165" fontId="58" fillId="3" borderId="16" xfId="13" applyFont="1" applyFill="1" applyBorder="1" applyAlignment="1">
      <alignment horizontal="center"/>
    </xf>
    <xf numFmtId="165" fontId="58" fillId="3" borderId="14" xfId="13" applyFont="1" applyFill="1" applyBorder="1" applyAlignment="1">
      <alignment horizontal="center"/>
    </xf>
    <xf numFmtId="165" fontId="58" fillId="11" borderId="15" xfId="13" applyFont="1" applyFill="1" applyBorder="1" applyAlignment="1">
      <alignment horizontal="center"/>
    </xf>
    <xf numFmtId="165" fontId="58" fillId="11" borderId="24" xfId="13" applyFont="1" applyFill="1" applyBorder="1" applyAlignment="1">
      <alignment horizontal="center"/>
    </xf>
    <xf numFmtId="165" fontId="58" fillId="0" borderId="15" xfId="13" applyFont="1" applyBorder="1" applyAlignment="1">
      <alignment horizontal="center" wrapText="1" shrinkToFit="1"/>
    </xf>
    <xf numFmtId="165" fontId="58" fillId="0" borderId="0" xfId="13" applyFont="1" applyAlignment="1">
      <alignment horizontal="center"/>
    </xf>
    <xf numFmtId="165" fontId="58" fillId="0" borderId="10" xfId="13" applyFont="1" applyBorder="1" applyAlignment="1">
      <alignment horizontal="center" wrapText="1" shrinkToFit="1"/>
    </xf>
    <xf numFmtId="165" fontId="58" fillId="11" borderId="0" xfId="13" applyFont="1" applyFill="1" applyAlignment="1">
      <alignment horizontal="center"/>
    </xf>
    <xf numFmtId="165" fontId="58" fillId="11" borderId="15" xfId="13" applyFont="1" applyFill="1" applyBorder="1" applyAlignment="1">
      <alignment horizontal="center" wrapText="1" shrinkToFit="1"/>
    </xf>
    <xf numFmtId="165" fontId="58" fillId="5" borderId="0" xfId="13" applyFont="1" applyFill="1" applyAlignment="1">
      <alignment horizontal="center"/>
    </xf>
    <xf numFmtId="165" fontId="58" fillId="4" borderId="10" xfId="13" applyFont="1" applyFill="1" applyBorder="1" applyAlignment="1">
      <alignment horizontal="center"/>
    </xf>
    <xf numFmtId="165" fontId="58" fillId="5" borderId="24" xfId="13" applyFont="1" applyFill="1" applyBorder="1" applyAlignment="1">
      <alignment horizontal="center"/>
    </xf>
    <xf numFmtId="165" fontId="58" fillId="3" borderId="17" xfId="13" applyFont="1" applyFill="1" applyBorder="1" applyAlignment="1">
      <alignment horizontal="center"/>
    </xf>
    <xf numFmtId="165" fontId="58" fillId="4" borderId="16" xfId="13" applyFont="1" applyFill="1" applyBorder="1" applyAlignment="1">
      <alignment horizontal="center"/>
    </xf>
    <xf numFmtId="165" fontId="58" fillId="4" borderId="17" xfId="13" applyFont="1" applyFill="1" applyBorder="1" applyAlignment="1">
      <alignment horizontal="center"/>
    </xf>
    <xf numFmtId="165" fontId="58" fillId="11" borderId="24" xfId="13" applyFont="1" applyFill="1" applyBorder="1" applyAlignment="1">
      <alignment horizontal="center" wrapText="1"/>
    </xf>
    <xf numFmtId="165" fontId="58" fillId="0" borderId="17" xfId="13" applyFont="1" applyBorder="1" applyAlignment="1">
      <alignment horizontal="center"/>
    </xf>
    <xf numFmtId="165" fontId="58" fillId="0" borderId="10" xfId="13" applyFont="1" applyBorder="1" applyAlignment="1">
      <alignment horizontal="center"/>
    </xf>
    <xf numFmtId="165" fontId="58" fillId="0" borderId="16" xfId="13" applyFont="1" applyBorder="1" applyAlignment="1">
      <alignment horizontal="center"/>
    </xf>
    <xf numFmtId="165" fontId="58" fillId="9" borderId="0" xfId="13" applyFont="1" applyFill="1" applyAlignment="1">
      <alignment horizontal="center"/>
    </xf>
    <xf numFmtId="165" fontId="58" fillId="0" borderId="29" xfId="13" applyFont="1" applyBorder="1"/>
    <xf numFmtId="165" fontId="58" fillId="3" borderId="0" xfId="13" applyFont="1" applyFill="1"/>
    <xf numFmtId="165" fontId="58" fillId="3" borderId="29" xfId="13" applyFont="1" applyFill="1" applyBorder="1"/>
    <xf numFmtId="165" fontId="58" fillId="5" borderId="29" xfId="13" applyFont="1" applyFill="1" applyBorder="1"/>
    <xf numFmtId="165" fontId="58" fillId="0" borderId="23" xfId="13" applyFont="1" applyBorder="1"/>
    <xf numFmtId="165" fontId="58" fillId="3" borderId="42" xfId="13" applyFont="1" applyFill="1" applyBorder="1"/>
    <xf numFmtId="165" fontId="58" fillId="3" borderId="23" xfId="13" applyFont="1" applyFill="1" applyBorder="1"/>
    <xf numFmtId="165" fontId="58" fillId="3" borderId="43" xfId="13" applyFont="1" applyFill="1" applyBorder="1"/>
    <xf numFmtId="165" fontId="58" fillId="3" borderId="15" xfId="13" applyFont="1" applyFill="1" applyBorder="1"/>
    <xf numFmtId="165" fontId="58" fillId="0" borderId="42" xfId="13" applyFont="1" applyBorder="1"/>
    <xf numFmtId="165" fontId="58" fillId="11" borderId="25" xfId="13" applyFont="1" applyFill="1" applyBorder="1"/>
    <xf numFmtId="0" fontId="58" fillId="0" borderId="32" xfId="0" applyFont="1" applyBorder="1" applyAlignment="1">
      <alignment horizontal="left"/>
    </xf>
    <xf numFmtId="165" fontId="58" fillId="0" borderId="32" xfId="13" applyFont="1" applyBorder="1" applyAlignment="1">
      <alignment horizontal="center"/>
    </xf>
    <xf numFmtId="165" fontId="58" fillId="11" borderId="32" xfId="13" applyFont="1" applyFill="1" applyBorder="1" applyAlignment="1">
      <alignment horizontal="center" wrapText="1"/>
    </xf>
    <xf numFmtId="165" fontId="58" fillId="0" borderId="21" xfId="13" applyFont="1" applyBorder="1" applyAlignment="1">
      <alignment horizontal="center" wrapText="1" shrinkToFit="1"/>
    </xf>
    <xf numFmtId="165" fontId="58" fillId="0" borderId="43" xfId="13" applyFont="1" applyBorder="1" applyAlignment="1">
      <alignment horizontal="center" wrapText="1" shrinkToFit="1"/>
    </xf>
    <xf numFmtId="165" fontId="58" fillId="0" borderId="23" xfId="13" applyFont="1" applyBorder="1" applyAlignment="1">
      <alignment horizontal="center" wrapText="1" shrinkToFit="1"/>
    </xf>
    <xf numFmtId="165" fontId="58" fillId="3" borderId="42" xfId="13" applyFont="1" applyFill="1" applyBorder="1" applyAlignment="1">
      <alignment horizontal="center" wrapText="1" shrinkToFit="1"/>
    </xf>
    <xf numFmtId="165" fontId="58" fillId="4" borderId="23" xfId="13" applyFont="1" applyFill="1" applyBorder="1" applyAlignment="1">
      <alignment horizontal="center" wrapText="1" shrinkToFit="1"/>
    </xf>
    <xf numFmtId="165" fontId="58" fillId="0" borderId="14" xfId="13" applyFont="1" applyBorder="1" applyAlignment="1">
      <alignment horizontal="center"/>
    </xf>
    <xf numFmtId="165" fontId="58" fillId="11" borderId="17" xfId="13" applyFont="1" applyFill="1" applyBorder="1" applyAlignment="1">
      <alignment horizontal="center"/>
    </xf>
    <xf numFmtId="165" fontId="58" fillId="11" borderId="16" xfId="13" applyFont="1" applyFill="1" applyBorder="1" applyAlignment="1">
      <alignment horizontal="center"/>
    </xf>
    <xf numFmtId="165" fontId="58" fillId="5" borderId="10" xfId="13" applyFont="1" applyFill="1" applyBorder="1" applyAlignment="1">
      <alignment horizontal="center"/>
    </xf>
    <xf numFmtId="165" fontId="58" fillId="11" borderId="14" xfId="13" applyFont="1" applyFill="1" applyBorder="1" applyAlignment="1">
      <alignment horizontal="center"/>
    </xf>
    <xf numFmtId="165" fontId="58" fillId="9" borderId="16" xfId="13" applyFont="1" applyFill="1" applyBorder="1" applyAlignment="1">
      <alignment horizontal="center"/>
    </xf>
    <xf numFmtId="165" fontId="58" fillId="9" borderId="10" xfId="13" applyFont="1" applyFill="1" applyBorder="1" applyAlignment="1">
      <alignment horizontal="center"/>
    </xf>
    <xf numFmtId="165" fontId="58" fillId="9" borderId="14" xfId="13" applyFont="1" applyFill="1" applyBorder="1" applyAlignment="1">
      <alignment horizontal="center"/>
    </xf>
    <xf numFmtId="165" fontId="58" fillId="11" borderId="10" xfId="13" applyFont="1" applyFill="1" applyBorder="1" applyAlignment="1">
      <alignment horizontal="center"/>
    </xf>
    <xf numFmtId="165" fontId="58" fillId="4" borderId="14" xfId="13" applyFont="1" applyFill="1" applyBorder="1" applyAlignment="1">
      <alignment horizontal="center"/>
    </xf>
    <xf numFmtId="165" fontId="58" fillId="5" borderId="14" xfId="13" applyFont="1" applyFill="1" applyBorder="1" applyAlignment="1">
      <alignment horizontal="center"/>
    </xf>
    <xf numFmtId="165" fontId="58" fillId="0" borderId="14" xfId="13" applyFont="1" applyBorder="1"/>
    <xf numFmtId="165" fontId="58" fillId="0" borderId="17" xfId="13" applyFont="1" applyBorder="1"/>
    <xf numFmtId="165" fontId="58" fillId="3" borderId="14" xfId="13" applyFont="1" applyFill="1" applyBorder="1"/>
    <xf numFmtId="165" fontId="58" fillId="0" borderId="10" xfId="13" applyFont="1" applyBorder="1"/>
    <xf numFmtId="165" fontId="58" fillId="3" borderId="10" xfId="13" applyFont="1" applyFill="1" applyBorder="1"/>
    <xf numFmtId="165" fontId="58" fillId="5" borderId="10" xfId="13" applyFont="1" applyFill="1" applyBorder="1"/>
    <xf numFmtId="165" fontId="58" fillId="3" borderId="16" xfId="13" applyFont="1" applyFill="1" applyBorder="1"/>
    <xf numFmtId="165" fontId="58" fillId="11" borderId="10" xfId="13" applyFont="1" applyFill="1" applyBorder="1"/>
    <xf numFmtId="0" fontId="58" fillId="0" borderId="10" xfId="0" applyFont="1" applyBorder="1" applyAlignment="1">
      <alignment horizontal="left"/>
    </xf>
    <xf numFmtId="165" fontId="58" fillId="9" borderId="17" xfId="13" applyFont="1" applyFill="1" applyBorder="1" applyAlignment="1">
      <alignment horizontal="center"/>
    </xf>
    <xf numFmtId="0" fontId="58" fillId="0" borderId="21" xfId="0" applyFont="1" applyBorder="1" applyAlignment="1">
      <alignment horizontal="left"/>
    </xf>
    <xf numFmtId="165" fontId="58" fillId="5" borderId="18" xfId="13" applyFont="1" applyFill="1" applyBorder="1" applyAlignment="1">
      <alignment horizontal="center"/>
    </xf>
    <xf numFmtId="165" fontId="58" fillId="4" borderId="18" xfId="13" applyFont="1" applyFill="1" applyBorder="1" applyAlignment="1">
      <alignment horizontal="center"/>
    </xf>
    <xf numFmtId="165" fontId="58" fillId="4" borderId="20" xfId="13" applyFont="1" applyFill="1" applyBorder="1" applyAlignment="1">
      <alignment horizontal="center"/>
    </xf>
    <xf numFmtId="165" fontId="58" fillId="11" borderId="18" xfId="13" applyFont="1" applyFill="1" applyBorder="1" applyAlignment="1">
      <alignment horizontal="center"/>
    </xf>
    <xf numFmtId="165" fontId="58" fillId="3" borderId="20" xfId="13" applyFont="1" applyFill="1" applyBorder="1" applyAlignment="1">
      <alignment horizontal="center"/>
    </xf>
    <xf numFmtId="0" fontId="58" fillId="0" borderId="22" xfId="0" applyFont="1" applyBorder="1" applyAlignment="1">
      <alignment horizontal="center"/>
    </xf>
    <xf numFmtId="0" fontId="58" fillId="0" borderId="0" xfId="0" applyFont="1"/>
    <xf numFmtId="165" fontId="58" fillId="0" borderId="0" xfId="0" applyNumberFormat="1" applyFont="1" applyAlignment="1">
      <alignment vertical="center"/>
    </xf>
    <xf numFmtId="165" fontId="58" fillId="0" borderId="0" xfId="13" applyFont="1" applyAlignment="1">
      <alignment vertical="center"/>
    </xf>
    <xf numFmtId="43" fontId="58" fillId="0" borderId="0" xfId="0" applyNumberFormat="1" applyFont="1" applyAlignment="1">
      <alignment horizontal="center" vertical="center"/>
    </xf>
    <xf numFmtId="165" fontId="58" fillId="0" borderId="0" xfId="0" applyNumberFormat="1" applyFont="1" applyAlignment="1">
      <alignment horizontal="center" vertical="center"/>
    </xf>
    <xf numFmtId="0" fontId="57" fillId="0" borderId="2" xfId="0" applyFont="1" applyBorder="1"/>
    <xf numFmtId="0" fontId="57" fillId="4" borderId="2" xfId="0" applyFont="1" applyFill="1" applyBorder="1"/>
    <xf numFmtId="0" fontId="57" fillId="0" borderId="0" xfId="0" applyFont="1"/>
    <xf numFmtId="2" fontId="58" fillId="0" borderId="0" xfId="0" applyNumberFormat="1" applyFont="1" applyAlignment="1">
      <alignment vertical="center"/>
    </xf>
    <xf numFmtId="165" fontId="58" fillId="0" borderId="0" xfId="0" applyNumberFormat="1" applyFont="1" applyAlignment="1">
      <alignment vertical="center" wrapText="1"/>
    </xf>
    <xf numFmtId="0" fontId="58" fillId="0" borderId="0" xfId="0" applyFont="1" applyAlignment="1">
      <alignment vertical="center" wrapText="1"/>
    </xf>
    <xf numFmtId="0" fontId="84" fillId="0" borderId="50" xfId="0" applyFont="1" applyBorder="1" applyAlignment="1">
      <alignment horizontal="center" vertical="center"/>
    </xf>
    <xf numFmtId="0" fontId="84" fillId="0" borderId="0" xfId="0" applyFont="1" applyAlignment="1">
      <alignment horizontal="center" vertical="center"/>
    </xf>
    <xf numFmtId="165" fontId="58" fillId="0" borderId="50" xfId="0" applyNumberFormat="1" applyFont="1" applyBorder="1" applyAlignment="1">
      <alignment vertical="center"/>
    </xf>
    <xf numFmtId="0" fontId="58" fillId="0" borderId="0" xfId="0" applyFont="1" applyAlignment="1">
      <alignment horizontal="right" vertical="center"/>
    </xf>
    <xf numFmtId="4" fontId="58" fillId="0" borderId="0" xfId="0" applyNumberFormat="1" applyFont="1" applyAlignment="1">
      <alignment horizontal="right" vertical="center" shrinkToFit="1"/>
    </xf>
    <xf numFmtId="4" fontId="58" fillId="0" borderId="0" xfId="27" applyNumberFormat="1" applyFont="1" applyAlignment="1">
      <alignment horizontal="right" vertical="top" shrinkToFit="1"/>
    </xf>
    <xf numFmtId="4" fontId="6" fillId="0" borderId="5" xfId="12">
      <alignment horizontal="right" vertical="top" shrinkToFit="1"/>
    </xf>
    <xf numFmtId="4" fontId="34" fillId="21" borderId="66" xfId="29" applyNumberFormat="1" applyFont="1" applyFill="1" applyBorder="1" applyAlignment="1">
      <alignment horizontal="right" vertical="top" shrinkToFit="1"/>
    </xf>
    <xf numFmtId="165" fontId="58" fillId="16" borderId="2" xfId="13" applyFont="1" applyFill="1" applyBorder="1" applyAlignment="1">
      <alignment vertical="center"/>
    </xf>
    <xf numFmtId="165" fontId="58" fillId="16" borderId="9" xfId="13" applyFont="1" applyFill="1" applyBorder="1" applyAlignment="1">
      <alignment vertical="center"/>
    </xf>
    <xf numFmtId="0" fontId="85" fillId="0" borderId="0" xfId="0" applyFont="1" applyAlignment="1">
      <alignment horizontal="center" vertical="center" wrapText="1"/>
    </xf>
    <xf numFmtId="4" fontId="58" fillId="0" borderId="0" xfId="0" applyNumberFormat="1" applyFont="1" applyAlignment="1">
      <alignment horizontal="right" vertical="top" shrinkToFit="1"/>
    </xf>
    <xf numFmtId="4" fontId="58" fillId="0" borderId="0" xfId="27" applyNumberFormat="1" applyFont="1" applyAlignment="1">
      <alignment horizontal="right" shrinkToFit="1"/>
    </xf>
    <xf numFmtId="4" fontId="84" fillId="0" borderId="0" xfId="1" applyNumberFormat="1" applyFont="1" applyAlignment="1">
      <alignment horizontal="right" vertical="top" shrinkToFit="1"/>
    </xf>
    <xf numFmtId="0" fontId="58" fillId="17" borderId="2" xfId="1" applyFont="1" applyFill="1" applyBorder="1" applyAlignment="1">
      <alignment wrapText="1"/>
    </xf>
    <xf numFmtId="165" fontId="59" fillId="17" borderId="2" xfId="13" applyFont="1" applyFill="1" applyBorder="1" applyAlignment="1">
      <alignment wrapText="1"/>
    </xf>
    <xf numFmtId="0" fontId="58" fillId="17" borderId="2" xfId="1" applyFont="1" applyFill="1" applyBorder="1"/>
    <xf numFmtId="165" fontId="59" fillId="17" borderId="2" xfId="13" applyFont="1" applyFill="1" applyBorder="1"/>
    <xf numFmtId="0" fontId="58" fillId="0" borderId="19" xfId="0" applyFont="1" applyBorder="1" applyAlignment="1">
      <alignment vertical="center" wrapText="1"/>
    </xf>
    <xf numFmtId="49" fontId="35" fillId="0" borderId="2" xfId="1" applyNumberFormat="1" applyFont="1" applyBorder="1" applyAlignment="1">
      <alignment horizontal="center" vertical="center" wrapText="1"/>
    </xf>
    <xf numFmtId="49" fontId="35" fillId="0" borderId="2" xfId="1" applyNumberFormat="1" applyFont="1" applyBorder="1" applyAlignment="1">
      <alignment horizontal="center" vertical="center" wrapText="1"/>
    </xf>
    <xf numFmtId="0" fontId="2" fillId="0" borderId="30" xfId="1" applyFont="1" applyBorder="1" applyAlignment="1">
      <alignment horizontal="left" wrapText="1"/>
    </xf>
    <xf numFmtId="165" fontId="29" fillId="0" borderId="2" xfId="13" applyFont="1" applyFill="1" applyBorder="1"/>
    <xf numFmtId="165" fontId="37" fillId="0" borderId="2" xfId="13" applyFont="1" applyFill="1" applyBorder="1" applyAlignment="1">
      <alignment horizontal="center" vertical="center" wrapText="1"/>
    </xf>
    <xf numFmtId="49" fontId="35" fillId="0" borderId="2" xfId="1" applyNumberFormat="1" applyFont="1" applyFill="1" applyBorder="1" applyAlignment="1">
      <alignment horizontal="center" vertical="center" wrapText="1"/>
    </xf>
    <xf numFmtId="0" fontId="58" fillId="5" borderId="10" xfId="0" applyFont="1" applyFill="1" applyBorder="1" applyAlignment="1">
      <alignment horizontal="center" vertical="center" wrapText="1"/>
    </xf>
    <xf numFmtId="165" fontId="58" fillId="5" borderId="19" xfId="13" applyFont="1" applyFill="1" applyBorder="1" applyAlignment="1">
      <alignment horizontal="center"/>
    </xf>
    <xf numFmtId="165" fontId="58" fillId="9" borderId="32" xfId="13" applyFont="1" applyFill="1" applyBorder="1" applyAlignment="1">
      <alignment horizontal="center"/>
    </xf>
    <xf numFmtId="165" fontId="31" fillId="17" borderId="2" xfId="13" applyFont="1" applyFill="1" applyBorder="1" applyAlignment="1">
      <alignment horizontal="center" vertical="center"/>
    </xf>
    <xf numFmtId="165" fontId="37" fillId="17" borderId="2" xfId="13" applyFont="1" applyFill="1" applyBorder="1" applyAlignment="1">
      <alignment horizontal="center" vertical="center"/>
    </xf>
    <xf numFmtId="0" fontId="87" fillId="0" borderId="0" xfId="1" applyFont="1"/>
    <xf numFmtId="0" fontId="17" fillId="4" borderId="60" xfId="1" applyFont="1" applyFill="1" applyBorder="1" applyAlignment="1">
      <alignment horizontal="center" vertical="center" wrapText="1"/>
    </xf>
    <xf numFmtId="0" fontId="9" fillId="4" borderId="2" xfId="1" applyFont="1" applyFill="1" applyBorder="1" applyAlignment="1">
      <alignment horizontal="center" vertical="center"/>
    </xf>
    <xf numFmtId="164" fontId="28" fillId="4" borderId="62" xfId="4" applyFont="1" applyFill="1" applyBorder="1" applyAlignment="1">
      <alignment horizontal="right" vertical="center" shrinkToFit="1"/>
    </xf>
    <xf numFmtId="165" fontId="28" fillId="4" borderId="2" xfId="13" applyFont="1" applyFill="1" applyBorder="1" applyAlignment="1">
      <alignment horizontal="right" wrapText="1" shrinkToFit="1"/>
    </xf>
    <xf numFmtId="164" fontId="28" fillId="4" borderId="2" xfId="4" applyFont="1" applyFill="1" applyBorder="1" applyAlignment="1">
      <alignment horizontal="right" vertical="center" shrinkToFit="1"/>
    </xf>
    <xf numFmtId="165" fontId="52" fillId="0" borderId="0" xfId="13" applyFont="1"/>
    <xf numFmtId="164" fontId="11" fillId="4" borderId="2" xfId="4" applyFont="1" applyFill="1" applyBorder="1" applyAlignment="1">
      <alignment horizontal="right" vertical="center" shrinkToFit="1"/>
    </xf>
    <xf numFmtId="0" fontId="65" fillId="11" borderId="20" xfId="1" applyFont="1" applyFill="1" applyBorder="1"/>
    <xf numFmtId="165" fontId="63" fillId="11" borderId="21" xfId="13" applyFont="1" applyFill="1" applyBorder="1" applyAlignment="1">
      <alignment horizontal="center"/>
    </xf>
    <xf numFmtId="165" fontId="63" fillId="11" borderId="19" xfId="13" applyFont="1" applyFill="1" applyBorder="1" applyAlignment="1">
      <alignment horizontal="center"/>
    </xf>
    <xf numFmtId="0" fontId="2" fillId="23" borderId="2" xfId="1" applyFont="1" applyFill="1" applyBorder="1" applyAlignment="1">
      <alignment horizontal="center" vertical="center" wrapText="1"/>
    </xf>
    <xf numFmtId="171" fontId="32" fillId="23" borderId="2" xfId="1" applyNumberFormat="1" applyFont="1" applyFill="1" applyBorder="1"/>
    <xf numFmtId="165" fontId="20" fillId="0" borderId="32" xfId="13" applyFont="1" applyFill="1" applyBorder="1" applyAlignment="1">
      <alignment horizontal="center"/>
    </xf>
    <xf numFmtId="165" fontId="20" fillId="0" borderId="34" xfId="13" applyFont="1" applyFill="1" applyBorder="1" applyAlignment="1">
      <alignment horizontal="center"/>
    </xf>
    <xf numFmtId="165" fontId="19" fillId="0" borderId="21" xfId="13" applyFont="1" applyFill="1" applyBorder="1"/>
    <xf numFmtId="164" fontId="2" fillId="0" borderId="0" xfId="32" applyFont="1" applyAlignment="1">
      <alignment vertical="center"/>
    </xf>
    <xf numFmtId="43" fontId="2" fillId="0" borderId="0" xfId="1" applyNumberFormat="1" applyFont="1" applyAlignment="1">
      <alignment vertical="center"/>
    </xf>
    <xf numFmtId="165" fontId="23" fillId="0" borderId="31" xfId="1" applyNumberFormat="1" applyFont="1" applyBorder="1"/>
    <xf numFmtId="165" fontId="23" fillId="0" borderId="32" xfId="1" applyNumberFormat="1" applyFont="1" applyBorder="1"/>
    <xf numFmtId="165" fontId="23" fillId="0" borderId="28" xfId="1" applyNumberFormat="1" applyFont="1" applyBorder="1"/>
    <xf numFmtId="165" fontId="23" fillId="0" borderId="25" xfId="1" applyNumberFormat="1" applyFont="1" applyBorder="1"/>
    <xf numFmtId="165" fontId="23" fillId="0" borderId="37" xfId="1" applyNumberFormat="1" applyFont="1" applyBorder="1"/>
    <xf numFmtId="165" fontId="23" fillId="0" borderId="34" xfId="1" applyNumberFormat="1" applyFont="1" applyBorder="1"/>
    <xf numFmtId="0" fontId="2" fillId="0" borderId="30" xfId="1" applyFont="1" applyBorder="1" applyAlignment="1">
      <alignment horizontal="left" wrapText="1"/>
    </xf>
    <xf numFmtId="165" fontId="58" fillId="4" borderId="41" xfId="13" applyFont="1" applyFill="1" applyBorder="1" applyAlignment="1">
      <alignment horizontal="center"/>
    </xf>
    <xf numFmtId="165" fontId="20" fillId="0" borderId="31" xfId="13" applyFont="1" applyFill="1" applyBorder="1" applyAlignment="1">
      <alignment horizontal="center"/>
    </xf>
    <xf numFmtId="165" fontId="20" fillId="0" borderId="37" xfId="13" applyFont="1" applyFill="1" applyBorder="1" applyAlignment="1">
      <alignment horizontal="center"/>
    </xf>
    <xf numFmtId="165" fontId="20" fillId="0" borderId="30" xfId="13" applyFont="1" applyFill="1" applyBorder="1" applyAlignment="1">
      <alignment horizontal="center"/>
    </xf>
    <xf numFmtId="165" fontId="20" fillId="0" borderId="35" xfId="13" applyFont="1" applyFill="1" applyBorder="1" applyAlignment="1">
      <alignment horizontal="center"/>
    </xf>
    <xf numFmtId="165" fontId="20" fillId="18" borderId="28" xfId="13" applyFont="1" applyFill="1" applyBorder="1" applyAlignment="1">
      <alignment horizontal="center"/>
    </xf>
    <xf numFmtId="165" fontId="20" fillId="18" borderId="25" xfId="13" applyFont="1" applyFill="1" applyBorder="1" applyAlignment="1">
      <alignment horizontal="center"/>
    </xf>
    <xf numFmtId="165" fontId="20" fillId="18" borderId="26" xfId="13" applyFont="1" applyFill="1" applyBorder="1" applyAlignment="1">
      <alignment horizontal="center"/>
    </xf>
    <xf numFmtId="165" fontId="20" fillId="18" borderId="30" xfId="13" applyFont="1" applyFill="1" applyBorder="1" applyAlignment="1">
      <alignment horizontal="center"/>
    </xf>
    <xf numFmtId="49" fontId="35" fillId="0" borderId="2" xfId="1" applyNumberFormat="1" applyFont="1" applyBorder="1" applyAlignment="1">
      <alignment horizontal="center" vertical="center" wrapText="1"/>
    </xf>
    <xf numFmtId="165" fontId="20" fillId="18" borderId="24" xfId="13" applyFont="1" applyFill="1" applyBorder="1" applyAlignment="1">
      <alignment horizontal="center"/>
    </xf>
    <xf numFmtId="165" fontId="20" fillId="18" borderId="15" xfId="13" applyFont="1" applyFill="1" applyBorder="1" applyAlignment="1">
      <alignment horizontal="center"/>
    </xf>
    <xf numFmtId="165" fontId="19" fillId="18" borderId="11" xfId="13" applyFont="1" applyFill="1" applyBorder="1"/>
    <xf numFmtId="165" fontId="19" fillId="0" borderId="18" xfId="13" applyFont="1" applyFill="1" applyBorder="1"/>
    <xf numFmtId="165" fontId="19" fillId="0" borderId="42" xfId="13" applyFont="1" applyFill="1" applyBorder="1"/>
    <xf numFmtId="165" fontId="19" fillId="0" borderId="14" xfId="13" applyFont="1" applyFill="1" applyBorder="1"/>
    <xf numFmtId="0" fontId="17" fillId="0" borderId="16" xfId="1" applyFont="1" applyFill="1" applyBorder="1" applyAlignment="1">
      <alignment horizontal="center"/>
    </xf>
    <xf numFmtId="165" fontId="19" fillId="0" borderId="19" xfId="13" applyFont="1" applyFill="1" applyBorder="1"/>
    <xf numFmtId="165" fontId="19" fillId="0" borderId="43" xfId="13" applyFont="1" applyFill="1" applyBorder="1"/>
    <xf numFmtId="165" fontId="19" fillId="0" borderId="16" xfId="13" applyFont="1" applyFill="1" applyBorder="1"/>
    <xf numFmtId="0" fontId="22" fillId="0" borderId="10" xfId="1" applyFont="1" applyFill="1" applyBorder="1"/>
    <xf numFmtId="165" fontId="20" fillId="24" borderId="25" xfId="13" applyFont="1" applyFill="1" applyBorder="1" applyAlignment="1">
      <alignment horizontal="center"/>
    </xf>
    <xf numFmtId="165" fontId="20" fillId="24" borderId="27" xfId="13" applyFont="1" applyFill="1" applyBorder="1" applyAlignment="1">
      <alignment horizontal="center"/>
    </xf>
    <xf numFmtId="165" fontId="20" fillId="24" borderId="26" xfId="13" applyFont="1" applyFill="1" applyBorder="1" applyAlignment="1">
      <alignment horizontal="center"/>
    </xf>
    <xf numFmtId="165" fontId="20" fillId="24" borderId="28" xfId="13" applyFont="1" applyFill="1" applyBorder="1" applyAlignment="1">
      <alignment horizontal="center"/>
    </xf>
    <xf numFmtId="165" fontId="20" fillId="24" borderId="32" xfId="13" applyFont="1" applyFill="1" applyBorder="1" applyAlignment="1">
      <alignment horizontal="center"/>
    </xf>
    <xf numFmtId="165" fontId="20" fillId="24" borderId="33" xfId="13" applyFont="1" applyFill="1" applyBorder="1" applyAlignment="1">
      <alignment horizontal="center"/>
    </xf>
    <xf numFmtId="165" fontId="20" fillId="24" borderId="30" xfId="13" applyFont="1" applyFill="1" applyBorder="1" applyAlignment="1">
      <alignment horizontal="center"/>
    </xf>
    <xf numFmtId="165" fontId="20" fillId="24" borderId="31" xfId="13" applyFont="1" applyFill="1" applyBorder="1" applyAlignment="1">
      <alignment horizontal="center"/>
    </xf>
    <xf numFmtId="165" fontId="20" fillId="0" borderId="23" xfId="13" applyFont="1" applyFill="1" applyBorder="1" applyAlignment="1">
      <alignment horizontal="center"/>
    </xf>
    <xf numFmtId="165" fontId="20" fillId="24" borderId="23" xfId="13" applyFont="1" applyFill="1" applyBorder="1" applyAlignment="1">
      <alignment horizontal="center"/>
    </xf>
    <xf numFmtId="0" fontId="35" fillId="0" borderId="2" xfId="1" applyFont="1" applyFill="1" applyBorder="1" applyAlignment="1">
      <alignment vertical="center" wrapText="1"/>
    </xf>
    <xf numFmtId="165" fontId="29" fillId="0" borderId="46" xfId="13" applyFont="1" applyFill="1" applyBorder="1"/>
    <xf numFmtId="0" fontId="28" fillId="0" borderId="2" xfId="0" applyFont="1" applyBorder="1" applyAlignment="1">
      <alignment horizontal="left"/>
    </xf>
    <xf numFmtId="0" fontId="28" fillId="0" borderId="2" xfId="1" applyFont="1" applyBorder="1" applyAlignment="1">
      <alignment horizontal="center"/>
    </xf>
    <xf numFmtId="0" fontId="31" fillId="0" borderId="2" xfId="1" applyFont="1" applyBorder="1" applyAlignment="1">
      <alignment horizontal="center"/>
    </xf>
    <xf numFmtId="0" fontId="5" fillId="4" borderId="2" xfId="9" applyFill="1" applyBorder="1" applyAlignment="1">
      <alignment horizontal="left" vertical="center" wrapText="1"/>
    </xf>
    <xf numFmtId="0" fontId="31" fillId="17" borderId="2" xfId="1" applyFont="1" applyFill="1" applyBorder="1"/>
    <xf numFmtId="165" fontId="29" fillId="17" borderId="2" xfId="13" applyFont="1" applyFill="1" applyBorder="1"/>
    <xf numFmtId="0" fontId="28" fillId="17" borderId="2" xfId="0" applyFont="1" applyFill="1" applyBorder="1" applyAlignment="1">
      <alignment horizontal="left"/>
    </xf>
    <xf numFmtId="165" fontId="29" fillId="17" borderId="46" xfId="13" applyFont="1" applyFill="1" applyBorder="1"/>
    <xf numFmtId="165" fontId="58" fillId="3" borderId="27" xfId="13" applyFont="1" applyFill="1" applyBorder="1" applyAlignment="1">
      <alignment horizontal="center"/>
    </xf>
    <xf numFmtId="165" fontId="52" fillId="0" borderId="2" xfId="13" applyFont="1" applyBorder="1" applyAlignment="1">
      <alignment wrapText="1"/>
    </xf>
    <xf numFmtId="165" fontId="52" fillId="4" borderId="2" xfId="13" applyFont="1" applyFill="1" applyBorder="1" applyAlignment="1">
      <alignment wrapText="1"/>
    </xf>
    <xf numFmtId="165" fontId="58" fillId="9" borderId="23" xfId="13" applyFont="1" applyFill="1" applyBorder="1" applyAlignment="1">
      <alignment horizontal="center"/>
    </xf>
    <xf numFmtId="0" fontId="1" fillId="18" borderId="11" xfId="1" applyFill="1" applyBorder="1"/>
    <xf numFmtId="165" fontId="32" fillId="18" borderId="12" xfId="1" applyNumberFormat="1" applyFont="1" applyFill="1" applyBorder="1" applyAlignment="1"/>
    <xf numFmtId="0" fontId="32" fillId="18" borderId="13" xfId="1" applyFont="1" applyFill="1" applyBorder="1" applyAlignment="1"/>
    <xf numFmtId="165" fontId="42" fillId="18" borderId="2" xfId="13" applyFont="1" applyFill="1" applyBorder="1" applyAlignment="1">
      <alignment vertical="center"/>
    </xf>
    <xf numFmtId="165" fontId="32" fillId="0" borderId="45" xfId="1" applyNumberFormat="1" applyFont="1" applyBorder="1" applyAlignment="1">
      <alignment horizontal="center" vertical="center"/>
    </xf>
    <xf numFmtId="0" fontId="63" fillId="0" borderId="22" xfId="1" applyFont="1" applyBorder="1" applyAlignment="1">
      <alignment horizontal="center"/>
    </xf>
    <xf numFmtId="0" fontId="63" fillId="0" borderId="10" xfId="1" applyFont="1" applyBorder="1" applyAlignment="1">
      <alignment horizontal="center"/>
    </xf>
    <xf numFmtId="0" fontId="63" fillId="0" borderId="21" xfId="1" applyFont="1" applyBorder="1" applyAlignment="1">
      <alignment horizontal="center"/>
    </xf>
    <xf numFmtId="0" fontId="17" fillId="0" borderId="11" xfId="1" applyFont="1" applyBorder="1" applyAlignment="1">
      <alignment horizontal="center"/>
    </xf>
    <xf numFmtId="0" fontId="17" fillId="0" borderId="18" xfId="1" applyFont="1" applyBorder="1" applyAlignment="1">
      <alignment horizontal="center"/>
    </xf>
    <xf numFmtId="49" fontId="35" fillId="0" borderId="2" xfId="1" applyNumberFormat="1" applyFont="1" applyBorder="1" applyAlignment="1">
      <alignment horizontal="center" vertical="center" wrapText="1"/>
    </xf>
    <xf numFmtId="165" fontId="38" fillId="15" borderId="2" xfId="13" applyFont="1" applyFill="1" applyBorder="1" applyAlignment="1">
      <alignment horizontal="center" vertical="center" wrapText="1"/>
    </xf>
    <xf numFmtId="49" fontId="35" fillId="0" borderId="2" xfId="1" applyNumberFormat="1" applyFont="1" applyBorder="1" applyAlignment="1">
      <alignment horizontal="center" vertical="center" wrapText="1"/>
    </xf>
    <xf numFmtId="164" fontId="58" fillId="9" borderId="12" xfId="32" applyFont="1" applyFill="1" applyBorder="1" applyAlignment="1">
      <alignment horizontal="center" wrapText="1"/>
    </xf>
    <xf numFmtId="164" fontId="58" fillId="9" borderId="22" xfId="32" applyFont="1" applyFill="1" applyBorder="1" applyAlignment="1">
      <alignment horizontal="center" wrapText="1"/>
    </xf>
    <xf numFmtId="165" fontId="58" fillId="0" borderId="13" xfId="13" applyFont="1" applyBorder="1" applyAlignment="1">
      <alignment horizontal="center" wrapText="1"/>
    </xf>
    <xf numFmtId="165" fontId="58" fillId="9" borderId="11" xfId="13" applyFont="1" applyFill="1" applyBorder="1" applyAlignment="1">
      <alignment horizontal="center" wrapText="1"/>
    </xf>
    <xf numFmtId="165" fontId="58" fillId="9" borderId="14" xfId="13" applyFont="1" applyFill="1" applyBorder="1" applyAlignment="1">
      <alignment horizontal="center" wrapText="1"/>
    </xf>
    <xf numFmtId="165" fontId="58" fillId="9" borderId="13" xfId="13" applyFont="1" applyFill="1" applyBorder="1" applyAlignment="1">
      <alignment horizontal="center" wrapText="1"/>
    </xf>
    <xf numFmtId="165" fontId="58" fillId="9" borderId="17" xfId="13" applyFont="1" applyFill="1" applyBorder="1" applyAlignment="1">
      <alignment horizontal="center" wrapText="1"/>
    </xf>
    <xf numFmtId="165" fontId="58" fillId="3" borderId="36" xfId="13" applyFont="1" applyFill="1" applyBorder="1" applyAlignment="1">
      <alignment horizontal="center" wrapText="1" shrinkToFit="1"/>
    </xf>
    <xf numFmtId="165" fontId="52" fillId="5" borderId="2" xfId="13" applyFont="1" applyFill="1" applyBorder="1"/>
    <xf numFmtId="164" fontId="58" fillId="3" borderId="32" xfId="32" applyFont="1" applyFill="1" applyBorder="1" applyAlignment="1">
      <alignment horizontal="center"/>
    </xf>
    <xf numFmtId="164" fontId="58" fillId="4" borderId="33" xfId="32" applyFont="1" applyFill="1" applyBorder="1" applyAlignment="1">
      <alignment horizontal="center"/>
    </xf>
    <xf numFmtId="0" fontId="9" fillId="0" borderId="13" xfId="1" applyFont="1" applyBorder="1" applyAlignment="1">
      <alignment vertical="center" wrapText="1"/>
    </xf>
    <xf numFmtId="0" fontId="9" fillId="0" borderId="12" xfId="1" applyFont="1" applyBorder="1" applyAlignment="1">
      <alignment vertical="center" wrapText="1"/>
    </xf>
    <xf numFmtId="165" fontId="43" fillId="25" borderId="2" xfId="13" applyFont="1" applyFill="1" applyBorder="1" applyAlignment="1">
      <alignment vertical="center"/>
    </xf>
    <xf numFmtId="164" fontId="10" fillId="0" borderId="2" xfId="4" applyFont="1" applyBorder="1" applyAlignment="1">
      <alignment horizontal="center" vertical="center" wrapText="1"/>
    </xf>
    <xf numFmtId="49" fontId="10" fillId="0" borderId="2" xfId="3" applyFont="1" applyBorder="1" applyAlignment="1">
      <alignment horizontal="center" vertical="center" wrapText="1"/>
    </xf>
    <xf numFmtId="164" fontId="7" fillId="0" borderId="2" xfId="4" applyFont="1" applyFill="1" applyBorder="1" applyAlignment="1">
      <alignment horizontal="right" vertical="center" shrinkToFit="1"/>
    </xf>
    <xf numFmtId="49" fontId="35" fillId="0" borderId="2" xfId="1" applyNumberFormat="1" applyFont="1" applyBorder="1" applyAlignment="1">
      <alignment horizontal="center" vertical="center" wrapText="1"/>
    </xf>
    <xf numFmtId="0" fontId="35"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0" fontId="58" fillId="0" borderId="10" xfId="0" applyFont="1" applyFill="1" applyBorder="1" applyAlignment="1">
      <alignment horizontal="center" vertical="center" wrapText="1"/>
    </xf>
    <xf numFmtId="0" fontId="58" fillId="0" borderId="22" xfId="0" applyFont="1" applyFill="1" applyBorder="1" applyAlignment="1">
      <alignment horizontal="center" vertical="center" wrapText="1"/>
    </xf>
    <xf numFmtId="165" fontId="58" fillId="0" borderId="22" xfId="13" applyFont="1" applyFill="1" applyBorder="1" applyAlignment="1">
      <alignment horizontal="center"/>
    </xf>
    <xf numFmtId="165" fontId="58" fillId="0" borderId="11" xfId="13" applyFont="1" applyFill="1" applyBorder="1" applyAlignment="1">
      <alignment horizontal="center"/>
    </xf>
    <xf numFmtId="165" fontId="58" fillId="0" borderId="24" xfId="13" applyFont="1" applyFill="1" applyBorder="1" applyAlignment="1">
      <alignment horizontal="center"/>
    </xf>
    <xf numFmtId="165" fontId="58" fillId="0" borderId="15" xfId="13" applyFont="1" applyFill="1" applyBorder="1" applyAlignment="1">
      <alignment horizontal="center"/>
    </xf>
    <xf numFmtId="165" fontId="58" fillId="0" borderId="18" xfId="13" applyFont="1" applyFill="1" applyBorder="1" applyAlignment="1">
      <alignment horizontal="center"/>
    </xf>
    <xf numFmtId="165" fontId="58" fillId="0" borderId="21" xfId="13" applyFont="1" applyFill="1" applyBorder="1" applyAlignment="1">
      <alignment horizontal="center"/>
    </xf>
    <xf numFmtId="0" fontId="9" fillId="0" borderId="0" xfId="1" applyFont="1" applyAlignment="1">
      <alignment horizontal="center" vertical="center"/>
    </xf>
    <xf numFmtId="43" fontId="34" fillId="0" borderId="0" xfId="1" applyNumberFormat="1" applyFont="1" applyAlignment="1">
      <alignment vertical="center"/>
    </xf>
    <xf numFmtId="165" fontId="58" fillId="3" borderId="15" xfId="13" applyFont="1" applyFill="1" applyBorder="1" applyAlignment="1">
      <alignment horizontal="center" wrapText="1" shrinkToFit="1"/>
    </xf>
    <xf numFmtId="165" fontId="58" fillId="3" borderId="39" xfId="13" applyFont="1" applyFill="1" applyBorder="1" applyAlignment="1">
      <alignment horizontal="center"/>
    </xf>
    <xf numFmtId="165" fontId="58" fillId="4" borderId="40" xfId="13" applyFont="1" applyFill="1" applyBorder="1" applyAlignment="1">
      <alignment horizontal="center"/>
    </xf>
    <xf numFmtId="4" fontId="58" fillId="0" borderId="0" xfId="0" applyNumberFormat="1" applyFont="1" applyFill="1" applyAlignment="1">
      <alignment horizontal="right" vertical="center" shrinkToFit="1"/>
    </xf>
    <xf numFmtId="165" fontId="58" fillId="9" borderId="44" xfId="13" applyFont="1" applyFill="1" applyBorder="1" applyAlignment="1">
      <alignment horizontal="center"/>
    </xf>
    <xf numFmtId="165" fontId="58" fillId="9" borderId="33" xfId="13" applyFont="1" applyFill="1" applyBorder="1" applyAlignment="1">
      <alignment horizontal="center"/>
    </xf>
    <xf numFmtId="164" fontId="76" fillId="0" borderId="0" xfId="32" applyFont="1"/>
    <xf numFmtId="0" fontId="9" fillId="4" borderId="0" xfId="1" applyFont="1" applyFill="1" applyAlignment="1">
      <alignment horizontal="center" vertical="center"/>
    </xf>
    <xf numFmtId="0" fontId="12" fillId="0" borderId="0" xfId="1" applyFont="1" applyAlignment="1">
      <alignment horizontal="center" vertical="center"/>
    </xf>
    <xf numFmtId="169" fontId="32" fillId="4" borderId="2" xfId="1" applyNumberFormat="1" applyFont="1" applyFill="1" applyBorder="1" applyAlignment="1">
      <alignment vertical="center" wrapText="1"/>
    </xf>
    <xf numFmtId="165" fontId="32" fillId="4" borderId="2" xfId="1" applyNumberFormat="1" applyFont="1" applyFill="1" applyBorder="1" applyAlignment="1">
      <alignment horizontal="center" vertical="center"/>
    </xf>
    <xf numFmtId="165" fontId="32" fillId="4" borderId="2" xfId="1" applyNumberFormat="1" applyFont="1" applyFill="1" applyBorder="1" applyAlignment="1">
      <alignment vertical="center"/>
    </xf>
    <xf numFmtId="165" fontId="36" fillId="4" borderId="2" xfId="13" applyFont="1" applyFill="1" applyBorder="1" applyAlignment="1">
      <alignment horizontal="right" vertical="center" shrinkToFit="1"/>
    </xf>
    <xf numFmtId="165" fontId="32" fillId="4" borderId="2" xfId="13" applyFont="1" applyFill="1" applyBorder="1" applyAlignment="1">
      <alignment vertical="center"/>
    </xf>
    <xf numFmtId="165" fontId="32" fillId="4" borderId="2" xfId="13" applyFont="1" applyFill="1" applyBorder="1" applyAlignment="1">
      <alignment horizontal="right" vertical="center" shrinkToFit="1"/>
    </xf>
    <xf numFmtId="43" fontId="38" fillId="0" borderId="0" xfId="1" applyNumberFormat="1" applyFont="1" applyAlignment="1">
      <alignment vertical="center"/>
    </xf>
    <xf numFmtId="0" fontId="38" fillId="0" borderId="0" xfId="1" applyFont="1" applyAlignment="1">
      <alignment vertical="center"/>
    </xf>
    <xf numFmtId="0" fontId="38" fillId="0" borderId="0" xfId="1" applyFont="1" applyAlignment="1">
      <alignment horizontal="center" vertical="center" wrapText="1"/>
    </xf>
    <xf numFmtId="0" fontId="38" fillId="0" borderId="0" xfId="1" applyFont="1" applyAlignment="1">
      <alignment horizontal="center" vertical="center"/>
    </xf>
    <xf numFmtId="165" fontId="37" fillId="0" borderId="46" xfId="13" applyFont="1" applyFill="1" applyBorder="1" applyAlignment="1">
      <alignment horizontal="center" vertical="center"/>
    </xf>
    <xf numFmtId="165" fontId="37" fillId="0" borderId="0" xfId="13" applyFont="1" applyFill="1" applyAlignment="1">
      <alignment horizontal="center" vertical="center"/>
    </xf>
    <xf numFmtId="0" fontId="63" fillId="4" borderId="32" xfId="1" applyFont="1" applyFill="1" applyBorder="1"/>
    <xf numFmtId="171" fontId="24" fillId="0" borderId="2" xfId="13" applyNumberFormat="1" applyFont="1" applyFill="1" applyBorder="1" applyAlignment="1">
      <alignment vertical="center"/>
    </xf>
    <xf numFmtId="165" fontId="37" fillId="0" borderId="2" xfId="1" applyNumberFormat="1" applyFont="1" applyFill="1" applyBorder="1" applyAlignment="1">
      <alignment horizontal="center" vertical="center" wrapText="1"/>
    </xf>
    <xf numFmtId="164" fontId="38" fillId="3" borderId="46" xfId="32" applyFont="1" applyFill="1" applyBorder="1" applyAlignment="1">
      <alignment horizontal="center" vertical="center" shrinkToFit="1"/>
    </xf>
    <xf numFmtId="164" fontId="10" fillId="28" borderId="2" xfId="4" applyFont="1" applyFill="1" applyBorder="1" applyAlignment="1">
      <alignment horizontal="right" vertical="center" shrinkToFit="1"/>
    </xf>
    <xf numFmtId="0" fontId="1" fillId="0" borderId="0" xfId="1" applyBorder="1"/>
    <xf numFmtId="165" fontId="58" fillId="11" borderId="13" xfId="13" applyFont="1" applyFill="1" applyBorder="1" applyAlignment="1">
      <alignment horizontal="center"/>
    </xf>
    <xf numFmtId="165" fontId="64" fillId="0" borderId="32" xfId="13" applyFont="1" applyFill="1" applyBorder="1" applyAlignment="1">
      <alignment horizontal="center"/>
    </xf>
    <xf numFmtId="164" fontId="32" fillId="0" borderId="0" xfId="1" applyNumberFormat="1" applyFont="1" applyAlignment="1">
      <alignment vertical="center"/>
    </xf>
    <xf numFmtId="49" fontId="3" fillId="2" borderId="2" xfId="6" applyFont="1" applyBorder="1" applyAlignment="1">
      <alignment horizontal="center" vertical="center" shrinkToFit="1"/>
    </xf>
    <xf numFmtId="0" fontId="3" fillId="2" borderId="2" xfId="7" applyFont="1" applyBorder="1" applyAlignment="1">
      <alignment horizontal="left" vertical="center" wrapText="1"/>
    </xf>
    <xf numFmtId="4" fontId="3" fillId="2" borderId="2" xfId="8" applyFont="1" applyBorder="1" applyAlignment="1">
      <alignment horizontal="right" vertical="center" shrinkToFit="1"/>
    </xf>
    <xf numFmtId="0" fontId="3" fillId="0" borderId="2" xfId="11" applyFont="1" applyBorder="1" applyAlignment="1">
      <alignment horizontal="left" vertical="center" wrapText="1"/>
    </xf>
    <xf numFmtId="4" fontId="3" fillId="0" borderId="2" xfId="12" applyFont="1" applyBorder="1" applyAlignment="1">
      <alignment horizontal="right" vertical="center" shrinkToFit="1"/>
    </xf>
    <xf numFmtId="165" fontId="38" fillId="18" borderId="2" xfId="1" applyNumberFormat="1" applyFont="1" applyFill="1" applyBorder="1" applyAlignment="1">
      <alignment vertical="center"/>
    </xf>
    <xf numFmtId="165" fontId="58" fillId="3" borderId="33" xfId="13" applyFont="1" applyFill="1" applyBorder="1" applyAlignment="1">
      <alignment horizontal="center" wrapText="1" shrinkToFit="1"/>
    </xf>
    <xf numFmtId="165" fontId="58" fillId="0" borderId="2" xfId="13" applyFont="1" applyFill="1" applyBorder="1" applyAlignment="1">
      <alignment horizontal="right" vertical="center" wrapText="1" shrinkToFit="1"/>
    </xf>
    <xf numFmtId="165" fontId="31" fillId="0" borderId="2" xfId="13" applyFont="1" applyBorder="1" applyAlignment="1">
      <alignment horizontal="center" vertical="center"/>
    </xf>
    <xf numFmtId="165" fontId="58" fillId="0" borderId="44" xfId="13" applyFont="1" applyFill="1" applyBorder="1" applyAlignment="1">
      <alignment horizontal="center"/>
    </xf>
    <xf numFmtId="164" fontId="10" fillId="10" borderId="47" xfId="4" applyFont="1" applyFill="1" applyBorder="1" applyAlignment="1">
      <alignment horizontal="right" shrinkToFit="1"/>
    </xf>
    <xf numFmtId="0" fontId="58" fillId="0" borderId="11"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16" xfId="0" applyFont="1" applyBorder="1" applyAlignment="1">
      <alignment horizontal="center" vertical="center" wrapText="1"/>
    </xf>
    <xf numFmtId="0" fontId="58" fillId="3" borderId="14" xfId="0" applyFont="1" applyFill="1" applyBorder="1" applyAlignment="1">
      <alignment horizontal="center" vertical="center" wrapText="1"/>
    </xf>
    <xf numFmtId="0" fontId="58" fillId="3" borderId="16" xfId="0" applyFont="1" applyFill="1" applyBorder="1" applyAlignment="1">
      <alignment horizontal="center" vertical="center" wrapText="1"/>
    </xf>
    <xf numFmtId="0" fontId="58" fillId="11" borderId="11" xfId="0" applyFont="1" applyFill="1" applyBorder="1" applyAlignment="1">
      <alignment horizontal="center" vertical="center" wrapText="1"/>
    </xf>
    <xf numFmtId="0" fontId="58" fillId="11" borderId="12" xfId="0" applyFont="1" applyFill="1" applyBorder="1" applyAlignment="1">
      <alignment horizontal="center" vertical="center" wrapText="1"/>
    </xf>
    <xf numFmtId="0" fontId="58" fillId="11" borderId="13" xfId="0" applyFont="1" applyFill="1" applyBorder="1" applyAlignment="1">
      <alignment horizontal="center" vertical="center" wrapText="1"/>
    </xf>
    <xf numFmtId="0" fontId="58" fillId="3" borderId="11" xfId="0" applyFont="1" applyFill="1" applyBorder="1" applyAlignment="1">
      <alignment horizontal="center" vertical="center" wrapText="1"/>
    </xf>
    <xf numFmtId="0" fontId="58" fillId="3" borderId="12" xfId="0" applyFont="1" applyFill="1" applyBorder="1" applyAlignment="1">
      <alignment horizontal="center" vertical="center" wrapText="1"/>
    </xf>
    <xf numFmtId="0" fontId="58" fillId="0" borderId="0" xfId="0" applyFont="1" applyAlignment="1">
      <alignment horizontal="center" vertical="center"/>
    </xf>
    <xf numFmtId="0" fontId="58" fillId="0" borderId="12" xfId="0" applyFont="1" applyBorder="1" applyAlignment="1">
      <alignment vertical="center"/>
    </xf>
    <xf numFmtId="0" fontId="58" fillId="0" borderId="11" xfId="0" applyFont="1" applyBorder="1" applyAlignment="1">
      <alignment horizontal="center" vertical="center"/>
    </xf>
    <xf numFmtId="0" fontId="58" fillId="0" borderId="0" xfId="0" applyFont="1" applyAlignment="1">
      <alignment horizontal="center" vertical="center" wrapText="1"/>
    </xf>
    <xf numFmtId="0" fontId="58" fillId="11" borderId="14" xfId="0" applyFont="1" applyFill="1" applyBorder="1" applyAlignment="1">
      <alignment horizontal="center" vertical="center" wrapText="1"/>
    </xf>
    <xf numFmtId="0" fontId="58" fillId="11" borderId="16" xfId="0" applyFont="1" applyFill="1" applyBorder="1" applyAlignment="1">
      <alignment horizontal="center" vertical="center" wrapText="1"/>
    </xf>
    <xf numFmtId="0" fontId="58" fillId="3" borderId="13"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8" fillId="5" borderId="14" xfId="0" applyFont="1" applyFill="1" applyBorder="1" applyAlignment="1">
      <alignment horizontal="center" vertical="center" wrapText="1"/>
    </xf>
    <xf numFmtId="0" fontId="58" fillId="5" borderId="16" xfId="0" applyFont="1" applyFill="1" applyBorder="1" applyAlignment="1">
      <alignment horizontal="center" vertical="center" wrapText="1"/>
    </xf>
    <xf numFmtId="0" fontId="58" fillId="0" borderId="11" xfId="0" applyFont="1" applyFill="1" applyBorder="1" applyAlignment="1">
      <alignment horizontal="center" vertical="center" wrapText="1"/>
    </xf>
    <xf numFmtId="0" fontId="57" fillId="3" borderId="11" xfId="0" applyFont="1" applyFill="1" applyBorder="1" applyAlignment="1">
      <alignment horizontal="center" vertical="center" wrapText="1"/>
    </xf>
    <xf numFmtId="0" fontId="57" fillId="3" borderId="12" xfId="0" applyFont="1" applyFill="1" applyBorder="1" applyAlignment="1">
      <alignment horizontal="center" vertical="center" wrapText="1"/>
    </xf>
    <xf numFmtId="0" fontId="58" fillId="0" borderId="13" xfId="0" applyFont="1" applyBorder="1" applyAlignment="1">
      <alignment vertical="center"/>
    </xf>
    <xf numFmtId="0" fontId="58" fillId="0" borderId="2" xfId="0" applyFont="1" applyBorder="1" applyAlignment="1">
      <alignment horizontal="center" vertical="center"/>
    </xf>
    <xf numFmtId="0" fontId="91" fillId="0" borderId="0" xfId="0" applyFont="1"/>
    <xf numFmtId="0" fontId="91" fillId="0" borderId="0" xfId="0" applyFont="1" applyAlignment="1">
      <alignment horizontal="center" vertical="center"/>
    </xf>
    <xf numFmtId="0" fontId="91" fillId="0" borderId="0" xfId="0" applyFont="1" applyFill="1" applyAlignment="1">
      <alignment horizontal="center" vertical="center"/>
    </xf>
    <xf numFmtId="0" fontId="92" fillId="0" borderId="0" xfId="0" applyFont="1" applyFill="1" applyAlignment="1">
      <alignment horizontal="center" vertical="center"/>
    </xf>
    <xf numFmtId="0" fontId="92" fillId="0" borderId="0" xfId="0" applyFont="1" applyFill="1" applyAlignment="1">
      <alignment horizontal="right"/>
    </xf>
    <xf numFmtId="0" fontId="93" fillId="0" borderId="2" xfId="0" applyFont="1" applyBorder="1" applyAlignment="1">
      <alignment horizontal="center" vertical="center" wrapText="1"/>
    </xf>
    <xf numFmtId="0" fontId="93" fillId="0" borderId="2" xfId="0" applyFont="1" applyFill="1" applyBorder="1" applyAlignment="1">
      <alignment horizontal="center" vertical="center" wrapText="1"/>
    </xf>
    <xf numFmtId="0" fontId="91" fillId="18" borderId="2" xfId="0" applyFont="1" applyFill="1" applyBorder="1" applyAlignment="1">
      <alignment horizontal="left" indent="1"/>
    </xf>
    <xf numFmtId="4" fontId="94" fillId="18" borderId="2" xfId="0" applyNumberFormat="1" applyFont="1" applyFill="1" applyBorder="1" applyAlignment="1">
      <alignment horizontal="center"/>
    </xf>
    <xf numFmtId="4" fontId="94" fillId="18" borderId="2" xfId="0" applyNumberFormat="1" applyFont="1" applyFill="1" applyBorder="1"/>
    <xf numFmtId="4" fontId="94" fillId="18" borderId="2" xfId="0" applyNumberFormat="1" applyFont="1" applyFill="1" applyBorder="1" applyAlignment="1">
      <alignment horizontal="center" vertical="center"/>
    </xf>
    <xf numFmtId="4" fontId="94" fillId="18" borderId="2" xfId="13" applyNumberFormat="1" applyFont="1" applyFill="1" applyBorder="1"/>
    <xf numFmtId="174" fontId="93" fillId="18" borderId="2" xfId="13" applyNumberFormat="1" applyFont="1" applyFill="1" applyBorder="1" applyAlignment="1">
      <alignment horizontal="center" vertical="center"/>
    </xf>
    <xf numFmtId="0" fontId="91" fillId="17" borderId="2" xfId="0" applyFont="1" applyFill="1" applyBorder="1" applyAlignment="1">
      <alignment horizontal="left" indent="1"/>
    </xf>
    <xf numFmtId="4" fontId="94" fillId="17" borderId="2" xfId="0" applyNumberFormat="1" applyFont="1" applyFill="1" applyBorder="1" applyAlignment="1">
      <alignment horizontal="center"/>
    </xf>
    <xf numFmtId="4" fontId="94" fillId="17" borderId="2" xfId="0" applyNumberFormat="1" applyFont="1" applyFill="1" applyBorder="1"/>
    <xf numFmtId="4" fontId="94" fillId="17" borderId="2" xfId="13" applyNumberFormat="1" applyFont="1" applyFill="1" applyBorder="1"/>
    <xf numFmtId="174" fontId="93" fillId="0" borderId="2" xfId="13" applyNumberFormat="1" applyFont="1" applyFill="1" applyBorder="1" applyAlignment="1">
      <alignment horizontal="center" vertical="center"/>
    </xf>
    <xf numFmtId="4" fontId="94" fillId="17" borderId="2" xfId="0" applyNumberFormat="1" applyFont="1" applyFill="1" applyBorder="1" applyAlignment="1">
      <alignment horizontal="right"/>
    </xf>
    <xf numFmtId="4" fontId="94" fillId="17" borderId="2" xfId="13" applyNumberFormat="1" applyFont="1" applyFill="1" applyBorder="1" applyAlignment="1">
      <alignment horizontal="right"/>
    </xf>
    <xf numFmtId="0" fontId="91" fillId="4" borderId="2" xfId="0" applyFont="1" applyFill="1" applyBorder="1" applyAlignment="1">
      <alignment horizontal="center" vertical="center"/>
    </xf>
    <xf numFmtId="4" fontId="90" fillId="4" borderId="2" xfId="0" applyNumberFormat="1" applyFont="1" applyFill="1" applyBorder="1" applyAlignment="1">
      <alignment horizontal="center" vertical="center"/>
    </xf>
    <xf numFmtId="174" fontId="92" fillId="4" borderId="2" xfId="13" applyNumberFormat="1" applyFont="1" applyFill="1" applyBorder="1" applyAlignment="1">
      <alignment horizontal="center" vertical="center"/>
    </xf>
    <xf numFmtId="0" fontId="91" fillId="18" borderId="2" xfId="0" applyFont="1" applyFill="1" applyBorder="1" applyAlignment="1">
      <alignment horizontal="left" vertical="center" wrapText="1" indent="2"/>
    </xf>
    <xf numFmtId="4" fontId="90" fillId="18" borderId="2" xfId="0" applyNumberFormat="1" applyFont="1" applyFill="1" applyBorder="1" applyAlignment="1">
      <alignment horizontal="center" vertical="center"/>
    </xf>
    <xf numFmtId="174" fontId="92" fillId="18" borderId="2" xfId="13" applyNumberFormat="1" applyFont="1" applyFill="1" applyBorder="1" applyAlignment="1">
      <alignment horizontal="center" vertical="center"/>
    </xf>
    <xf numFmtId="0" fontId="91" fillId="29" borderId="2" xfId="0" applyFont="1" applyFill="1" applyBorder="1" applyAlignment="1">
      <alignment horizontal="left" indent="1"/>
    </xf>
    <xf numFmtId="4" fontId="94" fillId="29" borderId="2" xfId="0" applyNumberFormat="1" applyFont="1" applyFill="1" applyBorder="1" applyAlignment="1">
      <alignment horizontal="center"/>
    </xf>
    <xf numFmtId="4" fontId="94" fillId="29" borderId="2" xfId="0" applyNumberFormat="1" applyFont="1" applyFill="1" applyBorder="1"/>
    <xf numFmtId="4" fontId="94" fillId="29" borderId="2" xfId="0" applyNumberFormat="1" applyFont="1" applyFill="1" applyBorder="1" applyAlignment="1">
      <alignment horizontal="center" vertical="center"/>
    </xf>
    <xf numFmtId="4" fontId="94" fillId="29" borderId="2" xfId="13" applyNumberFormat="1" applyFont="1" applyFill="1" applyBorder="1"/>
    <xf numFmtId="174" fontId="93" fillId="29" borderId="2" xfId="13" applyNumberFormat="1" applyFont="1" applyFill="1" applyBorder="1" applyAlignment="1">
      <alignment horizontal="center" vertical="center"/>
    </xf>
    <xf numFmtId="0" fontId="91" fillId="30" borderId="2" xfId="0" applyFont="1" applyFill="1" applyBorder="1" applyAlignment="1">
      <alignment horizontal="left" indent="2"/>
    </xf>
    <xf numFmtId="4" fontId="90" fillId="30" borderId="2" xfId="0" applyNumberFormat="1" applyFont="1" applyFill="1" applyBorder="1" applyAlignment="1">
      <alignment horizontal="center"/>
    </xf>
    <xf numFmtId="4" fontId="90" fillId="30" borderId="2" xfId="0" applyNumberFormat="1" applyFont="1" applyFill="1" applyBorder="1"/>
    <xf numFmtId="4" fontId="90" fillId="30" borderId="2" xfId="0" applyNumberFormat="1" applyFont="1" applyFill="1" applyBorder="1" applyAlignment="1">
      <alignment horizontal="center" vertical="center"/>
    </xf>
    <xf numFmtId="174" fontId="92" fillId="30" borderId="2" xfId="13" applyNumberFormat="1" applyFont="1" applyFill="1" applyBorder="1" applyAlignment="1">
      <alignment horizontal="center" vertical="center"/>
    </xf>
    <xf numFmtId="0" fontId="91" fillId="31" borderId="2" xfId="0" applyFont="1" applyFill="1" applyBorder="1" applyAlignment="1">
      <alignment horizontal="left" indent="2"/>
    </xf>
    <xf numFmtId="4" fontId="90" fillId="31" borderId="2" xfId="0" applyNumberFormat="1" applyFont="1" applyFill="1" applyBorder="1" applyAlignment="1">
      <alignment horizontal="center" vertical="center"/>
    </xf>
    <xf numFmtId="4" fontId="90" fillId="31" borderId="2" xfId="0" applyNumberFormat="1" applyFont="1" applyFill="1" applyBorder="1" applyAlignment="1">
      <alignment vertical="center"/>
    </xf>
    <xf numFmtId="174" fontId="92" fillId="31" borderId="2" xfId="13" applyNumberFormat="1" applyFont="1" applyFill="1" applyBorder="1" applyAlignment="1">
      <alignment horizontal="center" vertical="center"/>
    </xf>
    <xf numFmtId="0" fontId="95" fillId="0" borderId="0" xfId="0" applyFont="1"/>
    <xf numFmtId="165" fontId="58" fillId="0" borderId="26" xfId="13" applyFont="1" applyBorder="1" applyAlignment="1">
      <alignment horizontal="center"/>
    </xf>
    <xf numFmtId="165" fontId="58" fillId="0" borderId="23" xfId="13" applyFont="1" applyBorder="1" applyAlignment="1">
      <alignment horizontal="center" wrapText="1"/>
    </xf>
    <xf numFmtId="4" fontId="58" fillId="0" borderId="43" xfId="26" applyFont="1" applyBorder="1" applyAlignment="1">
      <alignment horizontal="right" wrapText="1" shrinkToFit="1"/>
    </xf>
    <xf numFmtId="165" fontId="58" fillId="5" borderId="23" xfId="13" applyFont="1" applyFill="1" applyBorder="1" applyAlignment="1">
      <alignment horizontal="center" wrapText="1"/>
    </xf>
    <xf numFmtId="165" fontId="58" fillId="5" borderId="43" xfId="13" applyFont="1" applyFill="1" applyBorder="1" applyAlignment="1">
      <alignment horizontal="center" wrapText="1"/>
    </xf>
    <xf numFmtId="164" fontId="58" fillId="3" borderId="43" xfId="32" applyFont="1" applyFill="1" applyBorder="1" applyAlignment="1">
      <alignment horizontal="center" wrapText="1" shrinkToFit="1"/>
    </xf>
    <xf numFmtId="164" fontId="58" fillId="3" borderId="23" xfId="32" applyFont="1" applyFill="1" applyBorder="1" applyAlignment="1">
      <alignment horizontal="center" wrapText="1" shrinkToFit="1"/>
    </xf>
    <xf numFmtId="165" fontId="58" fillId="0" borderId="44" xfId="13" applyFont="1" applyBorder="1" applyAlignment="1">
      <alignment horizontal="center" wrapText="1" shrinkToFit="1"/>
    </xf>
    <xf numFmtId="165" fontId="58" fillId="3" borderId="43" xfId="13" applyFont="1" applyFill="1" applyBorder="1" applyAlignment="1">
      <alignment horizontal="center" wrapText="1" shrinkToFit="1"/>
    </xf>
    <xf numFmtId="165" fontId="58" fillId="0" borderId="44" xfId="13" applyFont="1" applyBorder="1" applyAlignment="1">
      <alignment horizontal="center"/>
    </xf>
    <xf numFmtId="165" fontId="58" fillId="5" borderId="16" xfId="13" applyFont="1" applyFill="1" applyBorder="1" applyAlignment="1">
      <alignment horizontal="center"/>
    </xf>
    <xf numFmtId="165" fontId="58" fillId="0" borderId="27" xfId="13" applyFont="1" applyBorder="1" applyAlignment="1">
      <alignment horizontal="center"/>
    </xf>
    <xf numFmtId="165" fontId="58" fillId="5" borderId="26" xfId="13" applyFont="1" applyFill="1" applyBorder="1" applyAlignment="1">
      <alignment horizontal="center"/>
    </xf>
    <xf numFmtId="165" fontId="58" fillId="5" borderId="28" xfId="13" applyFont="1" applyFill="1" applyBorder="1" applyAlignment="1">
      <alignment horizontal="center"/>
    </xf>
    <xf numFmtId="165" fontId="58" fillId="3" borderId="28" xfId="13" applyFont="1" applyFill="1" applyBorder="1" applyAlignment="1">
      <alignment horizontal="center"/>
    </xf>
    <xf numFmtId="165" fontId="58" fillId="0" borderId="25" xfId="13" applyFont="1" applyBorder="1" applyAlignment="1">
      <alignment horizontal="center"/>
    </xf>
    <xf numFmtId="165" fontId="58" fillId="5" borderId="44" xfId="13" applyFont="1" applyFill="1" applyBorder="1" applyAlignment="1">
      <alignment horizontal="center"/>
    </xf>
    <xf numFmtId="165" fontId="58" fillId="5" borderId="43" xfId="13" applyFont="1" applyFill="1" applyBorder="1" applyAlignment="1">
      <alignment horizontal="center"/>
    </xf>
    <xf numFmtId="165" fontId="58" fillId="5" borderId="42" xfId="13" applyFont="1" applyFill="1" applyBorder="1" applyAlignment="1">
      <alignment horizontal="center"/>
    </xf>
    <xf numFmtId="165" fontId="58" fillId="0" borderId="42" xfId="13" applyFont="1" applyFill="1" applyBorder="1" applyAlignment="1">
      <alignment horizontal="center"/>
    </xf>
    <xf numFmtId="165" fontId="58" fillId="0" borderId="30" xfId="13" applyFont="1" applyBorder="1" applyAlignment="1">
      <alignment horizontal="center"/>
    </xf>
    <xf numFmtId="165" fontId="58" fillId="0" borderId="31" xfId="13" applyFont="1" applyFill="1" applyBorder="1" applyAlignment="1">
      <alignment horizontal="center"/>
    </xf>
    <xf numFmtId="165" fontId="58" fillId="5" borderId="31" xfId="13" applyFont="1" applyFill="1" applyBorder="1" applyAlignment="1">
      <alignment horizontal="center"/>
    </xf>
    <xf numFmtId="165" fontId="58" fillId="0" borderId="14" xfId="13" applyFont="1" applyFill="1" applyBorder="1" applyAlignment="1">
      <alignment horizontal="center"/>
    </xf>
    <xf numFmtId="165" fontId="58" fillId="0" borderId="23" xfId="13" applyFont="1" applyFill="1" applyBorder="1" applyAlignment="1">
      <alignment horizontal="center"/>
    </xf>
    <xf numFmtId="165" fontId="58" fillId="0" borderId="32" xfId="13" applyFont="1" applyBorder="1" applyAlignment="1">
      <alignment horizontal="center" wrapText="1"/>
    </xf>
    <xf numFmtId="165" fontId="58" fillId="5" borderId="28" xfId="13" applyFont="1" applyFill="1" applyBorder="1" applyAlignment="1">
      <alignment horizontal="center" wrapText="1"/>
    </xf>
    <xf numFmtId="165" fontId="58" fillId="5" borderId="25" xfId="13" applyFont="1" applyFill="1" applyBorder="1" applyAlignment="1">
      <alignment horizontal="center" wrapText="1"/>
    </xf>
    <xf numFmtId="165" fontId="58" fillId="5" borderId="26" xfId="13" applyFont="1" applyFill="1" applyBorder="1" applyAlignment="1">
      <alignment horizontal="center" wrapText="1"/>
    </xf>
    <xf numFmtId="165" fontId="58" fillId="0" borderId="28" xfId="13" applyFont="1" applyBorder="1" applyAlignment="1">
      <alignment horizontal="center" wrapText="1" shrinkToFit="1"/>
    </xf>
    <xf numFmtId="165" fontId="58" fillId="4" borderId="25" xfId="13" applyFont="1" applyFill="1" applyBorder="1" applyAlignment="1">
      <alignment horizontal="center"/>
    </xf>
    <xf numFmtId="165" fontId="58" fillId="3" borderId="26" xfId="13" applyFont="1" applyFill="1" applyBorder="1" applyAlignment="1">
      <alignment horizontal="center" wrapText="1" shrinkToFit="1"/>
    </xf>
    <xf numFmtId="165" fontId="58" fillId="3" borderId="27" xfId="13" applyFont="1" applyFill="1" applyBorder="1" applyAlignment="1">
      <alignment horizontal="center" wrapText="1" shrinkToFit="1"/>
    </xf>
    <xf numFmtId="165" fontId="58" fillId="0" borderId="0" xfId="0" applyNumberFormat="1" applyFont="1"/>
    <xf numFmtId="4" fontId="58" fillId="0" borderId="30" xfId="26" applyFont="1" applyBorder="1" applyAlignment="1">
      <alignment horizontal="right" wrapText="1" shrinkToFit="1"/>
    </xf>
    <xf numFmtId="165" fontId="58" fillId="5" borderId="32" xfId="13" applyFont="1" applyFill="1" applyBorder="1" applyAlignment="1">
      <alignment horizontal="center" wrapText="1"/>
    </xf>
    <xf numFmtId="165" fontId="58" fillId="5" borderId="30" xfId="13" applyFont="1" applyFill="1" applyBorder="1" applyAlignment="1">
      <alignment horizontal="center" wrapText="1"/>
    </xf>
    <xf numFmtId="164" fontId="58" fillId="3" borderId="30" xfId="32" applyFont="1" applyFill="1" applyBorder="1" applyAlignment="1">
      <alignment horizontal="center" wrapText="1" shrinkToFit="1"/>
    </xf>
    <xf numFmtId="164" fontId="58" fillId="3" borderId="32" xfId="32" applyFont="1" applyFill="1" applyBorder="1" applyAlignment="1">
      <alignment horizontal="center" wrapText="1" shrinkToFit="1"/>
    </xf>
    <xf numFmtId="165" fontId="58" fillId="5" borderId="30" xfId="13" applyFont="1" applyFill="1" applyBorder="1" applyAlignment="1">
      <alignment horizontal="center"/>
    </xf>
    <xf numFmtId="165" fontId="58" fillId="0" borderId="33" xfId="13" applyFont="1" applyBorder="1" applyAlignment="1">
      <alignment horizontal="center"/>
    </xf>
    <xf numFmtId="165" fontId="58" fillId="0" borderId="32" xfId="13" applyFont="1" applyFill="1" applyBorder="1" applyAlignment="1">
      <alignment horizontal="center"/>
    </xf>
    <xf numFmtId="165" fontId="58" fillId="14" borderId="32" xfId="13" applyFont="1" applyFill="1" applyBorder="1" applyAlignment="1">
      <alignment horizontal="center"/>
    </xf>
    <xf numFmtId="165" fontId="58" fillId="14" borderId="31" xfId="13" applyFont="1" applyFill="1" applyBorder="1" applyAlignment="1">
      <alignment horizontal="center"/>
    </xf>
    <xf numFmtId="165" fontId="58" fillId="5" borderId="31" xfId="13" applyFont="1" applyFill="1" applyBorder="1" applyAlignment="1">
      <alignment horizontal="center" wrapText="1"/>
    </xf>
    <xf numFmtId="165" fontId="58" fillId="0" borderId="31" xfId="13" applyFont="1" applyBorder="1" applyAlignment="1">
      <alignment horizontal="center" wrapText="1" shrinkToFit="1"/>
    </xf>
    <xf numFmtId="165" fontId="58" fillId="5" borderId="39" xfId="13" applyFont="1" applyFill="1" applyBorder="1" applyAlignment="1">
      <alignment horizontal="center"/>
    </xf>
    <xf numFmtId="165" fontId="58" fillId="0" borderId="0" xfId="13" applyFont="1" applyBorder="1" applyAlignment="1">
      <alignment horizontal="center"/>
    </xf>
    <xf numFmtId="165" fontId="58" fillId="0" borderId="32" xfId="13" applyFont="1" applyFill="1" applyBorder="1" applyAlignment="1">
      <alignment horizontal="center" wrapText="1"/>
    </xf>
    <xf numFmtId="165" fontId="58" fillId="0" borderId="41" xfId="13" applyFont="1" applyBorder="1" applyAlignment="1">
      <alignment horizontal="center"/>
    </xf>
    <xf numFmtId="165" fontId="58" fillId="5" borderId="41" xfId="13" applyFont="1" applyFill="1" applyBorder="1" applyAlignment="1">
      <alignment horizontal="center"/>
    </xf>
    <xf numFmtId="4" fontId="58" fillId="14" borderId="30" xfId="26" applyFont="1" applyFill="1" applyBorder="1" applyAlignment="1">
      <alignment horizontal="right" wrapText="1" shrinkToFit="1"/>
    </xf>
    <xf numFmtId="165" fontId="58" fillId="0" borderId="39" xfId="13" applyFont="1" applyBorder="1" applyAlignment="1">
      <alignment horizontal="center"/>
    </xf>
    <xf numFmtId="165" fontId="58" fillId="0" borderId="40" xfId="13" applyFont="1" applyBorder="1" applyAlignment="1">
      <alignment horizontal="center"/>
    </xf>
    <xf numFmtId="4" fontId="58" fillId="0" borderId="30" xfId="26" applyFont="1" applyFill="1" applyBorder="1" applyAlignment="1">
      <alignment horizontal="right" wrapText="1" shrinkToFit="1"/>
    </xf>
    <xf numFmtId="165" fontId="58" fillId="0" borderId="41" xfId="13" applyFont="1" applyFill="1" applyBorder="1" applyAlignment="1">
      <alignment horizontal="center"/>
    </xf>
    <xf numFmtId="165" fontId="58" fillId="0" borderId="38" xfId="13" applyFont="1" applyBorder="1" applyAlignment="1">
      <alignment horizontal="center"/>
    </xf>
    <xf numFmtId="165" fontId="58" fillId="11" borderId="31" xfId="13" applyFont="1" applyFill="1" applyBorder="1" applyAlignment="1">
      <alignment horizontal="center" wrapText="1"/>
    </xf>
    <xf numFmtId="165" fontId="58" fillId="11" borderId="30" xfId="13" applyFont="1" applyFill="1" applyBorder="1" applyAlignment="1">
      <alignment horizontal="center" wrapText="1"/>
    </xf>
    <xf numFmtId="165" fontId="58" fillId="11" borderId="31" xfId="13" applyFont="1" applyFill="1" applyBorder="1" applyAlignment="1">
      <alignment horizontal="center"/>
    </xf>
    <xf numFmtId="165" fontId="58" fillId="0" borderId="29" xfId="13" applyFont="1" applyBorder="1" applyAlignment="1">
      <alignment horizontal="center"/>
    </xf>
    <xf numFmtId="165" fontId="58" fillId="0" borderId="34" xfId="13" applyFont="1" applyBorder="1" applyAlignment="1">
      <alignment horizontal="center"/>
    </xf>
    <xf numFmtId="165" fontId="58" fillId="0" borderId="35" xfId="13" applyFont="1" applyBorder="1" applyAlignment="1">
      <alignment horizontal="center"/>
    </xf>
    <xf numFmtId="165" fontId="58" fillId="0" borderId="39" xfId="13" applyFont="1" applyBorder="1" applyAlignment="1">
      <alignment horizontal="center" wrapText="1"/>
    </xf>
    <xf numFmtId="4" fontId="58" fillId="0" borderId="38" xfId="26" applyFont="1" applyBorder="1" applyAlignment="1">
      <alignment horizontal="right" wrapText="1" shrinkToFit="1"/>
    </xf>
    <xf numFmtId="165" fontId="58" fillId="5" borderId="39" xfId="13" applyFont="1" applyFill="1" applyBorder="1" applyAlignment="1">
      <alignment horizontal="center" wrapText="1"/>
    </xf>
    <xf numFmtId="165" fontId="58" fillId="5" borderId="38" xfId="13" applyFont="1" applyFill="1" applyBorder="1" applyAlignment="1">
      <alignment horizontal="center" wrapText="1"/>
    </xf>
    <xf numFmtId="165" fontId="58" fillId="0" borderId="39" xfId="13" applyFont="1" applyBorder="1" applyAlignment="1">
      <alignment horizontal="center" wrapText="1" shrinkToFit="1"/>
    </xf>
    <xf numFmtId="165" fontId="58" fillId="0" borderId="40" xfId="13" applyFont="1" applyBorder="1" applyAlignment="1">
      <alignment horizontal="center" wrapText="1" shrinkToFit="1"/>
    </xf>
    <xf numFmtId="165" fontId="58" fillId="0" borderId="36" xfId="13" applyFont="1" applyBorder="1" applyAlignment="1">
      <alignment horizontal="center"/>
    </xf>
    <xf numFmtId="165" fontId="58" fillId="5" borderId="35" xfId="13" applyFont="1" applyFill="1" applyBorder="1" applyAlignment="1">
      <alignment horizontal="center"/>
    </xf>
    <xf numFmtId="165" fontId="58" fillId="5" borderId="37" xfId="13" applyFont="1" applyFill="1" applyBorder="1" applyAlignment="1">
      <alignment horizontal="center"/>
    </xf>
    <xf numFmtId="165" fontId="58" fillId="5" borderId="34" xfId="13" applyFont="1" applyFill="1" applyBorder="1" applyAlignment="1">
      <alignment horizontal="center"/>
    </xf>
    <xf numFmtId="165" fontId="58" fillId="5" borderId="29" xfId="13" applyFont="1" applyFill="1" applyBorder="1" applyAlignment="1">
      <alignment horizontal="center"/>
    </xf>
    <xf numFmtId="165" fontId="58" fillId="5" borderId="15" xfId="13" applyFont="1" applyFill="1" applyBorder="1" applyAlignment="1">
      <alignment horizontal="center" wrapText="1"/>
    </xf>
    <xf numFmtId="165" fontId="58" fillId="3" borderId="38" xfId="13" applyFont="1" applyFill="1" applyBorder="1" applyAlignment="1">
      <alignment horizontal="center"/>
    </xf>
    <xf numFmtId="165" fontId="58" fillId="4" borderId="37" xfId="13" applyFont="1" applyFill="1" applyBorder="1" applyAlignment="1">
      <alignment horizontal="center"/>
    </xf>
    <xf numFmtId="165" fontId="58" fillId="9" borderId="34" xfId="13" applyFont="1" applyFill="1" applyBorder="1" applyAlignment="1">
      <alignment horizontal="center"/>
    </xf>
    <xf numFmtId="165" fontId="58" fillId="9" borderId="40" xfId="13" applyFont="1" applyFill="1" applyBorder="1" applyAlignment="1">
      <alignment horizontal="center"/>
    </xf>
    <xf numFmtId="165" fontId="58" fillId="9" borderId="39" xfId="13" applyFont="1" applyFill="1" applyBorder="1" applyAlignment="1">
      <alignment horizontal="center"/>
    </xf>
    <xf numFmtId="165" fontId="58" fillId="11" borderId="41" xfId="13" applyFont="1" applyFill="1" applyBorder="1" applyAlignment="1">
      <alignment horizontal="center" wrapText="1"/>
    </xf>
    <xf numFmtId="165" fontId="58" fillId="11" borderId="39" xfId="13" applyFont="1" applyFill="1" applyBorder="1" applyAlignment="1">
      <alignment horizontal="center" wrapText="1"/>
    </xf>
    <xf numFmtId="165" fontId="58" fillId="11" borderId="38" xfId="13" applyFont="1" applyFill="1" applyBorder="1" applyAlignment="1">
      <alignment horizontal="center" wrapText="1"/>
    </xf>
    <xf numFmtId="165" fontId="58" fillId="3" borderId="36" xfId="13" applyFont="1" applyFill="1" applyBorder="1" applyAlignment="1">
      <alignment horizontal="center"/>
    </xf>
    <xf numFmtId="165" fontId="58" fillId="0" borderId="37" xfId="13" applyFont="1" applyBorder="1" applyAlignment="1">
      <alignment horizontal="center" wrapText="1" shrinkToFit="1"/>
    </xf>
    <xf numFmtId="165" fontId="58" fillId="3" borderId="35" xfId="13" applyFont="1" applyFill="1" applyBorder="1" applyAlignment="1">
      <alignment horizontal="center" wrapText="1" shrinkToFit="1"/>
    </xf>
    <xf numFmtId="165" fontId="58" fillId="3" borderId="41" xfId="13" applyFont="1" applyFill="1" applyBorder="1" applyAlignment="1">
      <alignment horizontal="center" wrapText="1" shrinkToFit="1"/>
    </xf>
    <xf numFmtId="165" fontId="58" fillId="11" borderId="37" xfId="13" applyFont="1" applyFill="1" applyBorder="1" applyAlignment="1">
      <alignment horizontal="center"/>
    </xf>
    <xf numFmtId="165" fontId="58" fillId="9" borderId="30" xfId="13" applyFont="1" applyFill="1" applyBorder="1" applyAlignment="1">
      <alignment horizontal="center"/>
    </xf>
    <xf numFmtId="165" fontId="58" fillId="11" borderId="33" xfId="13" applyFont="1" applyFill="1" applyBorder="1" applyAlignment="1">
      <alignment horizontal="center" wrapText="1"/>
    </xf>
    <xf numFmtId="165" fontId="58" fillId="3" borderId="45" xfId="13" applyFont="1" applyFill="1" applyBorder="1" applyAlignment="1">
      <alignment horizontal="center"/>
    </xf>
    <xf numFmtId="165" fontId="58" fillId="0" borderId="34" xfId="13" applyFont="1" applyBorder="1" applyAlignment="1">
      <alignment horizontal="center" wrapText="1"/>
    </xf>
    <xf numFmtId="165" fontId="58" fillId="5" borderId="34" xfId="13" applyFont="1" applyFill="1" applyBorder="1" applyAlignment="1">
      <alignment horizontal="center" wrapText="1"/>
    </xf>
    <xf numFmtId="43" fontId="58" fillId="0" borderId="0" xfId="0" applyNumberFormat="1" applyFont="1" applyAlignment="1">
      <alignment vertical="center"/>
    </xf>
    <xf numFmtId="164" fontId="31" fillId="2" borderId="5" xfId="4" applyFont="1" applyFill="1" applyBorder="1" applyAlignment="1">
      <alignment horizontal="right" vertical="center" shrinkToFit="1"/>
    </xf>
    <xf numFmtId="43" fontId="58" fillId="0" borderId="0" xfId="0" applyNumberFormat="1" applyFont="1"/>
    <xf numFmtId="43" fontId="57" fillId="0" borderId="2" xfId="0" applyNumberFormat="1" applyFont="1" applyBorder="1"/>
    <xf numFmtId="43" fontId="57" fillId="4" borderId="2" xfId="0" applyNumberFormat="1" applyFont="1" applyFill="1" applyBorder="1"/>
    <xf numFmtId="165" fontId="57" fillId="0" borderId="2" xfId="0" applyNumberFormat="1" applyFont="1" applyBorder="1"/>
    <xf numFmtId="165" fontId="57" fillId="0" borderId="0" xfId="0" applyNumberFormat="1" applyFont="1"/>
    <xf numFmtId="165" fontId="58" fillId="0" borderId="0" xfId="13" applyFont="1" applyAlignment="1">
      <alignment vertical="center" wrapText="1"/>
    </xf>
    <xf numFmtId="165" fontId="58" fillId="0" borderId="0" xfId="13" applyFont="1" applyAlignment="1">
      <alignment horizontal="right" vertical="center" wrapText="1" shrinkToFit="1"/>
    </xf>
    <xf numFmtId="4" fontId="96" fillId="0" borderId="0" xfId="17" applyNumberFormat="1" applyFont="1" applyAlignment="1">
      <alignment horizontal="right" vertical="top" shrinkToFit="1"/>
    </xf>
    <xf numFmtId="4" fontId="97" fillId="19" borderId="49" xfId="24" applyFont="1" applyProtection="1">
      <alignment horizontal="right" vertical="top" shrinkToFit="1"/>
      <protection locked="0"/>
    </xf>
    <xf numFmtId="4" fontId="96" fillId="0" borderId="49" xfId="23" applyNumberFormat="1" applyFont="1" applyBorder="1" applyAlignment="1">
      <alignment horizontal="right" vertical="top" shrinkToFit="1"/>
    </xf>
    <xf numFmtId="4" fontId="57" fillId="0" borderId="65" xfId="17" applyNumberFormat="1" applyFont="1" applyBorder="1" applyAlignment="1">
      <alignment horizontal="right" vertical="top" shrinkToFit="1"/>
    </xf>
    <xf numFmtId="164" fontId="31" fillId="2" borderId="5" xfId="4" applyFont="1" applyFill="1" applyBorder="1" applyAlignment="1">
      <alignment horizontal="right" vertical="top" shrinkToFit="1"/>
    </xf>
    <xf numFmtId="4" fontId="58" fillId="0" borderId="0" xfId="28" applyFont="1" applyBorder="1">
      <alignment horizontal="right" vertical="top" shrinkToFit="1"/>
    </xf>
    <xf numFmtId="165" fontId="58" fillId="0" borderId="0" xfId="13" applyFont="1" applyAlignment="1">
      <alignment horizontal="right" vertical="top" shrinkToFit="1"/>
    </xf>
    <xf numFmtId="4" fontId="58" fillId="0" borderId="9" xfId="28" applyFont="1" applyBorder="1">
      <alignment horizontal="right" vertical="top" shrinkToFit="1"/>
    </xf>
    <xf numFmtId="4" fontId="58" fillId="0" borderId="2" xfId="28" applyFont="1" applyBorder="1">
      <alignment horizontal="right" vertical="top" shrinkToFit="1"/>
    </xf>
    <xf numFmtId="164" fontId="35" fillId="2" borderId="5" xfId="4" applyFont="1" applyFill="1" applyBorder="1" applyAlignment="1">
      <alignment horizontal="right" vertical="center" shrinkToFit="1"/>
    </xf>
    <xf numFmtId="4" fontId="35" fillId="0" borderId="5" xfId="8" applyFont="1" applyFill="1">
      <alignment horizontal="right" vertical="top" shrinkToFit="1"/>
    </xf>
    <xf numFmtId="4" fontId="98" fillId="0" borderId="65" xfId="17" applyNumberFormat="1" applyFont="1" applyBorder="1" applyAlignment="1">
      <alignment horizontal="right" vertical="top" shrinkToFit="1"/>
    </xf>
    <xf numFmtId="4" fontId="99" fillId="0" borderId="64" xfId="17" applyNumberFormat="1" applyFont="1" applyFill="1" applyBorder="1" applyAlignment="1">
      <alignment horizontal="right" vertical="top" shrinkToFit="1"/>
    </xf>
    <xf numFmtId="165" fontId="28" fillId="0" borderId="5" xfId="13" applyFont="1" applyFill="1" applyBorder="1" applyAlignment="1">
      <alignment horizontal="right" vertical="center" shrinkToFit="1"/>
    </xf>
    <xf numFmtId="4" fontId="99" fillId="0" borderId="64" xfId="17" applyNumberFormat="1" applyFont="1" applyBorder="1" applyAlignment="1">
      <alignment horizontal="right" vertical="top" shrinkToFit="1"/>
    </xf>
    <xf numFmtId="165" fontId="28" fillId="0" borderId="0" xfId="13" applyFont="1" applyFill="1" applyBorder="1" applyAlignment="1">
      <alignment horizontal="right" vertical="center" shrinkToFit="1"/>
    </xf>
    <xf numFmtId="4" fontId="96" fillId="0" borderId="0" xfId="17" applyNumberFormat="1" applyFont="1" applyFill="1" applyAlignment="1">
      <alignment horizontal="right" vertical="top" shrinkToFit="1"/>
    </xf>
    <xf numFmtId="164" fontId="100" fillId="0" borderId="5" xfId="4" applyFont="1" applyBorder="1" applyAlignment="1">
      <alignment horizontal="right" vertical="center" shrinkToFit="1"/>
    </xf>
    <xf numFmtId="165" fontId="28" fillId="0" borderId="0" xfId="13" applyFont="1" applyFill="1" applyAlignment="1">
      <alignment horizontal="right" vertical="center" shrinkToFit="1"/>
    </xf>
    <xf numFmtId="4" fontId="58" fillId="0" borderId="0" xfId="28" applyFont="1" applyFill="1" applyBorder="1">
      <alignment horizontal="right" vertical="top" shrinkToFit="1"/>
    </xf>
    <xf numFmtId="4" fontId="101" fillId="0" borderId="2" xfId="28" applyFont="1" applyBorder="1">
      <alignment horizontal="right" vertical="top" shrinkToFit="1"/>
    </xf>
    <xf numFmtId="4" fontId="98" fillId="0" borderId="64" xfId="17" applyNumberFormat="1" applyFont="1" applyBorder="1" applyAlignment="1">
      <alignment horizontal="right" vertical="top" shrinkToFit="1"/>
    </xf>
    <xf numFmtId="4" fontId="68" fillId="0" borderId="5" xfId="12" applyFont="1">
      <alignment horizontal="right" vertical="top" shrinkToFit="1"/>
    </xf>
    <xf numFmtId="4" fontId="35" fillId="2" borderId="5" xfId="8" applyFont="1">
      <alignment horizontal="right" vertical="top" shrinkToFit="1"/>
    </xf>
    <xf numFmtId="165" fontId="28" fillId="2" borderId="5" xfId="13" applyFont="1" applyFill="1" applyBorder="1" applyAlignment="1">
      <alignment horizontal="right" vertical="center" shrinkToFit="1"/>
    </xf>
    <xf numFmtId="165" fontId="28" fillId="2" borderId="0" xfId="13" applyFont="1" applyFill="1" applyAlignment="1">
      <alignment horizontal="right" vertical="center" shrinkToFit="1"/>
    </xf>
    <xf numFmtId="4" fontId="99" fillId="0" borderId="65" xfId="17" applyNumberFormat="1" applyFont="1" applyBorder="1" applyAlignment="1">
      <alignment horizontal="right" vertical="top" shrinkToFit="1"/>
    </xf>
    <xf numFmtId="4" fontId="102" fillId="0" borderId="65" xfId="17" applyNumberFormat="1" applyFont="1" applyBorder="1" applyAlignment="1">
      <alignment horizontal="right" vertical="top" shrinkToFit="1"/>
    </xf>
    <xf numFmtId="4" fontId="31" fillId="2" borderId="5" xfId="8" applyFont="1">
      <alignment horizontal="right" vertical="top" shrinkToFit="1"/>
    </xf>
    <xf numFmtId="165" fontId="31" fillId="0" borderId="0" xfId="13" applyFont="1" applyAlignment="1">
      <alignment horizontal="right" vertical="center" shrinkToFit="1"/>
    </xf>
    <xf numFmtId="164" fontId="28" fillId="0" borderId="5" xfId="4" applyFont="1" applyBorder="1" applyAlignment="1">
      <alignment horizontal="right" vertical="center" shrinkToFit="1"/>
    </xf>
    <xf numFmtId="4" fontId="103" fillId="0" borderId="0" xfId="17" applyNumberFormat="1" applyFont="1" applyAlignment="1">
      <alignment horizontal="right" vertical="top" shrinkToFit="1"/>
    </xf>
    <xf numFmtId="4" fontId="99" fillId="0" borderId="0" xfId="23" applyNumberFormat="1" applyFont="1" applyAlignment="1">
      <alignment horizontal="right" vertical="top" shrinkToFit="1"/>
    </xf>
    <xf numFmtId="4" fontId="98" fillId="0" borderId="0" xfId="17" applyNumberFormat="1" applyFont="1" applyAlignment="1">
      <alignment horizontal="right" vertical="top" shrinkToFit="1"/>
    </xf>
    <xf numFmtId="4" fontId="28" fillId="0" borderId="0" xfId="28" applyFont="1" applyBorder="1">
      <alignment horizontal="right" vertical="top" shrinkToFit="1"/>
    </xf>
    <xf numFmtId="4" fontId="73" fillId="0" borderId="0" xfId="28" applyFont="1" applyBorder="1">
      <alignment horizontal="right" vertical="top" shrinkToFit="1"/>
    </xf>
    <xf numFmtId="165" fontId="31" fillId="2" borderId="5" xfId="13" applyFont="1" applyFill="1" applyBorder="1" applyAlignment="1">
      <alignment horizontal="right" vertical="top" shrinkToFit="1"/>
    </xf>
    <xf numFmtId="4" fontId="98" fillId="0" borderId="49" xfId="17" applyNumberFormat="1" applyFont="1" applyBorder="1" applyAlignment="1">
      <alignment horizontal="right" vertical="top" shrinkToFit="1"/>
    </xf>
    <xf numFmtId="165" fontId="58" fillId="0" borderId="2" xfId="13" applyFont="1" applyBorder="1" applyAlignment="1">
      <alignment vertical="center"/>
    </xf>
    <xf numFmtId="165" fontId="58" fillId="0" borderId="2" xfId="13" applyFont="1" applyBorder="1" applyAlignment="1">
      <alignment horizontal="center" vertical="center"/>
    </xf>
    <xf numFmtId="165" fontId="58" fillId="0" borderId="2" xfId="0" applyNumberFormat="1" applyFont="1" applyBorder="1" applyAlignment="1">
      <alignment horizontal="center" vertical="center"/>
    </xf>
    <xf numFmtId="164" fontId="58" fillId="0" borderId="0" xfId="32" applyFont="1" applyAlignment="1">
      <alignment horizontal="center" vertical="center"/>
    </xf>
    <xf numFmtId="165" fontId="58" fillId="0" borderId="2" xfId="0" applyNumberFormat="1" applyFont="1" applyBorder="1" applyAlignment="1">
      <alignment vertical="center"/>
    </xf>
    <xf numFmtId="0" fontId="58" fillId="0" borderId="2" xfId="0" applyFont="1" applyBorder="1" applyAlignment="1">
      <alignment vertical="center"/>
    </xf>
    <xf numFmtId="164" fontId="58" fillId="0" borderId="0" xfId="32" applyFont="1" applyAlignment="1">
      <alignment vertical="center"/>
    </xf>
    <xf numFmtId="43" fontId="95" fillId="0" borderId="0" xfId="0" applyNumberFormat="1" applyFont="1"/>
    <xf numFmtId="164" fontId="95" fillId="0" borderId="0" xfId="32" applyFont="1"/>
    <xf numFmtId="0" fontId="91" fillId="0" borderId="45" xfId="0" applyFont="1" applyFill="1" applyBorder="1" applyAlignment="1">
      <alignment horizontal="center"/>
    </xf>
    <xf numFmtId="0" fontId="91" fillId="0" borderId="30" xfId="0" applyFont="1" applyFill="1" applyBorder="1" applyAlignment="1">
      <alignment horizontal="center"/>
    </xf>
    <xf numFmtId="0" fontId="91" fillId="0" borderId="46" xfId="0" applyFont="1" applyFill="1" applyBorder="1" applyAlignment="1">
      <alignment horizontal="center"/>
    </xf>
    <xf numFmtId="0" fontId="90" fillId="0" borderId="0" xfId="0" applyFont="1" applyAlignment="1">
      <alignment horizontal="center" vertical="center" wrapText="1"/>
    </xf>
    <xf numFmtId="0" fontId="93" fillId="0" borderId="2" xfId="0" applyFont="1" applyBorder="1" applyAlignment="1">
      <alignment horizontal="center" vertical="center" wrapText="1"/>
    </xf>
    <xf numFmtId="0" fontId="93" fillId="0" borderId="8" xfId="0" applyFont="1" applyBorder="1" applyAlignment="1">
      <alignment horizontal="center" vertical="center" wrapText="1"/>
    </xf>
    <xf numFmtId="0" fontId="93" fillId="0" borderId="63" xfId="0" applyFont="1" applyBorder="1" applyAlignment="1">
      <alignment horizontal="center" vertical="center" wrapText="1"/>
    </xf>
    <xf numFmtId="0" fontId="93" fillId="0" borderId="9" xfId="0" applyFont="1" applyBorder="1" applyAlignment="1">
      <alignment horizontal="center" vertical="center" wrapText="1"/>
    </xf>
    <xf numFmtId="0" fontId="93" fillId="0" borderId="2" xfId="0" applyFont="1" applyBorder="1" applyAlignment="1">
      <alignment horizontal="center" vertical="center"/>
    </xf>
    <xf numFmtId="0" fontId="93" fillId="0" borderId="45" xfId="0" applyFont="1" applyBorder="1" applyAlignment="1">
      <alignment horizontal="center" vertical="center"/>
    </xf>
    <xf numFmtId="0" fontId="93" fillId="0" borderId="30" xfId="0" applyFont="1" applyBorder="1" applyAlignment="1">
      <alignment horizontal="center" vertical="center"/>
    </xf>
    <xf numFmtId="0" fontId="93" fillId="0" borderId="46" xfId="0" applyFont="1" applyBorder="1" applyAlignment="1">
      <alignment horizontal="center" vertical="center"/>
    </xf>
    <xf numFmtId="0" fontId="58" fillId="0" borderId="11"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14" xfId="0" applyFont="1" applyBorder="1" applyAlignment="1">
      <alignment horizontal="center" vertical="center" wrapText="1"/>
    </xf>
    <xf numFmtId="0" fontId="58" fillId="0" borderId="16"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9"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20" xfId="0" applyFont="1" applyBorder="1" applyAlignment="1">
      <alignment horizontal="center" vertical="center" wrapText="1"/>
    </xf>
    <xf numFmtId="49" fontId="58" fillId="0" borderId="14" xfId="0" applyNumberFormat="1" applyFont="1" applyBorder="1" applyAlignment="1">
      <alignment horizontal="center" vertical="center" wrapText="1"/>
    </xf>
    <xf numFmtId="49" fontId="58" fillId="0" borderId="16" xfId="0" applyNumberFormat="1" applyFont="1" applyBorder="1" applyAlignment="1">
      <alignment horizontal="center" vertical="center" wrapText="1"/>
    </xf>
    <xf numFmtId="49" fontId="58" fillId="0" borderId="17" xfId="0" applyNumberFormat="1" applyFont="1" applyBorder="1" applyAlignment="1">
      <alignment horizontal="center" vertical="center" wrapText="1"/>
    </xf>
    <xf numFmtId="49" fontId="58" fillId="0" borderId="24" xfId="0" applyNumberFormat="1" applyFont="1" applyBorder="1" applyAlignment="1">
      <alignment horizontal="center" vertical="center" wrapText="1"/>
    </xf>
    <xf numFmtId="49" fontId="58" fillId="0" borderId="0" xfId="0" applyNumberFormat="1" applyFont="1" applyBorder="1" applyAlignment="1">
      <alignment horizontal="center" vertical="center" wrapText="1"/>
    </xf>
    <xf numFmtId="49" fontId="58" fillId="0" borderId="0" xfId="0" applyNumberFormat="1" applyFont="1" applyAlignment="1">
      <alignment horizontal="center" vertical="center" wrapText="1"/>
    </xf>
    <xf numFmtId="49" fontId="58" fillId="0" borderId="29" xfId="0" applyNumberFormat="1" applyFont="1" applyBorder="1" applyAlignment="1">
      <alignment horizontal="center" vertical="center" wrapText="1"/>
    </xf>
    <xf numFmtId="49" fontId="58" fillId="0" borderId="18" xfId="0" applyNumberFormat="1" applyFont="1" applyBorder="1" applyAlignment="1">
      <alignment horizontal="center" vertical="center" wrapText="1"/>
    </xf>
    <xf numFmtId="49" fontId="58" fillId="0" borderId="19" xfId="0" applyNumberFormat="1" applyFont="1" applyBorder="1" applyAlignment="1">
      <alignment horizontal="center" vertical="center" wrapText="1"/>
    </xf>
    <xf numFmtId="49" fontId="58" fillId="0" borderId="20" xfId="0" applyNumberFormat="1" applyFont="1" applyBorder="1" applyAlignment="1">
      <alignment horizontal="center" vertical="center" wrapText="1"/>
    </xf>
    <xf numFmtId="2" fontId="58" fillId="11" borderId="11" xfId="0" applyNumberFormat="1" applyFont="1" applyFill="1" applyBorder="1" applyAlignment="1">
      <alignment horizontal="center" vertical="center" wrapText="1"/>
    </xf>
    <xf numFmtId="2" fontId="58" fillId="11" borderId="12" xfId="0" applyNumberFormat="1" applyFont="1" applyFill="1" applyBorder="1" applyAlignment="1">
      <alignment horizontal="center" vertical="center" wrapText="1"/>
    </xf>
    <xf numFmtId="2" fontId="58" fillId="11" borderId="13" xfId="0" applyNumberFormat="1" applyFont="1" applyFill="1" applyBorder="1" applyAlignment="1">
      <alignment horizontal="center" vertical="center" wrapText="1"/>
    </xf>
    <xf numFmtId="0" fontId="58" fillId="3" borderId="14" xfId="0" applyFont="1" applyFill="1" applyBorder="1" applyAlignment="1">
      <alignment horizontal="center" vertical="center" wrapText="1"/>
    </xf>
    <xf numFmtId="0" fontId="58" fillId="3" borderId="16" xfId="0" applyFont="1" applyFill="1" applyBorder="1" applyAlignment="1">
      <alignment horizontal="center" vertical="center" wrapText="1"/>
    </xf>
    <xf numFmtId="0" fontId="58" fillId="3" borderId="24" xfId="0" applyFont="1" applyFill="1" applyBorder="1" applyAlignment="1">
      <alignment horizontal="center" vertical="center" wrapText="1"/>
    </xf>
    <xf numFmtId="0" fontId="58" fillId="3" borderId="0" xfId="0" applyFont="1" applyFill="1" applyAlignment="1">
      <alignment horizontal="center" vertical="center" wrapText="1"/>
    </xf>
    <xf numFmtId="0" fontId="58" fillId="3" borderId="18" xfId="0" applyFont="1" applyFill="1" applyBorder="1" applyAlignment="1">
      <alignment horizontal="center" vertical="center" wrapText="1"/>
    </xf>
    <xf numFmtId="0" fontId="58" fillId="3" borderId="19" xfId="0" applyFont="1" applyFill="1" applyBorder="1" applyAlignment="1">
      <alignment horizontal="center" vertical="center" wrapText="1"/>
    </xf>
    <xf numFmtId="0" fontId="58" fillId="11" borderId="11" xfId="0" applyFont="1" applyFill="1" applyBorder="1" applyAlignment="1">
      <alignment horizontal="center" vertical="center" wrapText="1"/>
    </xf>
    <xf numFmtId="0" fontId="58" fillId="11" borderId="12" xfId="0" applyFont="1" applyFill="1" applyBorder="1" applyAlignment="1">
      <alignment horizontal="center" vertical="center" wrapText="1"/>
    </xf>
    <xf numFmtId="0" fontId="58" fillId="11" borderId="13" xfId="0" applyFont="1" applyFill="1" applyBorder="1" applyAlignment="1">
      <alignment horizontal="center" vertical="center" wrapText="1"/>
    </xf>
    <xf numFmtId="0" fontId="58" fillId="3" borderId="17" xfId="0" applyFont="1" applyFill="1" applyBorder="1" applyAlignment="1">
      <alignment horizontal="center" vertical="center" wrapText="1"/>
    </xf>
    <xf numFmtId="0" fontId="58" fillId="3" borderId="29" xfId="0" applyFont="1" applyFill="1" applyBorder="1" applyAlignment="1">
      <alignment horizontal="center" vertical="center" wrapText="1"/>
    </xf>
    <xf numFmtId="0" fontId="58" fillId="3" borderId="20" xfId="0" applyFont="1" applyFill="1" applyBorder="1" applyAlignment="1">
      <alignment horizontal="center" vertical="center" wrapText="1"/>
    </xf>
    <xf numFmtId="0" fontId="58" fillId="3" borderId="11" xfId="0" applyFont="1" applyFill="1" applyBorder="1" applyAlignment="1">
      <alignment horizontal="center" vertical="center" wrapText="1"/>
    </xf>
    <xf numFmtId="0" fontId="58" fillId="3" borderId="12" xfId="0" applyFont="1" applyFill="1" applyBorder="1" applyAlignment="1">
      <alignment horizontal="center" vertical="center" wrapText="1"/>
    </xf>
    <xf numFmtId="2" fontId="58" fillId="0" borderId="11" xfId="0" applyNumberFormat="1" applyFont="1" applyBorder="1" applyAlignment="1">
      <alignment horizontal="center" vertical="center" wrapText="1"/>
    </xf>
    <xf numFmtId="2" fontId="58" fillId="0" borderId="12" xfId="0" applyNumberFormat="1" applyFont="1" applyBorder="1" applyAlignment="1">
      <alignment horizontal="center" vertical="center" wrapText="1"/>
    </xf>
    <xf numFmtId="2" fontId="58" fillId="0" borderId="13" xfId="0" applyNumberFormat="1" applyFont="1" applyBorder="1" applyAlignment="1">
      <alignment horizontal="center" vertical="center" wrapText="1"/>
    </xf>
    <xf numFmtId="2" fontId="58" fillId="11" borderId="14" xfId="0" applyNumberFormat="1" applyFont="1" applyFill="1" applyBorder="1" applyAlignment="1">
      <alignment horizontal="center" vertical="center" wrapText="1"/>
    </xf>
    <xf numFmtId="2" fontId="58" fillId="11" borderId="17" xfId="0" applyNumberFormat="1" applyFont="1" applyFill="1" applyBorder="1" applyAlignment="1">
      <alignment horizontal="center" vertical="center" wrapText="1"/>
    </xf>
    <xf numFmtId="2" fontId="58" fillId="11" borderId="18" xfId="0" applyNumberFormat="1" applyFont="1" applyFill="1" applyBorder="1" applyAlignment="1">
      <alignment horizontal="center" vertical="center" wrapText="1"/>
    </xf>
    <xf numFmtId="2" fontId="58" fillId="11" borderId="20" xfId="0" applyNumberFormat="1" applyFont="1" applyFill="1" applyBorder="1" applyAlignment="1">
      <alignment horizontal="center" vertical="center" wrapText="1"/>
    </xf>
    <xf numFmtId="0" fontId="58" fillId="0" borderId="0" xfId="0" applyFont="1" applyAlignment="1">
      <alignment horizontal="center" vertical="center"/>
    </xf>
    <xf numFmtId="0" fontId="58" fillId="0" borderId="17" xfId="0" applyFont="1" applyBorder="1" applyAlignment="1">
      <alignment horizontal="center" vertical="center" wrapText="1"/>
    </xf>
    <xf numFmtId="49" fontId="58" fillId="11" borderId="11" xfId="0" applyNumberFormat="1" applyFont="1" applyFill="1" applyBorder="1" applyAlignment="1">
      <alignment horizontal="center" vertical="center" wrapText="1"/>
    </xf>
    <xf numFmtId="49" fontId="58" fillId="11" borderId="12" xfId="0" applyNumberFormat="1" applyFont="1" applyFill="1" applyBorder="1" applyAlignment="1">
      <alignment horizontal="center" vertical="center" wrapText="1"/>
    </xf>
    <xf numFmtId="49" fontId="58" fillId="11" borderId="13" xfId="0" applyNumberFormat="1" applyFont="1" applyFill="1" applyBorder="1" applyAlignment="1">
      <alignment horizontal="center" vertical="center" wrapText="1"/>
    </xf>
    <xf numFmtId="49" fontId="58" fillId="0" borderId="11" xfId="0" applyNumberFormat="1" applyFont="1" applyBorder="1" applyAlignment="1">
      <alignment horizontal="center" vertical="center" wrapText="1"/>
    </xf>
    <xf numFmtId="0" fontId="58" fillId="0" borderId="12" xfId="0" applyFont="1" applyBorder="1" applyAlignment="1">
      <alignment vertical="center"/>
    </xf>
    <xf numFmtId="2" fontId="58" fillId="0" borderId="14" xfId="0" applyNumberFormat="1" applyFont="1" applyBorder="1" applyAlignment="1">
      <alignment horizontal="center" vertical="center" wrapText="1"/>
    </xf>
    <xf numFmtId="2" fontId="58" fillId="0" borderId="17" xfId="0" applyNumberFormat="1" applyFont="1" applyBorder="1" applyAlignment="1">
      <alignment horizontal="center" vertical="center" wrapText="1"/>
    </xf>
    <xf numFmtId="2" fontId="58" fillId="0" borderId="24" xfId="0" applyNumberFormat="1" applyFont="1" applyBorder="1" applyAlignment="1">
      <alignment horizontal="center" vertical="center" wrapText="1"/>
    </xf>
    <xf numFmtId="2" fontId="58" fillId="0" borderId="29" xfId="0" applyNumberFormat="1" applyFont="1" applyBorder="1" applyAlignment="1">
      <alignment horizontal="center" vertical="center" wrapText="1"/>
    </xf>
    <xf numFmtId="2" fontId="58" fillId="0" borderId="18" xfId="0" applyNumberFormat="1" applyFont="1" applyBorder="1" applyAlignment="1">
      <alignment horizontal="center" vertical="center" wrapText="1"/>
    </xf>
    <xf numFmtId="2" fontId="58" fillId="0" borderId="20" xfId="0" applyNumberFormat="1" applyFont="1" applyBorder="1" applyAlignment="1">
      <alignment horizontal="center" vertical="center" wrapText="1"/>
    </xf>
    <xf numFmtId="49" fontId="58" fillId="0" borderId="12" xfId="0" applyNumberFormat="1" applyFont="1" applyBorder="1" applyAlignment="1">
      <alignment horizontal="center" vertical="center" wrapText="1"/>
    </xf>
    <xf numFmtId="0" fontId="58" fillId="0" borderId="24" xfId="25" applyFont="1" applyBorder="1" applyAlignment="1">
      <alignment horizontal="center" vertical="center" wrapText="1"/>
    </xf>
    <xf numFmtId="0" fontId="58" fillId="0" borderId="0" xfId="25" applyFont="1" applyAlignment="1">
      <alignment horizontal="center" vertical="center" wrapText="1"/>
    </xf>
    <xf numFmtId="0" fontId="58" fillId="0" borderId="29" xfId="25" applyFont="1" applyBorder="1" applyAlignment="1">
      <alignment horizontal="center" vertical="center" wrapText="1"/>
    </xf>
    <xf numFmtId="0" fontId="58" fillId="0" borderId="18" xfId="25" applyFont="1" applyBorder="1" applyAlignment="1">
      <alignment horizontal="center" vertical="center" wrapText="1"/>
    </xf>
    <xf numFmtId="0" fontId="58" fillId="0" borderId="19" xfId="25" applyFont="1" applyBorder="1" applyAlignment="1">
      <alignment horizontal="center" vertical="center" wrapText="1"/>
    </xf>
    <xf numFmtId="0" fontId="58" fillId="0" borderId="20" xfId="25" applyFont="1" applyBorder="1" applyAlignment="1">
      <alignment horizontal="center" vertical="center" wrapText="1"/>
    </xf>
    <xf numFmtId="0" fontId="58" fillId="0" borderId="14" xfId="25" applyFont="1" applyBorder="1" applyAlignment="1">
      <alignment horizontal="center" vertical="center" wrapText="1"/>
    </xf>
    <xf numFmtId="0" fontId="58" fillId="0" borderId="16" xfId="25" applyFont="1" applyBorder="1" applyAlignment="1">
      <alignment horizontal="center" vertical="center" wrapText="1"/>
    </xf>
    <xf numFmtId="0" fontId="58" fillId="0" borderId="17" xfId="25" applyFont="1" applyBorder="1" applyAlignment="1">
      <alignment horizontal="center" vertical="center" wrapText="1"/>
    </xf>
    <xf numFmtId="49" fontId="58" fillId="0" borderId="13" xfId="0" applyNumberFormat="1" applyFont="1" applyBorder="1" applyAlignment="1">
      <alignment horizontal="center" vertical="center" wrapText="1"/>
    </xf>
    <xf numFmtId="0" fontId="58" fillId="0" borderId="11" xfId="0" applyFont="1" applyBorder="1" applyAlignment="1">
      <alignment horizontal="center" vertical="center"/>
    </xf>
    <xf numFmtId="0" fontId="58" fillId="0" borderId="12" xfId="0" applyFont="1" applyBorder="1" applyAlignment="1">
      <alignment horizontal="center" vertical="center"/>
    </xf>
    <xf numFmtId="0" fontId="57" fillId="0" borderId="11" xfId="0" applyFont="1" applyBorder="1" applyAlignment="1">
      <alignment horizontal="center" vertical="center" wrapText="1"/>
    </xf>
    <xf numFmtId="0" fontId="57" fillId="0" borderId="12" xfId="0" applyFont="1" applyBorder="1" applyAlignment="1">
      <alignment horizontal="center" vertical="center" wrapText="1"/>
    </xf>
    <xf numFmtId="0" fontId="58" fillId="0" borderId="0" xfId="0" applyFont="1" applyAlignment="1">
      <alignment horizontal="center" vertical="center" wrapText="1"/>
    </xf>
    <xf numFmtId="0" fontId="58" fillId="0" borderId="19" xfId="0" applyFont="1" applyBorder="1" applyAlignment="1">
      <alignment horizontal="center" vertical="center" wrapText="1"/>
    </xf>
    <xf numFmtId="2" fontId="58" fillId="5" borderId="11" xfId="0" applyNumberFormat="1" applyFont="1" applyFill="1" applyBorder="1" applyAlignment="1">
      <alignment horizontal="center" vertical="center" wrapText="1"/>
    </xf>
    <xf numFmtId="2" fontId="58" fillId="5" borderId="12" xfId="0" applyNumberFormat="1" applyFont="1" applyFill="1" applyBorder="1" applyAlignment="1">
      <alignment horizontal="center" vertical="center" wrapText="1"/>
    </xf>
    <xf numFmtId="2" fontId="58" fillId="5" borderId="13" xfId="0" applyNumberFormat="1" applyFont="1" applyFill="1" applyBorder="1" applyAlignment="1">
      <alignment horizontal="center" vertical="center" wrapText="1"/>
    </xf>
    <xf numFmtId="0" fontId="58" fillId="11" borderId="14" xfId="0" applyFont="1" applyFill="1" applyBorder="1" applyAlignment="1">
      <alignment horizontal="center" vertical="center" wrapText="1"/>
    </xf>
    <xf numFmtId="0" fontId="58" fillId="11" borderId="16" xfId="0" applyFont="1" applyFill="1" applyBorder="1" applyAlignment="1">
      <alignment horizontal="center" vertical="center" wrapText="1"/>
    </xf>
    <xf numFmtId="0" fontId="58" fillId="11" borderId="17" xfId="0" applyFont="1" applyFill="1" applyBorder="1" applyAlignment="1">
      <alignment horizontal="center" vertical="center" wrapText="1"/>
    </xf>
    <xf numFmtId="0" fontId="58" fillId="11" borderId="18" xfId="0" applyFont="1" applyFill="1" applyBorder="1" applyAlignment="1">
      <alignment horizontal="center" vertical="center" wrapText="1"/>
    </xf>
    <xf numFmtId="0" fontId="58" fillId="11" borderId="19" xfId="0" applyFont="1" applyFill="1" applyBorder="1" applyAlignment="1">
      <alignment horizontal="center" vertical="center" wrapText="1"/>
    </xf>
    <xf numFmtId="0" fontId="58" fillId="11" borderId="20" xfId="0" applyFont="1" applyFill="1" applyBorder="1" applyAlignment="1">
      <alignment horizontal="center" vertical="center" wrapText="1"/>
    </xf>
    <xf numFmtId="0" fontId="58" fillId="3" borderId="13" xfId="0" applyFont="1" applyFill="1" applyBorder="1" applyAlignment="1">
      <alignment horizontal="center" vertical="center" wrapText="1"/>
    </xf>
    <xf numFmtId="2" fontId="58" fillId="18" borderId="11" xfId="0" applyNumberFormat="1" applyFont="1" applyFill="1" applyBorder="1" applyAlignment="1">
      <alignment horizontal="center" vertical="center" wrapText="1"/>
    </xf>
    <xf numFmtId="2" fontId="58" fillId="18" borderId="12" xfId="0" applyNumberFormat="1" applyFont="1" applyFill="1" applyBorder="1" applyAlignment="1">
      <alignment horizontal="center" vertical="center" wrapText="1"/>
    </xf>
    <xf numFmtId="2" fontId="58" fillId="18" borderId="13" xfId="0" applyNumberFormat="1" applyFont="1" applyFill="1" applyBorder="1" applyAlignment="1">
      <alignment horizontal="center" vertical="center" wrapText="1"/>
    </xf>
    <xf numFmtId="0" fontId="58" fillId="3" borderId="10" xfId="0" applyFont="1" applyFill="1" applyBorder="1" applyAlignment="1">
      <alignment horizontal="center" vertical="center" wrapText="1"/>
    </xf>
    <xf numFmtId="0" fontId="58" fillId="3" borderId="15" xfId="0" applyFont="1" applyFill="1" applyBorder="1" applyAlignment="1">
      <alignment horizontal="center" vertical="center" wrapText="1"/>
    </xf>
    <xf numFmtId="0" fontId="58" fillId="5" borderId="11" xfId="0" applyFont="1" applyFill="1" applyBorder="1" applyAlignment="1">
      <alignment horizontal="center" vertical="center"/>
    </xf>
    <xf numFmtId="0" fontId="58" fillId="5" borderId="12" xfId="0" applyFont="1" applyFill="1" applyBorder="1" applyAlignment="1">
      <alignment horizontal="center" vertical="center"/>
    </xf>
    <xf numFmtId="0" fontId="58" fillId="5" borderId="13" xfId="0" applyFont="1" applyFill="1" applyBorder="1" applyAlignment="1">
      <alignment horizontal="center" vertical="center"/>
    </xf>
    <xf numFmtId="0" fontId="58" fillId="0" borderId="14" xfId="0" applyFont="1" applyFill="1" applyBorder="1" applyAlignment="1">
      <alignment horizontal="center" vertical="center" wrapText="1"/>
    </xf>
    <xf numFmtId="0" fontId="58" fillId="0" borderId="16"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58" fillId="0" borderId="24"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29" xfId="0" applyFont="1" applyFill="1" applyBorder="1" applyAlignment="1">
      <alignment horizontal="center" vertical="center" wrapText="1"/>
    </xf>
    <xf numFmtId="0" fontId="58" fillId="0" borderId="18"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58" fillId="0" borderId="20" xfId="0" applyFont="1" applyFill="1" applyBorder="1" applyAlignment="1">
      <alignment horizontal="center" vertical="center" wrapText="1"/>
    </xf>
    <xf numFmtId="0" fontId="58" fillId="5" borderId="11" xfId="0" applyFont="1" applyFill="1" applyBorder="1" applyAlignment="1">
      <alignment horizontal="center" vertical="center" wrapText="1"/>
    </xf>
    <xf numFmtId="0" fontId="58" fillId="5" borderId="12" xfId="0" applyFont="1" applyFill="1" applyBorder="1" applyAlignment="1">
      <alignment horizontal="center" vertical="center" wrapText="1"/>
    </xf>
    <xf numFmtId="0" fontId="58" fillId="5" borderId="13" xfId="0" applyFont="1" applyFill="1" applyBorder="1" applyAlignment="1">
      <alignment horizontal="center" vertical="center" wrapText="1"/>
    </xf>
    <xf numFmtId="0" fontId="58" fillId="5" borderId="14" xfId="0" applyFont="1" applyFill="1" applyBorder="1" applyAlignment="1">
      <alignment horizontal="center" vertical="center" wrapText="1"/>
    </xf>
    <xf numFmtId="0" fontId="58" fillId="5" borderId="17" xfId="0" applyFont="1" applyFill="1" applyBorder="1" applyAlignment="1">
      <alignment horizontal="center" vertical="center" wrapText="1"/>
    </xf>
    <xf numFmtId="0" fontId="58" fillId="5" borderId="18" xfId="0" applyFont="1" applyFill="1" applyBorder="1" applyAlignment="1">
      <alignment horizontal="center" vertical="center" wrapText="1"/>
    </xf>
    <xf numFmtId="0" fontId="58" fillId="5" borderId="20" xfId="0" applyFont="1" applyFill="1" applyBorder="1" applyAlignment="1">
      <alignment horizontal="center" vertical="center" wrapText="1"/>
    </xf>
    <xf numFmtId="0" fontId="58" fillId="0" borderId="0" xfId="0" applyFont="1" applyFill="1" applyAlignment="1">
      <alignment horizontal="center" vertical="center" wrapText="1"/>
    </xf>
    <xf numFmtId="0" fontId="58" fillId="5" borderId="16" xfId="0" applyFont="1" applyFill="1" applyBorder="1" applyAlignment="1">
      <alignment horizontal="center" vertical="center" wrapText="1"/>
    </xf>
    <xf numFmtId="0" fontId="58" fillId="5" borderId="19" xfId="0" applyFont="1" applyFill="1" applyBorder="1" applyAlignment="1">
      <alignment horizontal="center" vertical="center" wrapText="1"/>
    </xf>
    <xf numFmtId="0" fontId="58" fillId="0" borderId="11" xfId="0" applyFont="1" applyFill="1" applyBorder="1" applyAlignment="1">
      <alignment horizontal="center" vertical="center" wrapText="1"/>
    </xf>
    <xf numFmtId="0" fontId="58" fillId="0" borderId="12" xfId="0" applyFont="1" applyFill="1" applyBorder="1" applyAlignment="1">
      <alignment horizontal="center" vertical="center" wrapText="1"/>
    </xf>
    <xf numFmtId="0" fontId="58" fillId="0" borderId="13" xfId="0" applyFont="1" applyFill="1" applyBorder="1" applyAlignment="1">
      <alignment horizontal="center" vertical="center" wrapText="1"/>
    </xf>
    <xf numFmtId="0" fontId="58" fillId="11" borderId="11" xfId="0" applyFont="1" applyFill="1" applyBorder="1" applyAlignment="1">
      <alignment horizontal="center" vertical="center"/>
    </xf>
    <xf numFmtId="0" fontId="58" fillId="11" borderId="12" xfId="0" applyFont="1" applyFill="1" applyBorder="1" applyAlignment="1">
      <alignment horizontal="center" vertical="center"/>
    </xf>
    <xf numFmtId="0" fontId="58" fillId="11" borderId="13" xfId="0" applyFont="1" applyFill="1" applyBorder="1" applyAlignment="1">
      <alignment horizontal="center" vertical="center"/>
    </xf>
    <xf numFmtId="49" fontId="58" fillId="11" borderId="14" xfId="0" applyNumberFormat="1" applyFont="1" applyFill="1" applyBorder="1" applyAlignment="1">
      <alignment horizontal="center" vertical="center" wrapText="1"/>
    </xf>
    <xf numFmtId="49" fontId="58" fillId="11" borderId="17" xfId="0" applyNumberFormat="1" applyFont="1" applyFill="1" applyBorder="1" applyAlignment="1">
      <alignment horizontal="center" vertical="center" wrapText="1"/>
    </xf>
    <xf numFmtId="49" fontId="58" fillId="11" borderId="18" xfId="0" applyNumberFormat="1" applyFont="1" applyFill="1" applyBorder="1" applyAlignment="1">
      <alignment horizontal="center" vertical="center" wrapText="1"/>
    </xf>
    <xf numFmtId="49" fontId="58" fillId="11" borderId="20" xfId="0" applyNumberFormat="1" applyFont="1" applyFill="1" applyBorder="1" applyAlignment="1">
      <alignment horizontal="center" vertical="center" wrapText="1"/>
    </xf>
    <xf numFmtId="0" fontId="58" fillId="0" borderId="11" xfId="25" applyFont="1" applyBorder="1" applyAlignment="1">
      <alignment horizontal="center" vertical="center" wrapText="1"/>
    </xf>
    <xf numFmtId="0" fontId="58" fillId="0" borderId="13" xfId="25" applyFont="1" applyBorder="1" applyAlignment="1">
      <alignment horizontal="center" vertical="center" wrapText="1"/>
    </xf>
    <xf numFmtId="0" fontId="57" fillId="3" borderId="11" xfId="0" applyFont="1" applyFill="1" applyBorder="1" applyAlignment="1">
      <alignment horizontal="center" vertical="center" wrapText="1"/>
    </xf>
    <xf numFmtId="0" fontId="57" fillId="3" borderId="12" xfId="0" applyFont="1" applyFill="1" applyBorder="1" applyAlignment="1">
      <alignment horizontal="center" vertical="center" wrapText="1"/>
    </xf>
    <xf numFmtId="0" fontId="58" fillId="0" borderId="12" xfId="25" applyFont="1" applyBorder="1" applyAlignment="1">
      <alignment horizontal="center" vertical="center" wrapText="1"/>
    </xf>
    <xf numFmtId="0" fontId="58" fillId="0" borderId="13" xfId="0" applyFont="1" applyBorder="1" applyAlignment="1">
      <alignment vertical="center"/>
    </xf>
    <xf numFmtId="0" fontId="58" fillId="11" borderId="14" xfId="25" applyFont="1" applyFill="1" applyBorder="1" applyAlignment="1">
      <alignment horizontal="center" vertical="center" wrapText="1"/>
    </xf>
    <xf numFmtId="0" fontId="58" fillId="11" borderId="17" xfId="25" applyFont="1" applyFill="1" applyBorder="1" applyAlignment="1">
      <alignment horizontal="center" vertical="center" wrapText="1"/>
    </xf>
    <xf numFmtId="0" fontId="58" fillId="11" borderId="18" xfId="25" applyFont="1" applyFill="1" applyBorder="1" applyAlignment="1">
      <alignment horizontal="center" vertical="center" wrapText="1"/>
    </xf>
    <xf numFmtId="0" fontId="58" fillId="11" borderId="20" xfId="25" applyFont="1" applyFill="1" applyBorder="1" applyAlignment="1">
      <alignment horizontal="center" vertical="center" wrapText="1"/>
    </xf>
    <xf numFmtId="0" fontId="58" fillId="0" borderId="20" xfId="0" applyFont="1" applyBorder="1" applyAlignment="1">
      <alignment vertical="center"/>
    </xf>
    <xf numFmtId="0" fontId="58" fillId="0" borderId="45" xfId="0" applyFont="1" applyBorder="1" applyAlignment="1">
      <alignment horizontal="center" vertical="center" wrapText="1"/>
    </xf>
    <xf numFmtId="0" fontId="58" fillId="0" borderId="30" xfId="0" applyFont="1" applyBorder="1" applyAlignment="1">
      <alignment horizontal="center" vertical="center" wrapText="1"/>
    </xf>
    <xf numFmtId="0" fontId="58" fillId="0" borderId="46" xfId="0" applyFont="1" applyBorder="1" applyAlignment="1">
      <alignment horizontal="center" vertical="center" wrapText="1"/>
    </xf>
    <xf numFmtId="0" fontId="58" fillId="0" borderId="45" xfId="0" applyFont="1" applyBorder="1" applyAlignment="1">
      <alignment horizontal="center" vertical="center"/>
    </xf>
    <xf numFmtId="0" fontId="58" fillId="0" borderId="30" xfId="0" applyFont="1" applyBorder="1" applyAlignment="1">
      <alignment horizontal="center" vertical="center"/>
    </xf>
    <xf numFmtId="0" fontId="58" fillId="0" borderId="46" xfId="0" applyFont="1" applyBorder="1" applyAlignment="1">
      <alignment horizontal="center" vertical="center"/>
    </xf>
    <xf numFmtId="0" fontId="58" fillId="0" borderId="2" xfId="0" applyFont="1" applyBorder="1" applyAlignment="1">
      <alignment horizontal="center" vertical="center" wrapText="1"/>
    </xf>
    <xf numFmtId="165" fontId="58" fillId="0" borderId="45" xfId="0" applyNumberFormat="1" applyFont="1" applyBorder="1" applyAlignment="1">
      <alignment horizontal="center" vertical="center" wrapText="1"/>
    </xf>
    <xf numFmtId="165" fontId="58" fillId="0" borderId="30" xfId="0" applyNumberFormat="1" applyFont="1" applyBorder="1" applyAlignment="1">
      <alignment horizontal="center" vertical="center" wrapText="1"/>
    </xf>
    <xf numFmtId="0" fontId="58" fillId="0" borderId="60" xfId="0" applyFont="1" applyBorder="1" applyAlignment="1">
      <alignment horizontal="center" vertical="center" wrapText="1"/>
    </xf>
    <xf numFmtId="0" fontId="58" fillId="0" borderId="38" xfId="0" applyFont="1" applyBorder="1" applyAlignment="1">
      <alignment horizontal="center" vertical="center" wrapText="1"/>
    </xf>
    <xf numFmtId="0" fontId="58" fillId="0" borderId="61" xfId="0" applyFont="1" applyBorder="1" applyAlignment="1">
      <alignment horizontal="center" vertical="center" wrapText="1"/>
    </xf>
    <xf numFmtId="2" fontId="58" fillId="5" borderId="14" xfId="0" applyNumberFormat="1" applyFont="1" applyFill="1" applyBorder="1" applyAlignment="1">
      <alignment horizontal="center" vertical="center" wrapText="1"/>
    </xf>
    <xf numFmtId="2" fontId="58" fillId="5" borderId="16" xfId="0" applyNumberFormat="1" applyFont="1" applyFill="1" applyBorder="1" applyAlignment="1">
      <alignment horizontal="center" vertical="center" wrapText="1"/>
    </xf>
    <xf numFmtId="2" fontId="58" fillId="5" borderId="17" xfId="0" applyNumberFormat="1" applyFont="1" applyFill="1" applyBorder="1" applyAlignment="1">
      <alignment horizontal="center" vertical="center" wrapText="1"/>
    </xf>
    <xf numFmtId="2" fontId="58" fillId="5" borderId="18" xfId="0" applyNumberFormat="1" applyFont="1" applyFill="1" applyBorder="1" applyAlignment="1">
      <alignment horizontal="center" vertical="center" wrapText="1"/>
    </xf>
    <xf numFmtId="2" fontId="58" fillId="5" borderId="19" xfId="0" applyNumberFormat="1" applyFont="1" applyFill="1" applyBorder="1" applyAlignment="1">
      <alignment horizontal="center" vertical="center" wrapText="1"/>
    </xf>
    <xf numFmtId="2" fontId="58" fillId="5" borderId="20" xfId="0" applyNumberFormat="1" applyFont="1" applyFill="1" applyBorder="1" applyAlignment="1">
      <alignment horizontal="center" vertical="center" wrapText="1"/>
    </xf>
    <xf numFmtId="2" fontId="58" fillId="0" borderId="16" xfId="0" applyNumberFormat="1" applyFont="1" applyBorder="1" applyAlignment="1">
      <alignment horizontal="center" vertical="center" wrapText="1"/>
    </xf>
    <xf numFmtId="2" fontId="58" fillId="0" borderId="0" xfId="0" applyNumberFormat="1" applyFont="1" applyAlignment="1">
      <alignment horizontal="center" vertical="center" wrapText="1"/>
    </xf>
    <xf numFmtId="2" fontId="58" fillId="0" borderId="19" xfId="0" applyNumberFormat="1" applyFont="1" applyBorder="1" applyAlignment="1">
      <alignment horizontal="center" vertical="center" wrapText="1"/>
    </xf>
    <xf numFmtId="0" fontId="58" fillId="0" borderId="45" xfId="0" applyFont="1" applyFill="1" applyBorder="1" applyAlignment="1">
      <alignment horizontal="center" vertical="center" wrapText="1"/>
    </xf>
    <xf numFmtId="0" fontId="58" fillId="0" borderId="30" xfId="0" applyFont="1" applyFill="1" applyBorder="1" applyAlignment="1">
      <alignment horizontal="center" vertical="center" wrapText="1"/>
    </xf>
    <xf numFmtId="0" fontId="58" fillId="0" borderId="46" xfId="0" applyFont="1" applyFill="1" applyBorder="1" applyAlignment="1">
      <alignment horizontal="center" vertical="center" wrapText="1"/>
    </xf>
    <xf numFmtId="0" fontId="58" fillId="0" borderId="2" xfId="0" applyFont="1" applyBorder="1" applyAlignment="1">
      <alignment horizontal="center" vertical="center"/>
    </xf>
    <xf numFmtId="0" fontId="75" fillId="0" borderId="46" xfId="0" applyFont="1" applyBorder="1" applyAlignment="1">
      <alignment horizontal="center" vertical="center" wrapText="1"/>
    </xf>
    <xf numFmtId="0" fontId="28" fillId="3" borderId="45" xfId="1" applyFont="1" applyFill="1" applyBorder="1" applyAlignment="1">
      <alignment horizontal="center" vertical="center"/>
    </xf>
    <xf numFmtId="0" fontId="28" fillId="3" borderId="46" xfId="1" quotePrefix="1" applyFont="1" applyFill="1" applyBorder="1" applyAlignment="1">
      <alignment horizontal="center" vertical="center"/>
    </xf>
    <xf numFmtId="0" fontId="28" fillId="3" borderId="30" xfId="1" quotePrefix="1" applyFont="1" applyFill="1" applyBorder="1" applyAlignment="1">
      <alignment horizontal="center" vertical="center"/>
    </xf>
    <xf numFmtId="0" fontId="28" fillId="3" borderId="2" xfId="1" quotePrefix="1" applyFont="1" applyFill="1" applyBorder="1" applyAlignment="1">
      <alignment horizontal="center" vertical="center"/>
    </xf>
    <xf numFmtId="0" fontId="28" fillId="3" borderId="2" xfId="1" applyFont="1" applyFill="1" applyBorder="1" applyAlignment="1">
      <alignment horizontal="center" vertical="center"/>
    </xf>
    <xf numFmtId="0" fontId="28" fillId="3" borderId="45" xfId="1" quotePrefix="1" applyFont="1" applyFill="1" applyBorder="1" applyAlignment="1">
      <alignment horizontal="center" vertical="center"/>
    </xf>
    <xf numFmtId="0" fontId="28" fillId="3" borderId="46" xfId="1" applyFont="1" applyFill="1" applyBorder="1" applyAlignment="1">
      <alignment horizontal="center" vertical="center"/>
    </xf>
    <xf numFmtId="0" fontId="28" fillId="15" borderId="2" xfId="1" applyFont="1" applyFill="1" applyBorder="1" applyAlignment="1">
      <alignment horizontal="center" vertical="center"/>
    </xf>
    <xf numFmtId="0" fontId="28" fillId="15" borderId="2" xfId="1" quotePrefix="1" applyFont="1" applyFill="1" applyBorder="1" applyAlignment="1">
      <alignment horizontal="center" vertical="center"/>
    </xf>
    <xf numFmtId="0" fontId="28" fillId="3" borderId="2" xfId="1" quotePrefix="1" applyFont="1" applyFill="1" applyBorder="1" applyAlignment="1">
      <alignment horizontal="center" vertical="center" wrapText="1"/>
    </xf>
    <xf numFmtId="0" fontId="28" fillId="3" borderId="2" xfId="1" applyFont="1" applyFill="1" applyBorder="1" applyAlignment="1">
      <alignment horizontal="center" vertical="center" wrapText="1"/>
    </xf>
    <xf numFmtId="0" fontId="28" fillId="0" borderId="45" xfId="1" applyFont="1" applyBorder="1" applyAlignment="1">
      <alignment horizontal="center" vertical="center" wrapText="1"/>
    </xf>
    <xf numFmtId="0" fontId="28" fillId="0" borderId="46" xfId="1" applyFont="1" applyBorder="1" applyAlignment="1">
      <alignment horizontal="center" vertical="center" wrapText="1"/>
    </xf>
    <xf numFmtId="0" fontId="17" fillId="0" borderId="2" xfId="1" applyFont="1" applyBorder="1" applyAlignment="1">
      <alignment horizontal="center" vertical="center" wrapText="1"/>
    </xf>
    <xf numFmtId="0" fontId="28" fillId="0" borderId="45" xfId="1" applyFont="1" applyFill="1" applyBorder="1" applyAlignment="1">
      <alignment horizontal="center" vertical="center" wrapText="1"/>
    </xf>
    <xf numFmtId="0" fontId="28" fillId="0" borderId="46" xfId="1" applyFont="1" applyFill="1" applyBorder="1" applyAlignment="1">
      <alignment horizontal="center" vertical="center" wrapText="1"/>
    </xf>
    <xf numFmtId="0" fontId="17" fillId="0" borderId="8" xfId="1" applyFont="1" applyBorder="1" applyAlignment="1">
      <alignment horizontal="center" vertical="center" wrapText="1"/>
    </xf>
    <xf numFmtId="0" fontId="17" fillId="0" borderId="60" xfId="1" applyFont="1" applyBorder="1" applyAlignment="1">
      <alignment horizontal="center" vertical="center" wrapText="1"/>
    </xf>
    <xf numFmtId="0" fontId="28" fillId="0" borderId="2" xfId="1" applyFont="1" applyBorder="1" applyAlignment="1">
      <alignment horizontal="center" vertical="center" wrapText="1"/>
    </xf>
    <xf numFmtId="0" fontId="17" fillId="0" borderId="61" xfId="1" applyFont="1" applyBorder="1" applyAlignment="1">
      <alignment horizontal="center" vertical="center" wrapText="1"/>
    </xf>
    <xf numFmtId="0" fontId="28" fillId="0" borderId="2" xfId="1" applyFont="1" applyFill="1" applyBorder="1" applyAlignment="1">
      <alignment horizontal="center" vertical="center" wrapText="1"/>
    </xf>
    <xf numFmtId="0" fontId="28" fillId="0" borderId="60" xfId="1" applyFont="1" applyBorder="1" applyAlignment="1">
      <alignment horizontal="center" vertical="center" wrapText="1"/>
    </xf>
    <xf numFmtId="0" fontId="28" fillId="0" borderId="61" xfId="1" applyFont="1" applyBorder="1" applyAlignment="1">
      <alignment horizontal="center" vertical="center" wrapText="1"/>
    </xf>
    <xf numFmtId="0" fontId="28" fillId="4" borderId="45" xfId="1" applyFont="1" applyFill="1" applyBorder="1" applyAlignment="1">
      <alignment horizontal="center" vertical="center" wrapText="1"/>
    </xf>
    <xf numFmtId="0" fontId="28" fillId="4" borderId="46" xfId="1" applyFont="1" applyFill="1" applyBorder="1" applyAlignment="1">
      <alignment horizontal="center" vertical="center" wrapText="1"/>
    </xf>
    <xf numFmtId="0" fontId="28" fillId="0" borderId="8" xfId="1" applyFont="1" applyBorder="1" applyAlignment="1">
      <alignment horizontal="center" vertical="center" wrapText="1"/>
    </xf>
    <xf numFmtId="0" fontId="28" fillId="0" borderId="63" xfId="1" applyFont="1" applyBorder="1" applyAlignment="1">
      <alignment horizontal="center" vertical="center" wrapText="1"/>
    </xf>
    <xf numFmtId="0" fontId="17" fillId="3" borderId="2" xfId="1" applyFont="1" applyFill="1" applyBorder="1" applyAlignment="1">
      <alignment horizontal="center" vertical="center"/>
    </xf>
    <xf numFmtId="0" fontId="17" fillId="3" borderId="2" xfId="1" quotePrefix="1" applyFont="1" applyFill="1" applyBorder="1" applyAlignment="1">
      <alignment horizontal="center" vertical="center"/>
    </xf>
    <xf numFmtId="0" fontId="63" fillId="11" borderId="60" xfId="1" applyFont="1" applyFill="1" applyBorder="1" applyAlignment="1">
      <alignment horizontal="center" vertical="center" wrapText="1"/>
    </xf>
    <xf numFmtId="0" fontId="63" fillId="11" borderId="61" xfId="1" applyFont="1" applyFill="1" applyBorder="1" applyAlignment="1">
      <alignment horizontal="center" vertical="center" wrapText="1"/>
    </xf>
    <xf numFmtId="0" fontId="63" fillId="4" borderId="2" xfId="1" applyFont="1" applyFill="1" applyBorder="1" applyAlignment="1">
      <alignment horizontal="center" vertical="center" wrapText="1"/>
    </xf>
    <xf numFmtId="0" fontId="31" fillId="4" borderId="45" xfId="1" applyFont="1" applyFill="1" applyBorder="1" applyAlignment="1">
      <alignment horizontal="center" vertical="center" wrapText="1"/>
    </xf>
    <xf numFmtId="0" fontId="31" fillId="4" borderId="46" xfId="1" applyFont="1" applyFill="1" applyBorder="1" applyAlignment="1">
      <alignment horizontal="center" vertical="center" wrapText="1"/>
    </xf>
    <xf numFmtId="0" fontId="63" fillId="0" borderId="8" xfId="1" applyFont="1" applyBorder="1" applyAlignment="1">
      <alignment horizontal="center" vertical="center" wrapText="1"/>
    </xf>
    <xf numFmtId="0" fontId="63" fillId="0" borderId="60" xfId="1" applyFont="1" applyBorder="1" applyAlignment="1">
      <alignment horizontal="center" vertical="center" wrapText="1"/>
    </xf>
    <xf numFmtId="0" fontId="31" fillId="0" borderId="45" xfId="1" applyFont="1" applyBorder="1" applyAlignment="1">
      <alignment horizontal="center" vertical="center" wrapText="1"/>
    </xf>
    <xf numFmtId="0" fontId="31" fillId="0" borderId="46" xfId="1" applyFont="1" applyBorder="1" applyAlignment="1">
      <alignment horizontal="center" vertical="center" wrapText="1"/>
    </xf>
    <xf numFmtId="0" fontId="63" fillId="4" borderId="60" xfId="1" applyFont="1" applyFill="1" applyBorder="1" applyAlignment="1">
      <alignment horizontal="center" vertical="center" wrapText="1"/>
    </xf>
    <xf numFmtId="0" fontId="63" fillId="4" borderId="61" xfId="1" applyFont="1" applyFill="1" applyBorder="1" applyAlignment="1">
      <alignment horizontal="center" vertical="center" wrapText="1"/>
    </xf>
    <xf numFmtId="0" fontId="63" fillId="0" borderId="2" xfId="1" applyFont="1" applyBorder="1" applyAlignment="1">
      <alignment horizontal="center" vertical="center" wrapText="1"/>
    </xf>
    <xf numFmtId="0" fontId="63" fillId="0" borderId="61" xfId="1" applyFont="1" applyBorder="1" applyAlignment="1">
      <alignment horizontal="center" vertical="center" wrapText="1"/>
    </xf>
    <xf numFmtId="0" fontId="63" fillId="0" borderId="54" xfId="1" applyFont="1" applyBorder="1" applyAlignment="1">
      <alignment horizontal="center" vertical="center" wrapText="1"/>
    </xf>
    <xf numFmtId="0" fontId="63" fillId="0" borderId="53" xfId="1" applyFont="1" applyBorder="1" applyAlignment="1">
      <alignment horizontal="center" vertical="center" wrapText="1"/>
    </xf>
    <xf numFmtId="0" fontId="63" fillId="11" borderId="38" xfId="1" applyFont="1" applyFill="1" applyBorder="1" applyAlignment="1">
      <alignment horizontal="center" vertical="center" wrapText="1"/>
    </xf>
    <xf numFmtId="0" fontId="63" fillId="11" borderId="54" xfId="1" applyFont="1" applyFill="1" applyBorder="1" applyAlignment="1">
      <alignment horizontal="center" vertical="center" wrapText="1"/>
    </xf>
    <xf numFmtId="0" fontId="63" fillId="11" borderId="43" xfId="1" applyFont="1" applyFill="1" applyBorder="1" applyAlignment="1">
      <alignment horizontal="center" vertical="center" wrapText="1"/>
    </xf>
    <xf numFmtId="0" fontId="63" fillId="11" borderId="2" xfId="1" applyFont="1" applyFill="1" applyBorder="1" applyAlignment="1">
      <alignment horizontal="center" vertical="center" wrapText="1"/>
    </xf>
    <xf numFmtId="0" fontId="58" fillId="0" borderId="2" xfId="1" applyFont="1" applyBorder="1" applyAlignment="1">
      <alignment horizontal="center" vertical="center" wrapText="1"/>
    </xf>
    <xf numFmtId="0" fontId="58" fillId="0" borderId="45" xfId="1" applyFont="1" applyBorder="1" applyAlignment="1">
      <alignment horizontal="center" vertical="center" wrapText="1"/>
    </xf>
    <xf numFmtId="0" fontId="58" fillId="27" borderId="2" xfId="1" applyFont="1" applyFill="1" applyBorder="1" applyAlignment="1">
      <alignment horizontal="center" vertical="center" wrapText="1"/>
    </xf>
    <xf numFmtId="0" fontId="58" fillId="9" borderId="45" xfId="1" applyFont="1" applyFill="1" applyBorder="1" applyAlignment="1">
      <alignment horizontal="center" vertical="center"/>
    </xf>
    <xf numFmtId="0" fontId="58" fillId="9" borderId="46" xfId="1" applyFont="1" applyFill="1" applyBorder="1" applyAlignment="1">
      <alignment horizontal="center" vertical="center"/>
    </xf>
    <xf numFmtId="0" fontId="58" fillId="9" borderId="30" xfId="1" applyFont="1" applyFill="1" applyBorder="1" applyAlignment="1">
      <alignment horizontal="center" vertical="center"/>
    </xf>
    <xf numFmtId="0" fontId="58" fillId="9" borderId="2" xfId="1" applyFont="1" applyFill="1" applyBorder="1" applyAlignment="1">
      <alignment horizontal="center" vertical="center"/>
    </xf>
    <xf numFmtId="0" fontId="19" fillId="15" borderId="2" xfId="1" applyFont="1" applyFill="1" applyBorder="1" applyAlignment="1">
      <alignment horizontal="center" vertical="center" wrapText="1"/>
    </xf>
    <xf numFmtId="0" fontId="58" fillId="0" borderId="46" xfId="1" applyFont="1" applyBorder="1" applyAlignment="1">
      <alignment horizontal="center" vertical="center" wrapText="1"/>
    </xf>
    <xf numFmtId="0" fontId="58" fillId="15" borderId="2" xfId="1" applyFont="1" applyFill="1" applyBorder="1" applyAlignment="1">
      <alignment horizontal="center" vertical="center" wrapText="1"/>
    </xf>
    <xf numFmtId="0" fontId="58" fillId="0" borderId="0" xfId="1" applyFont="1" applyAlignment="1">
      <alignment horizontal="center" wrapText="1"/>
    </xf>
    <xf numFmtId="0" fontId="2" fillId="23" borderId="2" xfId="1" applyFont="1" applyFill="1" applyBorder="1" applyAlignment="1">
      <alignment horizontal="center"/>
    </xf>
    <xf numFmtId="0" fontId="63" fillId="5" borderId="10" xfId="1" applyFont="1" applyFill="1" applyBorder="1" applyAlignment="1">
      <alignment horizontal="center" vertical="center" wrapText="1"/>
    </xf>
    <xf numFmtId="0" fontId="63" fillId="5" borderId="18" xfId="1" applyFont="1" applyFill="1" applyBorder="1" applyAlignment="1">
      <alignment horizontal="center" vertical="center" wrapText="1"/>
    </xf>
    <xf numFmtId="0" fontId="63" fillId="5" borderId="11" xfId="1" applyFont="1" applyFill="1" applyBorder="1" applyAlignment="1">
      <alignment horizontal="center" vertical="center" wrapText="1"/>
    </xf>
    <xf numFmtId="0" fontId="63" fillId="5" borderId="12" xfId="1" applyFont="1" applyFill="1" applyBorder="1" applyAlignment="1">
      <alignment horizontal="center" vertical="center" wrapText="1"/>
    </xf>
    <xf numFmtId="0" fontId="63" fillId="11" borderId="12" xfId="1" applyFont="1" applyFill="1" applyBorder="1" applyAlignment="1">
      <alignment horizontal="center" vertical="center" wrapText="1"/>
    </xf>
    <xf numFmtId="0" fontId="63" fillId="11" borderId="13" xfId="1" applyFont="1" applyFill="1" applyBorder="1" applyAlignment="1">
      <alignment horizontal="center" vertical="center" wrapText="1"/>
    </xf>
    <xf numFmtId="0" fontId="63" fillId="0" borderId="12" xfId="1" applyFont="1" applyBorder="1" applyAlignment="1">
      <alignment horizontal="center" vertical="center" wrapText="1"/>
    </xf>
    <xf numFmtId="0" fontId="63" fillId="0" borderId="13" xfId="1" applyFont="1" applyBorder="1" applyAlignment="1">
      <alignment horizontal="center" vertical="center" wrapText="1"/>
    </xf>
    <xf numFmtId="0" fontId="63" fillId="11" borderId="10" xfId="1" applyFont="1" applyFill="1" applyBorder="1" applyAlignment="1">
      <alignment horizontal="center" vertical="center" wrapText="1"/>
    </xf>
    <xf numFmtId="0" fontId="63" fillId="11" borderId="21" xfId="1" applyFont="1" applyFill="1" applyBorder="1" applyAlignment="1">
      <alignment horizontal="center" vertical="center" wrapText="1"/>
    </xf>
    <xf numFmtId="0" fontId="63" fillId="0" borderId="10" xfId="1" applyFont="1" applyBorder="1" applyAlignment="1">
      <alignment horizontal="center" vertical="center" wrapText="1"/>
    </xf>
    <xf numFmtId="0" fontId="63" fillId="0" borderId="15" xfId="1" applyFont="1" applyBorder="1" applyAlignment="1">
      <alignment horizontal="center" vertical="center" wrapText="1"/>
    </xf>
    <xf numFmtId="0" fontId="63" fillId="0" borderId="21" xfId="1" applyFont="1" applyBorder="1" applyAlignment="1">
      <alignment horizontal="center" vertical="center" wrapText="1"/>
    </xf>
    <xf numFmtId="0" fontId="63" fillId="0" borderId="14" xfId="1" applyFont="1" applyBorder="1" applyAlignment="1">
      <alignment horizontal="center" vertical="center" wrapText="1"/>
    </xf>
    <xf numFmtId="0" fontId="63" fillId="0" borderId="16" xfId="1" applyFont="1" applyBorder="1" applyAlignment="1">
      <alignment horizontal="center" vertical="center" wrapText="1"/>
    </xf>
    <xf numFmtId="0" fontId="63" fillId="0" borderId="17" xfId="1" applyFont="1" applyBorder="1" applyAlignment="1">
      <alignment horizontal="center" vertical="center" wrapText="1"/>
    </xf>
    <xf numFmtId="0" fontId="63" fillId="0" borderId="18" xfId="1" applyFont="1" applyBorder="1" applyAlignment="1">
      <alignment horizontal="center" vertical="center" wrapText="1"/>
    </xf>
    <xf numFmtId="0" fontId="63" fillId="0" borderId="19" xfId="1" applyFont="1" applyBorder="1" applyAlignment="1">
      <alignment horizontal="center" vertical="center" wrapText="1"/>
    </xf>
    <xf numFmtId="0" fontId="63" fillId="0" borderId="20" xfId="1" applyFont="1" applyBorder="1" applyAlignment="1">
      <alignment horizontal="center" vertical="center" wrapText="1"/>
    </xf>
    <xf numFmtId="0" fontId="63" fillId="0" borderId="11" xfId="1" applyFont="1" applyBorder="1" applyAlignment="1">
      <alignment horizontal="center" vertical="center" wrapText="1"/>
    </xf>
    <xf numFmtId="0" fontId="63" fillId="11" borderId="11" xfId="1" applyFont="1" applyFill="1" applyBorder="1" applyAlignment="1">
      <alignment horizontal="center" vertical="center" wrapText="1"/>
    </xf>
    <xf numFmtId="0" fontId="2" fillId="0" borderId="30" xfId="1" applyFont="1" applyBorder="1" applyAlignment="1">
      <alignment horizontal="left" wrapText="1"/>
    </xf>
    <xf numFmtId="0" fontId="63" fillId="5" borderId="13" xfId="1" applyFont="1" applyFill="1" applyBorder="1" applyAlignment="1">
      <alignment horizontal="center" vertical="center" wrapText="1"/>
    </xf>
    <xf numFmtId="0" fontId="63" fillId="0" borderId="0" xfId="1" applyFont="1" applyAlignment="1">
      <alignment horizontal="center" vertical="center" wrapText="1"/>
    </xf>
    <xf numFmtId="0" fontId="63" fillId="5" borderId="21" xfId="1" applyFont="1" applyFill="1" applyBorder="1" applyAlignment="1">
      <alignment horizontal="center" vertical="center" wrapText="1"/>
    </xf>
    <xf numFmtId="0" fontId="57" fillId="0" borderId="45" xfId="1" applyFont="1" applyBorder="1" applyAlignment="1">
      <alignment horizontal="center" vertical="center" wrapText="1"/>
    </xf>
    <xf numFmtId="0" fontId="57" fillId="0" borderId="46" xfId="1" applyFont="1" applyBorder="1" applyAlignment="1">
      <alignment horizontal="center" vertical="center" wrapText="1"/>
    </xf>
    <xf numFmtId="0" fontId="19" fillId="0" borderId="45" xfId="1" applyFont="1" applyBorder="1" applyAlignment="1">
      <alignment horizontal="center" vertical="center" wrapText="1"/>
    </xf>
    <xf numFmtId="0" fontId="19" fillId="0" borderId="46" xfId="1" applyFont="1" applyBorder="1" applyAlignment="1">
      <alignment horizontal="center" vertical="center" wrapText="1"/>
    </xf>
    <xf numFmtId="0" fontId="17" fillId="0" borderId="24"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20" xfId="1" applyFont="1" applyBorder="1" applyAlignment="1">
      <alignment horizontal="center" vertical="center" wrapText="1"/>
    </xf>
    <xf numFmtId="0" fontId="28" fillId="0" borderId="24" xfId="1" applyFont="1" applyBorder="1" applyAlignment="1">
      <alignment horizontal="center" vertical="center" wrapText="1"/>
    </xf>
    <xf numFmtId="0" fontId="28" fillId="0" borderId="29" xfId="1" applyFont="1" applyBorder="1" applyAlignment="1">
      <alignment horizontal="center" vertical="center" wrapText="1"/>
    </xf>
    <xf numFmtId="0" fontId="28" fillId="0" borderId="18" xfId="1" applyFont="1" applyBorder="1" applyAlignment="1">
      <alignment horizontal="center" vertical="center" wrapText="1"/>
    </xf>
    <xf numFmtId="0" fontId="28" fillId="0" borderId="20" xfId="1" applyFont="1" applyBorder="1" applyAlignment="1">
      <alignment horizontal="center" vertical="center" wrapText="1"/>
    </xf>
    <xf numFmtId="0" fontId="17" fillId="0" borderId="14"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9" xfId="1" applyFont="1" applyBorder="1" applyAlignment="1">
      <alignment horizontal="center" vertical="center" wrapText="1"/>
    </xf>
    <xf numFmtId="0" fontId="17" fillId="17" borderId="24" xfId="1" applyFont="1" applyFill="1" applyBorder="1" applyAlignment="1">
      <alignment horizontal="center" vertical="center" wrapText="1"/>
    </xf>
    <xf numFmtId="0" fontId="17" fillId="17" borderId="29" xfId="1" applyFont="1" applyFill="1" applyBorder="1" applyAlignment="1">
      <alignment horizontal="center" vertical="center" wrapText="1"/>
    </xf>
    <xf numFmtId="0" fontId="17" fillId="17" borderId="18" xfId="1" applyFont="1" applyFill="1" applyBorder="1" applyAlignment="1">
      <alignment horizontal="center" vertical="center" wrapText="1"/>
    </xf>
    <xf numFmtId="0" fontId="17" fillId="17" borderId="20" xfId="1" applyFont="1" applyFill="1" applyBorder="1" applyAlignment="1">
      <alignment horizontal="center" vertical="center" wrapText="1"/>
    </xf>
    <xf numFmtId="0" fontId="17" fillId="17" borderId="14" xfId="1" applyFont="1" applyFill="1" applyBorder="1" applyAlignment="1">
      <alignment horizontal="center" vertical="center" wrapText="1"/>
    </xf>
    <xf numFmtId="0" fontId="17" fillId="17" borderId="17" xfId="1" applyFont="1" applyFill="1" applyBorder="1" applyAlignment="1">
      <alignment horizontal="center" vertical="center" wrapText="1"/>
    </xf>
    <xf numFmtId="0" fontId="17" fillId="0" borderId="11" xfId="1" applyFont="1" applyBorder="1" applyAlignment="1">
      <alignment horizontal="center" vertical="center" wrapText="1"/>
    </xf>
    <xf numFmtId="0" fontId="1" fillId="0" borderId="13" xfId="1" applyBorder="1"/>
    <xf numFmtId="0" fontId="1" fillId="0" borderId="2" xfId="1" applyBorder="1" applyAlignment="1">
      <alignment horizontal="center"/>
    </xf>
    <xf numFmtId="0" fontId="17" fillId="17" borderId="11" xfId="1" applyFont="1" applyFill="1" applyBorder="1" applyAlignment="1">
      <alignment horizontal="center" vertical="center" wrapText="1"/>
    </xf>
    <xf numFmtId="0" fontId="17" fillId="17" borderId="13" xfId="1" applyFont="1" applyFill="1" applyBorder="1" applyAlignment="1">
      <alignment horizontal="center" vertical="center" wrapText="1"/>
    </xf>
    <xf numFmtId="0" fontId="17" fillId="0" borderId="1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20" xfId="1" applyFont="1" applyBorder="1" applyAlignment="1">
      <alignment horizontal="center" vertical="center" wrapText="1"/>
    </xf>
    <xf numFmtId="0" fontId="17" fillId="0" borderId="10"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21" xfId="1" applyFont="1" applyBorder="1" applyAlignment="1">
      <alignment horizontal="center" vertical="center" wrapText="1"/>
    </xf>
    <xf numFmtId="0" fontId="28" fillId="0" borderId="14" xfId="1" applyFont="1" applyBorder="1" applyAlignment="1">
      <alignment horizontal="center" vertical="center" wrapText="1"/>
    </xf>
    <xf numFmtId="0" fontId="28" fillId="0" borderId="17" xfId="1" applyFont="1" applyBorder="1" applyAlignment="1">
      <alignment horizontal="center" vertical="center" wrapText="1"/>
    </xf>
    <xf numFmtId="0" fontId="18" fillId="0" borderId="14" xfId="1" applyFont="1" applyBorder="1" applyAlignment="1">
      <alignment horizontal="center" vertical="center" wrapText="1"/>
    </xf>
    <xf numFmtId="0" fontId="18" fillId="0" borderId="17"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20" xfId="1" applyFont="1" applyBorder="1" applyAlignment="1">
      <alignment horizontal="center" vertical="center" wrapText="1"/>
    </xf>
    <xf numFmtId="0" fontId="18" fillId="3" borderId="14" xfId="1" applyFont="1" applyFill="1" applyBorder="1" applyAlignment="1">
      <alignment horizontal="center" vertical="center" wrapText="1"/>
    </xf>
    <xf numFmtId="0" fontId="18" fillId="3" borderId="17" xfId="1" applyFont="1" applyFill="1" applyBorder="1" applyAlignment="1">
      <alignment horizontal="center" vertical="center" wrapText="1"/>
    </xf>
    <xf numFmtId="0" fontId="18" fillId="3" borderId="24" xfId="1" applyFont="1" applyFill="1" applyBorder="1" applyAlignment="1">
      <alignment horizontal="center" vertical="center" wrapText="1"/>
    </xf>
    <xf numFmtId="0" fontId="18" fillId="3" borderId="0" xfId="1" applyFont="1" applyFill="1" applyAlignment="1">
      <alignment horizontal="center" vertical="center" wrapText="1"/>
    </xf>
    <xf numFmtId="0" fontId="18" fillId="3" borderId="29" xfId="1" applyFont="1" applyFill="1" applyBorder="1" applyAlignment="1">
      <alignment horizontal="center" vertical="center" wrapText="1"/>
    </xf>
    <xf numFmtId="0" fontId="18" fillId="3" borderId="18" xfId="1" applyFont="1" applyFill="1" applyBorder="1" applyAlignment="1">
      <alignment horizontal="center" vertical="center" wrapText="1"/>
    </xf>
    <xf numFmtId="0" fontId="18" fillId="3" borderId="20" xfId="1" applyFont="1" applyFill="1" applyBorder="1" applyAlignment="1">
      <alignment horizontal="center" vertical="center" wrapText="1"/>
    </xf>
    <xf numFmtId="0" fontId="17" fillId="18" borderId="14" xfId="1" applyFont="1" applyFill="1" applyBorder="1" applyAlignment="1">
      <alignment horizontal="center" vertical="center" wrapText="1"/>
    </xf>
    <xf numFmtId="0" fontId="17" fillId="18" borderId="17" xfId="1" applyFont="1" applyFill="1" applyBorder="1" applyAlignment="1">
      <alignment horizontal="center" vertical="center" wrapText="1"/>
    </xf>
    <xf numFmtId="0" fontId="17" fillId="18" borderId="24" xfId="1" applyFont="1" applyFill="1" applyBorder="1" applyAlignment="1">
      <alignment horizontal="center" vertical="center" wrapText="1"/>
    </xf>
    <xf numFmtId="0" fontId="17" fillId="18" borderId="29" xfId="1" applyFont="1" applyFill="1" applyBorder="1" applyAlignment="1">
      <alignment horizontal="center" vertical="center" wrapText="1"/>
    </xf>
    <xf numFmtId="0" fontId="17" fillId="18" borderId="18" xfId="1" applyFont="1" applyFill="1" applyBorder="1" applyAlignment="1">
      <alignment horizontal="center" vertical="center" wrapText="1"/>
    </xf>
    <xf numFmtId="0" fontId="17" fillId="18" borderId="20" xfId="1" applyFont="1" applyFill="1" applyBorder="1" applyAlignment="1">
      <alignment horizontal="center" vertical="center" wrapText="1"/>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7" fillId="0" borderId="12" xfId="1" applyFont="1" applyBorder="1" applyAlignment="1">
      <alignment horizontal="center" vertical="center" wrapText="1"/>
    </xf>
    <xf numFmtId="0" fontId="17" fillId="0" borderId="0" xfId="1" applyFont="1" applyAlignment="1">
      <alignment horizontal="center" vertical="center" wrapText="1"/>
    </xf>
    <xf numFmtId="0" fontId="9" fillId="0" borderId="11" xfId="1" applyFont="1" applyBorder="1" applyAlignment="1">
      <alignment horizontal="center" vertical="center" wrapText="1"/>
    </xf>
    <xf numFmtId="0" fontId="9" fillId="0" borderId="12" xfId="1" applyFont="1" applyBorder="1" applyAlignment="1">
      <alignment horizontal="center" vertical="center" wrapText="1"/>
    </xf>
    <xf numFmtId="0" fontId="28" fillId="0" borderId="14" xfId="1" applyFont="1" applyFill="1" applyBorder="1" applyAlignment="1">
      <alignment horizontal="center" vertical="center" wrapText="1"/>
    </xf>
    <xf numFmtId="0" fontId="28" fillId="0" borderId="17" xfId="1" applyFont="1" applyFill="1" applyBorder="1" applyAlignment="1">
      <alignment horizontal="center" vertical="center" wrapText="1"/>
    </xf>
    <xf numFmtId="0" fontId="28" fillId="0" borderId="18" xfId="1" applyFont="1" applyFill="1" applyBorder="1" applyAlignment="1">
      <alignment horizontal="center" vertical="center" wrapText="1"/>
    </xf>
    <xf numFmtId="0" fontId="28" fillId="0" borderId="20" xfId="1" applyFont="1" applyFill="1" applyBorder="1" applyAlignment="1">
      <alignment horizontal="center" vertical="center" wrapText="1"/>
    </xf>
    <xf numFmtId="0" fontId="9" fillId="0" borderId="16" xfId="1" applyFont="1" applyBorder="1" applyAlignment="1">
      <alignment horizontal="center" vertical="center" wrapText="1"/>
    </xf>
    <xf numFmtId="0" fontId="17" fillId="0" borderId="11" xfId="1" applyFont="1" applyFill="1" applyBorder="1" applyAlignment="1">
      <alignment horizontal="center" vertical="center" wrapText="1"/>
    </xf>
    <xf numFmtId="0" fontId="17" fillId="0" borderId="13" xfId="1" applyFont="1" applyFill="1" applyBorder="1" applyAlignment="1">
      <alignment horizontal="center" vertical="center" wrapText="1"/>
    </xf>
    <xf numFmtId="0" fontId="58" fillId="18" borderId="14" xfId="1" applyFont="1" applyFill="1" applyBorder="1" applyAlignment="1">
      <alignment horizontal="center" vertical="center" wrapText="1"/>
    </xf>
    <xf numFmtId="0" fontId="58" fillId="18" borderId="16" xfId="1" applyFont="1" applyFill="1" applyBorder="1" applyAlignment="1">
      <alignment horizontal="center" vertical="center" wrapText="1"/>
    </xf>
    <xf numFmtId="0" fontId="58" fillId="18" borderId="17" xfId="1" applyFont="1" applyFill="1" applyBorder="1" applyAlignment="1">
      <alignment horizontal="center" vertical="center" wrapText="1"/>
    </xf>
    <xf numFmtId="0" fontId="58" fillId="18" borderId="18" xfId="1" applyFont="1" applyFill="1" applyBorder="1" applyAlignment="1">
      <alignment horizontal="center" vertical="center" wrapText="1"/>
    </xf>
    <xf numFmtId="0" fontId="58" fillId="18" borderId="19" xfId="1" applyFont="1" applyFill="1" applyBorder="1" applyAlignment="1">
      <alignment horizontal="center" vertical="center" wrapText="1"/>
    </xf>
    <xf numFmtId="0" fontId="58" fillId="18" borderId="20" xfId="1" applyFont="1" applyFill="1" applyBorder="1" applyAlignment="1">
      <alignment horizontal="center" vertical="center" wrapText="1"/>
    </xf>
    <xf numFmtId="0" fontId="58" fillId="18" borderId="11" xfId="1" applyFont="1" applyFill="1" applyBorder="1" applyAlignment="1">
      <alignment horizontal="center" vertical="center" wrapText="1"/>
    </xf>
    <xf numFmtId="0" fontId="58" fillId="18" borderId="13" xfId="1" applyFont="1" applyFill="1" applyBorder="1" applyAlignment="1">
      <alignment horizontal="center" vertical="center" wrapText="1"/>
    </xf>
    <xf numFmtId="0" fontId="17" fillId="0" borderId="12" xfId="1" applyFont="1" applyFill="1" applyBorder="1" applyAlignment="1">
      <alignment horizontal="center" vertical="center" wrapText="1"/>
    </xf>
    <xf numFmtId="0" fontId="19" fillId="0" borderId="11" xfId="1" applyFont="1" applyBorder="1" applyAlignment="1">
      <alignment horizontal="center" vertical="center" wrapText="1"/>
    </xf>
    <xf numFmtId="0" fontId="19" fillId="0" borderId="12"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24" xfId="1" applyFont="1" applyBorder="1" applyAlignment="1">
      <alignment horizontal="center" vertical="center" wrapText="1"/>
    </xf>
    <xf numFmtId="0" fontId="9" fillId="0" borderId="0" xfId="1" applyFont="1" applyAlignment="1">
      <alignment horizontal="center" vertical="center" wrapText="1"/>
    </xf>
    <xf numFmtId="0" fontId="9" fillId="0" borderId="19" xfId="1" applyFont="1" applyBorder="1" applyAlignment="1">
      <alignment horizontal="center" vertical="center" wrapText="1"/>
    </xf>
    <xf numFmtId="0" fontId="9" fillId="17" borderId="14" xfId="1" applyFont="1" applyFill="1" applyBorder="1" applyAlignment="1">
      <alignment horizontal="center" vertical="center" wrapText="1"/>
    </xf>
    <xf numFmtId="0" fontId="9" fillId="17" borderId="17" xfId="1" applyFont="1" applyFill="1" applyBorder="1" applyAlignment="1">
      <alignment horizontal="center" vertical="center" wrapText="1"/>
    </xf>
    <xf numFmtId="0" fontId="9" fillId="17" borderId="18" xfId="1" applyFont="1" applyFill="1" applyBorder="1" applyAlignment="1">
      <alignment horizontal="center" vertical="center" wrapText="1"/>
    </xf>
    <xf numFmtId="0" fontId="9" fillId="17" borderId="20" xfId="1" applyFont="1" applyFill="1" applyBorder="1" applyAlignment="1">
      <alignment horizontal="center" vertical="center" wrapText="1"/>
    </xf>
    <xf numFmtId="0" fontId="2" fillId="0" borderId="0" xfId="1" applyFont="1" applyAlignment="1">
      <alignment horizontal="center" vertical="center"/>
    </xf>
    <xf numFmtId="0" fontId="46" fillId="0" borderId="0" xfId="1" applyFont="1" applyAlignment="1">
      <alignment horizontal="center"/>
    </xf>
    <xf numFmtId="0" fontId="34" fillId="0" borderId="2" xfId="1" applyFont="1" applyBorder="1" applyAlignment="1">
      <alignment horizontal="center" vertical="center"/>
    </xf>
    <xf numFmtId="0" fontId="34" fillId="0" borderId="8" xfId="1" applyFont="1" applyBorder="1" applyAlignment="1">
      <alignment horizontal="center" vertical="center" wrapText="1"/>
    </xf>
    <xf numFmtId="0" fontId="34" fillId="0" borderId="9" xfId="1" applyFont="1" applyBorder="1" applyAlignment="1">
      <alignment horizontal="center" vertical="center" wrapText="1"/>
    </xf>
    <xf numFmtId="0" fontId="9" fillId="0" borderId="0" xfId="1" applyFont="1" applyAlignment="1">
      <alignment horizontal="center" vertical="center"/>
    </xf>
    <xf numFmtId="0" fontId="24" fillId="0" borderId="0" xfId="1" applyFont="1" applyAlignment="1">
      <alignment horizontal="center" vertical="center"/>
    </xf>
    <xf numFmtId="0" fontId="34" fillId="0" borderId="45" xfId="1" applyFont="1" applyBorder="1" applyAlignment="1">
      <alignment horizontal="center" vertical="center"/>
    </xf>
    <xf numFmtId="0" fontId="34" fillId="0" borderId="30" xfId="1" applyFont="1" applyBorder="1" applyAlignment="1">
      <alignment horizontal="center" vertical="center"/>
    </xf>
    <xf numFmtId="0" fontId="34" fillId="0" borderId="46" xfId="1" applyFont="1" applyBorder="1" applyAlignment="1">
      <alignment horizontal="center" vertical="center"/>
    </xf>
    <xf numFmtId="0" fontId="34" fillId="0" borderId="2" xfId="1" applyFont="1" applyBorder="1" applyAlignment="1">
      <alignment horizontal="center" vertical="center" wrapText="1"/>
    </xf>
    <xf numFmtId="0" fontId="2" fillId="0" borderId="0" xfId="1" applyFont="1" applyAlignment="1">
      <alignment horizontal="center"/>
    </xf>
    <xf numFmtId="0" fontId="2" fillId="8" borderId="0" xfId="1" applyFont="1" applyFill="1" applyAlignment="1">
      <alignment horizontal="center"/>
    </xf>
    <xf numFmtId="49" fontId="35" fillId="0" borderId="2" xfId="1" applyNumberFormat="1" applyFont="1" applyBorder="1" applyAlignment="1">
      <alignment horizontal="center" vertical="center" wrapText="1"/>
    </xf>
    <xf numFmtId="0" fontId="31" fillId="0" borderId="0" xfId="1" applyFont="1" applyAlignment="1">
      <alignment horizontal="center" vertical="center"/>
    </xf>
    <xf numFmtId="0" fontId="37" fillId="0" borderId="0" xfId="1" applyFont="1" applyAlignment="1">
      <alignment horizontal="center" vertical="center"/>
    </xf>
    <xf numFmtId="0" fontId="9" fillId="8" borderId="0" xfId="1" applyFont="1" applyFill="1" applyAlignment="1">
      <alignment horizontal="center" vertical="center" wrapText="1"/>
    </xf>
    <xf numFmtId="165" fontId="31" fillId="0" borderId="46" xfId="13" applyFont="1" applyFill="1" applyBorder="1" applyAlignment="1">
      <alignment horizontal="center" vertical="center" wrapText="1"/>
    </xf>
    <xf numFmtId="165" fontId="31" fillId="0" borderId="2" xfId="13" applyFont="1" applyBorder="1" applyAlignment="1">
      <alignment horizontal="center" vertical="center"/>
    </xf>
    <xf numFmtId="0" fontId="9" fillId="8" borderId="0" xfId="1" applyFont="1" applyFill="1" applyAlignment="1">
      <alignment horizontal="center" vertical="center"/>
    </xf>
    <xf numFmtId="0" fontId="2" fillId="0" borderId="2" xfId="1" applyFont="1" applyBorder="1" applyAlignment="1">
      <alignment horizontal="center" vertical="center"/>
    </xf>
    <xf numFmtId="0" fontId="26" fillId="0" borderId="45" xfId="1" applyFont="1" applyBorder="1" applyAlignment="1">
      <alignment horizontal="center" vertical="center" wrapText="1"/>
    </xf>
    <xf numFmtId="0" fontId="26" fillId="0" borderId="30" xfId="1" applyFont="1" applyBorder="1" applyAlignment="1">
      <alignment horizontal="center" vertical="center" wrapText="1"/>
    </xf>
    <xf numFmtId="0" fontId="26" fillId="0" borderId="46" xfId="1" applyFont="1" applyBorder="1" applyAlignment="1">
      <alignment horizontal="center" vertical="center" wrapText="1"/>
    </xf>
    <xf numFmtId="0" fontId="23" fillId="0" borderId="45" xfId="1" applyFont="1" applyBorder="1" applyAlignment="1">
      <alignment horizontal="center" vertical="center" wrapText="1"/>
    </xf>
    <xf numFmtId="0" fontId="23" fillId="0" borderId="30" xfId="1" applyFont="1" applyBorder="1" applyAlignment="1">
      <alignment horizontal="center" vertical="center" wrapText="1"/>
    </xf>
    <xf numFmtId="0" fontId="23" fillId="0" borderId="46" xfId="1" applyFont="1" applyBorder="1" applyAlignment="1">
      <alignment horizontal="center" vertical="center" wrapText="1"/>
    </xf>
    <xf numFmtId="0" fontId="17" fillId="4" borderId="15" xfId="1" applyFont="1" applyFill="1" applyBorder="1" applyAlignment="1">
      <alignment horizontal="center" vertical="center"/>
    </xf>
    <xf numFmtId="0" fontId="17" fillId="4" borderId="21" xfId="1" applyFont="1" applyFill="1" applyBorder="1" applyAlignment="1">
      <alignment horizontal="center" vertical="center"/>
    </xf>
    <xf numFmtId="0" fontId="17" fillId="5" borderId="14" xfId="1" applyFont="1" applyFill="1" applyBorder="1" applyAlignment="1">
      <alignment horizontal="center" vertical="center" wrapText="1"/>
    </xf>
    <xf numFmtId="0" fontId="17" fillId="5" borderId="16" xfId="1" applyFont="1" applyFill="1" applyBorder="1" applyAlignment="1">
      <alignment horizontal="center" vertical="center" wrapText="1"/>
    </xf>
    <xf numFmtId="0" fontId="17" fillId="5" borderId="17" xfId="1" applyFont="1" applyFill="1" applyBorder="1" applyAlignment="1">
      <alignment horizontal="center" vertical="center" wrapText="1"/>
    </xf>
    <xf numFmtId="0" fontId="17" fillId="5" borderId="18" xfId="1" applyFont="1" applyFill="1" applyBorder="1" applyAlignment="1">
      <alignment horizontal="center" vertical="center" wrapText="1"/>
    </xf>
    <xf numFmtId="0" fontId="17" fillId="5" borderId="19" xfId="1" applyFont="1" applyFill="1" applyBorder="1" applyAlignment="1">
      <alignment horizontal="center" vertical="center" wrapText="1"/>
    </xf>
    <xf numFmtId="0" fontId="17" fillId="5" borderId="20" xfId="1" applyFont="1" applyFill="1" applyBorder="1" applyAlignment="1">
      <alignment horizontal="center" vertical="center" wrapText="1"/>
    </xf>
    <xf numFmtId="0" fontId="18" fillId="0" borderId="11" xfId="1" applyFont="1" applyBorder="1" applyAlignment="1">
      <alignment horizontal="center" vertical="center" wrapText="1"/>
    </xf>
    <xf numFmtId="0" fontId="18" fillId="0" borderId="12" xfId="1" applyFont="1" applyBorder="1" applyAlignment="1">
      <alignment horizontal="center" vertical="center" wrapText="1"/>
    </xf>
    <xf numFmtId="0" fontId="18" fillId="0" borderId="13" xfId="1" applyFont="1" applyBorder="1" applyAlignment="1">
      <alignment horizontal="center" vertical="center" wrapText="1"/>
    </xf>
    <xf numFmtId="0" fontId="17" fillId="5" borderId="11" xfId="1" applyFont="1" applyFill="1" applyBorder="1" applyAlignment="1">
      <alignment horizontal="center" vertical="center" wrapText="1"/>
    </xf>
    <xf numFmtId="0" fontId="17" fillId="5" borderId="12" xfId="1" applyFont="1" applyFill="1" applyBorder="1" applyAlignment="1">
      <alignment horizontal="center" vertical="center" wrapText="1"/>
    </xf>
    <xf numFmtId="0" fontId="17" fillId="5" borderId="13" xfId="1" applyFont="1" applyFill="1" applyBorder="1" applyAlignment="1">
      <alignment horizontal="center" vertical="center" wrapText="1"/>
    </xf>
    <xf numFmtId="0" fontId="58" fillId="5" borderId="18" xfId="1" applyFont="1" applyFill="1" applyBorder="1" applyAlignment="1">
      <alignment horizontal="center" vertical="center" wrapText="1"/>
    </xf>
    <xf numFmtId="0" fontId="58" fillId="5" borderId="19" xfId="1" applyFont="1" applyFill="1" applyBorder="1" applyAlignment="1">
      <alignment horizontal="center" vertical="center" wrapText="1"/>
    </xf>
    <xf numFmtId="0" fontId="58" fillId="5" borderId="20" xfId="1" applyFont="1" applyFill="1" applyBorder="1" applyAlignment="1">
      <alignment horizontal="center" vertical="center" wrapText="1"/>
    </xf>
    <xf numFmtId="0" fontId="9" fillId="0" borderId="0" xfId="1" applyFont="1" applyAlignment="1">
      <alignment horizontal="center"/>
    </xf>
    <xf numFmtId="0" fontId="2" fillId="0" borderId="0" xfId="1" applyFont="1" applyAlignment="1">
      <alignment horizontal="center" vertical="center" wrapText="1"/>
    </xf>
  </cellXfs>
  <cellStyles count="34">
    <cellStyle name="ex58" xfId="31"/>
    <cellStyle name="ex58 2" xfId="15"/>
    <cellStyle name="ex60" xfId="5"/>
    <cellStyle name="ex61" xfId="6"/>
    <cellStyle name="ex62" xfId="7"/>
    <cellStyle name="ex63" xfId="8"/>
    <cellStyle name="ex65" xfId="9"/>
    <cellStyle name="ex66" xfId="28"/>
    <cellStyle name="ex66 3" xfId="10"/>
    <cellStyle name="ex67" xfId="11"/>
    <cellStyle name="ex68" xfId="12"/>
    <cellStyle name="ex73" xfId="16"/>
    <cellStyle name="st40" xfId="26"/>
    <cellStyle name="xl_top_header" xfId="3"/>
    <cellStyle name="xl_top_left_header" xfId="2"/>
    <cellStyle name="xl28" xfId="30"/>
    <cellStyle name="xl38" xfId="17"/>
    <cellStyle name="xl39" xfId="19"/>
    <cellStyle name="xl42" xfId="23"/>
    <cellStyle name="xl42 3" xfId="24"/>
    <cellStyle name="xl44 3" xfId="20"/>
    <cellStyle name="xl45" xfId="33"/>
    <cellStyle name="Обычный" xfId="0" builtinId="0"/>
    <cellStyle name="Обычный 2" xfId="1"/>
    <cellStyle name="Обычный_Нераспределенная  субсидия" xfId="18"/>
    <cellStyle name="Обычный_Нераспределенные  иные  МБТ" xfId="14"/>
    <cellStyle name="Обычный_Проверочная  таблица  к  отчету" xfId="25"/>
    <cellStyle name="Обычный_Проверочная  таблица  к  отчету_1" xfId="27"/>
    <cellStyle name="Обычный_Проверочная  таблица  к  отчету_2" xfId="29"/>
    <cellStyle name="Обычный_Субвенция  на  полномочия" xfId="21"/>
    <cellStyle name="Обычный_Субвенция  на  полномочия_факт" xfId="22"/>
    <cellStyle name="Финансовый" xfId="32" builtinId="3"/>
    <cellStyle name="Финансовый 10" xfId="4"/>
    <cellStyle name="Финансовый 2" xfId="13"/>
  </cellStyles>
  <dxfs count="0"/>
  <tableStyles count="0" defaultTableStyle="TableStyleMedium2" defaultPivotStyle="PivotStyleLight16"/>
  <colors>
    <mruColors>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Raygroup\2024%20%20&#1043;&#1054;&#1044;\&#1052;&#1077;&#1078;&#1073;&#1102;&#1076;&#1078;&#1077;&#1090;&#1085;&#1099;&#1077;%20%20&#1090;&#1088;&#1072;&#1085;&#1089;&#1092;&#1077;&#1088;&#1090;&#1099;%20%202024_&#1095;&#1072;&#1089;&#1090;&#1100;%20%20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Raygroup\2024%20%20&#1043;&#1054;&#1044;\&#1052;&#1077;&#1078;&#1073;&#1102;&#1076;&#1078;&#1077;&#1090;&#1085;&#1099;&#1077;%20%20&#1090;&#1088;&#1072;&#1085;&#1089;&#1092;&#1077;&#1088;&#1090;&#1099;%20%202024_&#1095;&#1072;&#1089;&#1090;&#1100;%20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равнение  ФП"/>
      <sheetName val="Субвенция,  иные  МБТ"/>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 на выравнив._МР_план"/>
      <sheetName val="Приложение на выравнив._МР_факт"/>
      <sheetName val="Приложение на выравнив._БП_план"/>
      <sheetName val="Приложение на выравнив._БП_факт"/>
      <sheetName val="Приложение на сбаланс._БП_план"/>
      <sheetName val="Приложение по субвенции_МР_план"/>
      <sheetName val="Вставка  в  закон_2024"/>
      <sheetName val="Вставка  в  закон_2025-2026"/>
      <sheetName val="Приложение по субвенции_МР_факт"/>
      <sheetName val="Приложение по субвении_БП_план"/>
      <sheetName val="Приложение по субвении_БП_факт"/>
      <sheetName val="Перечень субсидий_план"/>
      <sheetName val="Перечень субсидий_факт"/>
      <sheetName val="Приложение  по  субсидии  план"/>
      <sheetName val="Приложение  по  ГП  1_план"/>
      <sheetName val="Приложение  по  ГП  3_план"/>
      <sheetName val="Приложение  по  ГП  4_план"/>
      <sheetName val="Приложение  по  ГП  5_план"/>
      <sheetName val="Приложение  по  ГП  6_план"/>
      <sheetName val="Приложение  по  ГП  7_план "/>
      <sheetName val="Приложение  по  ГП  8_план"/>
      <sheetName val="Приложение  по  ГП  9_план"/>
      <sheetName val="Приложение  по  ГП  10_план"/>
      <sheetName val="Приложение  по  ГП  11_план"/>
      <sheetName val="Приложение  по  ГП  14_план"/>
      <sheetName val="Приложение  по  ГП  15_план"/>
      <sheetName val="Приложение  по  ГП  19_план"/>
      <sheetName val="Приложение  по  ГП  20_план"/>
      <sheetName val="Приложение  по  субсидии_январь"/>
      <sheetName val="Приложение  по  субсидии_март"/>
      <sheetName val="Приложение  по  субсидии_май"/>
      <sheetName val="Приложение  по  субсидии_июнь"/>
      <sheetName val="Приложение  по  ГП  1_факт"/>
      <sheetName val="Приложение  по  ГП  3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9_факт"/>
      <sheetName val="Приложение  по  ГП  10_факт"/>
      <sheetName val="Приложение  по  ГП  11_факт"/>
      <sheetName val="Приложение  по  ГП  14_факт"/>
      <sheetName val="Приложение  по  ГП  15_факт"/>
      <sheetName val="Приложение  по  ГП  17_факт"/>
      <sheetName val="Приложение  по  ГП  19_факт"/>
      <sheetName val="Приложение  по  ГП  20_факт"/>
      <sheetName val="Приложен. по субвенции_МР_план"/>
      <sheetName val="Приложен. по субвенции_МР_факт"/>
      <sheetName val="Дотация  поселениям_2024 - 2026"/>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3 - 2024"/>
      <sheetName val="МБТ  2023 - 2024_2"/>
      <sheetName val="Дотация  ОМС"/>
      <sheetName val="Итоги 2024-2026_для закона_план"/>
      <sheetName val="Итоги 2024-2026_для закона_ (2)"/>
      <sheetName val="Итоги 2024-2026_для закона_факт"/>
      <sheetName val="Утвержденный  объем  МБТ"/>
      <sheetName val="Утвержденный  объем  МБТ (2)"/>
      <sheetName val="Факт  средств  из  ОБ_год "/>
      <sheetName val="Отклонение руб.коп. от тыс.руб."/>
      <sheetName val="Сводная  таблица"/>
      <sheetName val="Приложение по субсидии_сентябрь"/>
      <sheetName val="Приложение  по  субсидии  факт"/>
      <sheetName val="доля  иных  МБТ_план"/>
      <sheetName val="доля  иных  МБТ_факт"/>
      <sheetName val="Приложение_перечень субсид_план"/>
      <sheetName val="Приложение_перечень субсид_факт"/>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лан по субвенции_МР_2024-2026"/>
      <sheetName val="Субвенция,  иные  МБТ_2024-2026"/>
      <sheetName val="Фонды 2024-2026_для закона_план"/>
      <sheetName val="Фонды 2023-2026_для закона_факт"/>
      <sheetName val="Фонды 2024-2026_для закона_ (2)"/>
      <sheetName val="Приложение  по  ГП  7_план"/>
      <sheetName val="Приложение  по  ГП  12_план"/>
      <sheetName val="Приложение  по  ГП  13_план"/>
      <sheetName val="Приложение  по  ГП  16_план"/>
      <sheetName val="Приложение  по  ГП  18_план"/>
      <sheetName val="Приложение  по  ГП  21_план "/>
      <sheetName val="Приложение  по  ГП  12_факт"/>
      <sheetName val="Приложение  по  ГП  13_факт"/>
      <sheetName val="Приложение  по  ГП  16_факт"/>
      <sheetName val="Приложение  по  ГП  18_факт"/>
      <sheetName val="Приложение  по  ГП  21_факт"/>
      <sheetName val="Итоги 2023-2026_для закона_факт"/>
      <sheetName val="Приложение  по  субсидии_______"/>
      <sheetName val="Приложение  по  ГП  17_план"/>
    </sheetNames>
    <sheetDataSet>
      <sheetData sheetId="0">
        <row r="9">
          <cell r="D9">
            <v>2834158.5890000002</v>
          </cell>
        </row>
      </sheetData>
      <sheetData sheetId="1"/>
      <sheetData sheetId="2">
        <row r="11">
          <cell r="E11">
            <v>158003.87700000001</v>
          </cell>
        </row>
      </sheetData>
      <sheetData sheetId="3">
        <row r="11">
          <cell r="K11">
            <v>158003.87700000001</v>
          </cell>
        </row>
        <row r="36">
          <cell r="P36">
            <v>3946106.3140000002</v>
          </cell>
          <cell r="Q36">
            <v>548842.70000000007</v>
          </cell>
        </row>
      </sheetData>
      <sheetData sheetId="4"/>
      <sheetData sheetId="5">
        <row r="33">
          <cell r="AB33">
            <v>28250609.403970003</v>
          </cell>
        </row>
      </sheetData>
      <sheetData sheetId="6">
        <row r="8">
          <cell r="G8">
            <v>95159.443790000005</v>
          </cell>
        </row>
      </sheetData>
      <sheetData sheetId="7">
        <row r="35">
          <cell r="AF35">
            <v>85500</v>
          </cell>
        </row>
      </sheetData>
      <sheetData sheetId="8"/>
      <sheetData sheetId="9">
        <row r="28">
          <cell r="AW28">
            <v>966000</v>
          </cell>
        </row>
      </sheetData>
      <sheetData sheetId="10">
        <row r="8">
          <cell r="G8">
            <v>158003.87700000001</v>
          </cell>
        </row>
      </sheetData>
      <sheetData sheetId="11"/>
      <sheetData sheetId="12">
        <row r="8">
          <cell r="K8">
            <v>692268.61005999998</v>
          </cell>
        </row>
      </sheetData>
      <sheetData sheetId="13">
        <row r="33">
          <cell r="B33">
            <v>19958861804.549999</v>
          </cell>
        </row>
      </sheetData>
      <sheetData sheetId="14"/>
      <sheetData sheetId="15">
        <row r="8">
          <cell r="D8">
            <v>168548</v>
          </cell>
        </row>
      </sheetData>
      <sheetData sheetId="16">
        <row r="8">
          <cell r="C8">
            <v>0</v>
          </cell>
        </row>
      </sheetData>
      <sheetData sheetId="17">
        <row r="8">
          <cell r="D8">
            <v>168548</v>
          </cell>
        </row>
      </sheetData>
      <sheetData sheetId="18">
        <row r="12">
          <cell r="B12">
            <v>85</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row r="7">
          <cell r="C7" t="str">
            <v>Государственная программа Липецкой области "Социальная поддержка граждан, реализация семейно-демографической политики Липецкой области"</v>
          </cell>
        </row>
      </sheetData>
      <sheetData sheetId="32">
        <row r="8">
          <cell r="C8" t="str">
            <v>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v>
          </cell>
        </row>
      </sheetData>
      <sheetData sheetId="33">
        <row r="270">
          <cell r="D270"/>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271">
          <cell r="D271">
            <v>112496458.33</v>
          </cell>
        </row>
      </sheetData>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6">
          <cell r="C16">
            <v>0</v>
          </cell>
        </row>
      </sheetData>
      <sheetData sheetId="68">
        <row r="16">
          <cell r="C16">
            <v>0</v>
          </cell>
        </row>
      </sheetData>
      <sheetData sheetId="69"/>
      <sheetData sheetId="70">
        <row r="8">
          <cell r="G8">
            <v>0</v>
          </cell>
          <cell r="K8">
            <v>0</v>
          </cell>
          <cell r="M8">
            <v>158003877</v>
          </cell>
          <cell r="Q8">
            <v>0</v>
          </cell>
          <cell r="S8">
            <v>0</v>
          </cell>
          <cell r="W8">
            <v>0</v>
          </cell>
          <cell r="Y8"/>
          <cell r="AA8"/>
          <cell r="AC8">
            <v>900000</v>
          </cell>
          <cell r="AE8"/>
          <cell r="AG8"/>
        </row>
        <row r="9">
          <cell r="G9">
            <v>125442757.40000001</v>
          </cell>
          <cell r="K9">
            <v>77677149</v>
          </cell>
          <cell r="M9">
            <v>32146566</v>
          </cell>
          <cell r="Q9">
            <v>0</v>
          </cell>
          <cell r="S9">
            <v>36577584</v>
          </cell>
          <cell r="W9">
            <v>10889790</v>
          </cell>
          <cell r="Y9">
            <v>397800</v>
          </cell>
          <cell r="AA9">
            <v>1200000</v>
          </cell>
          <cell r="AC9">
            <v>1700000</v>
          </cell>
          <cell r="AE9">
            <v>900000</v>
          </cell>
          <cell r="AG9">
            <v>900000</v>
          </cell>
        </row>
        <row r="10">
          <cell r="G10">
            <v>15619336.09</v>
          </cell>
          <cell r="K10">
            <v>2418496</v>
          </cell>
          <cell r="M10">
            <v>51645019</v>
          </cell>
          <cell r="Q10">
            <v>80000000</v>
          </cell>
          <cell r="S10">
            <v>85112464</v>
          </cell>
          <cell r="W10">
            <v>47812879</v>
          </cell>
          <cell r="Y10">
            <v>82875</v>
          </cell>
          <cell r="AA10"/>
          <cell r="AC10"/>
          <cell r="AE10"/>
          <cell r="AG10"/>
        </row>
        <row r="11">
          <cell r="G11">
            <v>32179313.73</v>
          </cell>
          <cell r="K11">
            <v>0</v>
          </cell>
          <cell r="M11">
            <v>21614223</v>
          </cell>
          <cell r="Q11">
            <v>5700000</v>
          </cell>
          <cell r="S11">
            <v>148384673</v>
          </cell>
          <cell r="W11">
            <v>0</v>
          </cell>
          <cell r="Y11">
            <v>671925</v>
          </cell>
          <cell r="AA11">
            <v>1500000</v>
          </cell>
          <cell r="AC11"/>
          <cell r="AE11"/>
          <cell r="AG11"/>
        </row>
        <row r="12">
          <cell r="G12">
            <v>0</v>
          </cell>
          <cell r="K12">
            <v>0</v>
          </cell>
          <cell r="M12">
            <v>245688949</v>
          </cell>
          <cell r="Q12">
            <v>31580000</v>
          </cell>
          <cell r="S12">
            <v>0</v>
          </cell>
          <cell r="W12">
            <v>0</v>
          </cell>
          <cell r="Y12"/>
          <cell r="AA12">
            <v>300000</v>
          </cell>
          <cell r="AC12"/>
          <cell r="AE12"/>
          <cell r="AG12"/>
        </row>
        <row r="13">
          <cell r="G13">
            <v>21484982.349999998</v>
          </cell>
          <cell r="K13">
            <v>0</v>
          </cell>
          <cell r="M13">
            <v>24203203</v>
          </cell>
          <cell r="Q13">
            <v>0</v>
          </cell>
          <cell r="S13">
            <v>24800250</v>
          </cell>
          <cell r="W13">
            <v>0</v>
          </cell>
          <cell r="Y13">
            <v>545700</v>
          </cell>
          <cell r="AA13">
            <v>300000</v>
          </cell>
          <cell r="AC13">
            <v>700000</v>
          </cell>
          <cell r="AE13"/>
          <cell r="AG13"/>
        </row>
        <row r="14">
          <cell r="G14">
            <v>41624014.210000001</v>
          </cell>
          <cell r="K14">
            <v>0</v>
          </cell>
          <cell r="M14">
            <v>30656877</v>
          </cell>
          <cell r="Q14">
            <v>0</v>
          </cell>
          <cell r="S14">
            <v>29856982</v>
          </cell>
          <cell r="W14">
            <v>0</v>
          </cell>
          <cell r="Y14">
            <v>1070575</v>
          </cell>
          <cell r="AA14">
            <v>300000</v>
          </cell>
          <cell r="AC14"/>
          <cell r="AE14"/>
          <cell r="AG14"/>
        </row>
        <row r="15">
          <cell r="G15">
            <v>53609761.189999998</v>
          </cell>
          <cell r="K15">
            <v>20123666.959999997</v>
          </cell>
          <cell r="M15">
            <v>59630205</v>
          </cell>
          <cell r="Q15">
            <v>65200000</v>
          </cell>
          <cell r="S15">
            <v>77516953</v>
          </cell>
          <cell r="W15">
            <v>18399391</v>
          </cell>
          <cell r="Y15"/>
          <cell r="AA15"/>
          <cell r="AC15">
            <v>500000</v>
          </cell>
          <cell r="AE15">
            <v>1500000</v>
          </cell>
          <cell r="AG15"/>
        </row>
        <row r="16">
          <cell r="G16">
            <v>0</v>
          </cell>
          <cell r="K16">
            <v>0</v>
          </cell>
          <cell r="M16">
            <v>185528920</v>
          </cell>
          <cell r="Q16">
            <v>151200000</v>
          </cell>
          <cell r="S16">
            <v>0</v>
          </cell>
          <cell r="W16">
            <v>0</v>
          </cell>
          <cell r="Y16"/>
          <cell r="AA16"/>
          <cell r="AC16"/>
          <cell r="AE16"/>
          <cell r="AG16"/>
        </row>
        <row r="17">
          <cell r="G17">
            <v>8135482.1899999995</v>
          </cell>
          <cell r="K17">
            <v>0</v>
          </cell>
          <cell r="M17">
            <v>17781373</v>
          </cell>
          <cell r="Q17">
            <v>0</v>
          </cell>
          <cell r="S17">
            <v>26520227</v>
          </cell>
          <cell r="W17">
            <v>0</v>
          </cell>
          <cell r="Y17">
            <v>1243125</v>
          </cell>
          <cell r="AA17"/>
          <cell r="AC17"/>
          <cell r="AE17"/>
          <cell r="AG17"/>
        </row>
        <row r="18">
          <cell r="G18">
            <v>26240093.02</v>
          </cell>
          <cell r="K18">
            <v>0</v>
          </cell>
          <cell r="M18">
            <v>110073841</v>
          </cell>
          <cell r="Q18">
            <v>100000000</v>
          </cell>
          <cell r="S18">
            <v>511799959.00000006</v>
          </cell>
          <cell r="W18">
            <v>459804902</v>
          </cell>
          <cell r="Y18">
            <v>726750</v>
          </cell>
          <cell r="AA18"/>
          <cell r="AC18">
            <v>1500000</v>
          </cell>
          <cell r="AE18"/>
          <cell r="AG18"/>
        </row>
        <row r="19">
          <cell r="G19">
            <v>21237207.82</v>
          </cell>
          <cell r="K19">
            <v>0</v>
          </cell>
          <cell r="M19">
            <v>50105182</v>
          </cell>
          <cell r="Q19">
            <v>0</v>
          </cell>
          <cell r="S19">
            <v>22103477</v>
          </cell>
          <cell r="W19">
            <v>0</v>
          </cell>
          <cell r="Y19">
            <v>431375</v>
          </cell>
          <cell r="AA19"/>
          <cell r="AC19"/>
          <cell r="AE19"/>
          <cell r="AG19"/>
        </row>
        <row r="20">
          <cell r="G20">
            <v>15140742.73</v>
          </cell>
          <cell r="K20">
            <v>0</v>
          </cell>
          <cell r="M20">
            <v>64470007</v>
          </cell>
          <cell r="Q20">
            <v>524000</v>
          </cell>
          <cell r="S20">
            <v>51569281</v>
          </cell>
          <cell r="W20">
            <v>0</v>
          </cell>
          <cell r="Y20">
            <v>1510875</v>
          </cell>
          <cell r="AA20"/>
          <cell r="AC20">
            <v>600000</v>
          </cell>
          <cell r="AE20"/>
          <cell r="AG20"/>
        </row>
        <row r="21">
          <cell r="G21">
            <v>0</v>
          </cell>
          <cell r="K21">
            <v>0</v>
          </cell>
          <cell r="M21">
            <v>82697006</v>
          </cell>
          <cell r="Q21">
            <v>6900000</v>
          </cell>
          <cell r="S21">
            <v>0</v>
          </cell>
          <cell r="W21">
            <v>0</v>
          </cell>
          <cell r="Y21"/>
          <cell r="AA21">
            <v>300000</v>
          </cell>
          <cell r="AC21">
            <v>1200000</v>
          </cell>
          <cell r="AE21"/>
          <cell r="AG21"/>
        </row>
        <row r="22">
          <cell r="G22">
            <v>26867877.609999999</v>
          </cell>
          <cell r="K22">
            <v>0</v>
          </cell>
          <cell r="M22">
            <v>36851869</v>
          </cell>
          <cell r="Q22">
            <v>0</v>
          </cell>
          <cell r="S22">
            <v>26836033</v>
          </cell>
          <cell r="W22">
            <v>0</v>
          </cell>
          <cell r="Y22">
            <v>70125</v>
          </cell>
          <cell r="AA22"/>
          <cell r="AC22">
            <v>1100000</v>
          </cell>
          <cell r="AE22"/>
          <cell r="AG22"/>
        </row>
        <row r="23">
          <cell r="G23">
            <v>134112877.66</v>
          </cell>
          <cell r="K23">
            <v>49966755.5</v>
          </cell>
          <cell r="M23">
            <v>50595882</v>
          </cell>
          <cell r="Q23">
            <v>46163000</v>
          </cell>
          <cell r="S23">
            <v>50236581.000000007</v>
          </cell>
          <cell r="W23">
            <v>8108423</v>
          </cell>
          <cell r="Y23">
            <v>150875</v>
          </cell>
          <cell r="AA23"/>
          <cell r="AC23"/>
          <cell r="AE23"/>
          <cell r="AG23"/>
        </row>
        <row r="24">
          <cell r="G24">
            <v>31496305.050000001</v>
          </cell>
          <cell r="K24">
            <v>0</v>
          </cell>
          <cell r="M24">
            <v>226986839</v>
          </cell>
          <cell r="Q24">
            <v>17350000</v>
          </cell>
          <cell r="S24">
            <v>48897146</v>
          </cell>
          <cell r="W24">
            <v>0</v>
          </cell>
          <cell r="Y24">
            <v>643875</v>
          </cell>
          <cell r="AA24">
            <v>300000</v>
          </cell>
          <cell r="AC24"/>
          <cell r="AE24"/>
          <cell r="AG24">
            <v>540000</v>
          </cell>
        </row>
        <row r="25">
          <cell r="G25">
            <v>39899851.490000002</v>
          </cell>
          <cell r="K25">
            <v>0</v>
          </cell>
          <cell r="M25">
            <v>27018127</v>
          </cell>
          <cell r="Q25">
            <v>0</v>
          </cell>
          <cell r="S25">
            <v>49645010</v>
          </cell>
          <cell r="W25">
            <v>5560603</v>
          </cell>
          <cell r="Y25">
            <v>954125</v>
          </cell>
          <cell r="AA25">
            <v>1800000</v>
          </cell>
          <cell r="AC25"/>
          <cell r="AE25">
            <v>600000</v>
          </cell>
          <cell r="AG25">
            <v>660000</v>
          </cell>
        </row>
        <row r="28">
          <cell r="G28">
            <v>0</v>
          </cell>
          <cell r="M28">
            <v>468220268</v>
          </cell>
          <cell r="Q28">
            <v>318450000</v>
          </cell>
          <cell r="S28">
            <v>0</v>
          </cell>
          <cell r="AA28"/>
          <cell r="AC28">
            <v>800000</v>
          </cell>
          <cell r="AE28"/>
          <cell r="AG28">
            <v>900000</v>
          </cell>
        </row>
        <row r="29">
          <cell r="G29">
            <v>0</v>
          </cell>
          <cell r="M29">
            <v>867300861.29999995</v>
          </cell>
          <cell r="Q29">
            <v>3106539314.0000005</v>
          </cell>
          <cell r="S29">
            <v>0</v>
          </cell>
          <cell r="AA29"/>
          <cell r="AC29">
            <v>1000000</v>
          </cell>
          <cell r="AE29"/>
          <cell r="AG29"/>
        </row>
        <row r="37">
          <cell r="F37">
            <v>538751530.15999985</v>
          </cell>
        </row>
        <row r="38">
          <cell r="F38">
            <v>0</v>
          </cell>
        </row>
        <row r="39">
          <cell r="F39">
            <v>0</v>
          </cell>
        </row>
        <row r="40">
          <cell r="F40">
            <v>0</v>
          </cell>
        </row>
        <row r="41">
          <cell r="F41">
            <v>0</v>
          </cell>
        </row>
        <row r="42">
          <cell r="F42">
            <v>0</v>
          </cell>
        </row>
        <row r="43">
          <cell r="F43">
            <v>8554272630.8400002</v>
          </cell>
        </row>
      </sheetData>
      <sheetData sheetId="71"/>
      <sheetData sheetId="72">
        <row r="9">
          <cell r="E9">
            <v>0</v>
          </cell>
          <cell r="F9">
            <v>0</v>
          </cell>
          <cell r="G9">
            <v>0</v>
          </cell>
          <cell r="H9">
            <v>7.0691499999999996</v>
          </cell>
          <cell r="I9">
            <v>864.86400000000003</v>
          </cell>
          <cell r="J9">
            <v>310.464</v>
          </cell>
          <cell r="K9">
            <v>759.12964999999997</v>
          </cell>
          <cell r="L9">
            <v>3395.95</v>
          </cell>
          <cell r="M9">
            <v>8175.52</v>
          </cell>
          <cell r="N9">
            <v>2536.9030699999998</v>
          </cell>
          <cell r="O9">
            <v>189.45599999999999</v>
          </cell>
          <cell r="P9">
            <v>1104.9758999999995</v>
          </cell>
          <cell r="Q9">
            <v>3144.9314100000001</v>
          </cell>
          <cell r="R9">
            <v>0</v>
          </cell>
          <cell r="S9">
            <v>146045.99699999997</v>
          </cell>
          <cell r="T9">
            <v>0</v>
          </cell>
          <cell r="U9">
            <v>21769</v>
          </cell>
          <cell r="V9">
            <v>2.5</v>
          </cell>
          <cell r="W9">
            <v>850</v>
          </cell>
          <cell r="X9">
            <v>1631.9633399999998</v>
          </cell>
          <cell r="Y9">
            <v>2141.4311699999998</v>
          </cell>
          <cell r="Z9">
            <v>0</v>
          </cell>
          <cell r="AA9">
            <v>808.07092999999998</v>
          </cell>
          <cell r="AB9">
            <v>599.38599999999997</v>
          </cell>
          <cell r="AC9">
            <v>0</v>
          </cell>
          <cell r="AD9">
            <v>784.82299999999998</v>
          </cell>
          <cell r="AE9">
            <v>2362.8000000000002</v>
          </cell>
          <cell r="AF9">
            <v>0</v>
          </cell>
          <cell r="AG9">
            <v>0</v>
          </cell>
          <cell r="AH9">
            <v>0</v>
          </cell>
        </row>
        <row r="10">
          <cell r="E10">
            <v>0</v>
          </cell>
          <cell r="F10">
            <v>0</v>
          </cell>
          <cell r="G10">
            <v>0</v>
          </cell>
          <cell r="H10">
            <v>7.0691499999999996</v>
          </cell>
          <cell r="I10">
            <v>1304.6880000000001</v>
          </cell>
          <cell r="J10">
            <v>212.52</v>
          </cell>
          <cell r="K10">
            <v>1464.4142399999998</v>
          </cell>
          <cell r="L10">
            <v>23628.971799999999</v>
          </cell>
          <cell r="M10">
            <v>29668.661</v>
          </cell>
          <cell r="N10">
            <v>8135.61337</v>
          </cell>
          <cell r="O10">
            <v>897.6</v>
          </cell>
          <cell r="P10">
            <v>10234.714749999996</v>
          </cell>
          <cell r="Q10">
            <v>29129.57273</v>
          </cell>
          <cell r="R10">
            <v>50</v>
          </cell>
          <cell r="S10">
            <v>649590.20299999998</v>
          </cell>
          <cell r="T10">
            <v>0</v>
          </cell>
          <cell r="U10">
            <v>243438.31200000001</v>
          </cell>
          <cell r="V10">
            <v>14.5</v>
          </cell>
          <cell r="W10">
            <v>1120</v>
          </cell>
          <cell r="X10">
            <v>2459.0887699999998</v>
          </cell>
          <cell r="Y10">
            <v>2908.0250299999998</v>
          </cell>
          <cell r="Z10">
            <v>0</v>
          </cell>
          <cell r="AA10">
            <v>1715.9615799999999</v>
          </cell>
          <cell r="AB10">
            <v>2949.855</v>
          </cell>
          <cell r="AC10">
            <v>0</v>
          </cell>
          <cell r="AD10">
            <v>847.173</v>
          </cell>
          <cell r="AE10">
            <v>0</v>
          </cell>
          <cell r="AF10">
            <v>3142.1</v>
          </cell>
          <cell r="AG10">
            <v>0</v>
          </cell>
          <cell r="AH10">
            <v>1035.1066899999998</v>
          </cell>
        </row>
        <row r="11">
          <cell r="E11">
            <v>0</v>
          </cell>
          <cell r="F11">
            <v>1553</v>
          </cell>
          <cell r="G11">
            <v>0</v>
          </cell>
          <cell r="H11">
            <v>7.0691499999999996</v>
          </cell>
          <cell r="I11">
            <v>643.10400000000004</v>
          </cell>
          <cell r="J11">
            <v>251.328</v>
          </cell>
          <cell r="K11">
            <v>1420.4142399999998</v>
          </cell>
          <cell r="L11">
            <v>10737.4028</v>
          </cell>
          <cell r="M11">
            <v>28783.613000000001</v>
          </cell>
          <cell r="N11">
            <v>3724.1742399999998</v>
          </cell>
          <cell r="O11">
            <v>204</v>
          </cell>
          <cell r="P11">
            <v>3691.7664900000004</v>
          </cell>
          <cell r="Q11">
            <v>10507.3354</v>
          </cell>
          <cell r="R11">
            <v>100</v>
          </cell>
          <cell r="S11">
            <v>263474.96499999997</v>
          </cell>
          <cell r="T11">
            <v>0</v>
          </cell>
          <cell r="U11">
            <v>153091.06400000001</v>
          </cell>
          <cell r="V11">
            <v>4</v>
          </cell>
          <cell r="W11">
            <v>1155</v>
          </cell>
          <cell r="X11">
            <v>2189.5785700000001</v>
          </cell>
          <cell r="Y11">
            <v>2063.6644099999999</v>
          </cell>
          <cell r="Z11">
            <v>0</v>
          </cell>
          <cell r="AA11">
            <v>843.07092999999998</v>
          </cell>
          <cell r="AB11">
            <v>1873.16</v>
          </cell>
          <cell r="AC11">
            <v>2959.328</v>
          </cell>
          <cell r="AD11">
            <v>887.77300000000002</v>
          </cell>
          <cell r="AE11">
            <v>0</v>
          </cell>
          <cell r="AF11">
            <v>2100.6999999999998</v>
          </cell>
          <cell r="AG11">
            <v>0</v>
          </cell>
          <cell r="AH11">
            <v>1016.90675</v>
          </cell>
        </row>
        <row r="12">
          <cell r="E12">
            <v>0</v>
          </cell>
          <cell r="F12">
            <v>0</v>
          </cell>
          <cell r="G12">
            <v>0</v>
          </cell>
          <cell r="H12">
            <v>7.0691499999999996</v>
          </cell>
          <cell r="I12">
            <v>1888.6559999999999</v>
          </cell>
          <cell r="J12">
            <v>517.43799999999999</v>
          </cell>
          <cell r="K12">
            <v>1424.51424</v>
          </cell>
          <cell r="L12">
            <v>9504.1169000000009</v>
          </cell>
          <cell r="M12">
            <v>10352.727999999999</v>
          </cell>
          <cell r="N12">
            <v>4340.4275799999996</v>
          </cell>
          <cell r="O12">
            <v>258.94200000000001</v>
          </cell>
          <cell r="P12">
            <v>2992.33709</v>
          </cell>
          <cell r="Q12">
            <v>8516.6516999999985</v>
          </cell>
          <cell r="R12">
            <v>150</v>
          </cell>
          <cell r="S12">
            <v>347045.02600000001</v>
          </cell>
          <cell r="T12">
            <v>0</v>
          </cell>
          <cell r="U12">
            <v>53913.002999999997</v>
          </cell>
          <cell r="V12">
            <v>4.5</v>
          </cell>
          <cell r="W12">
            <v>795</v>
          </cell>
          <cell r="X12">
            <v>1333.5708599999998</v>
          </cell>
          <cell r="Y12">
            <v>2296.9614299999998</v>
          </cell>
          <cell r="Z12">
            <v>0</v>
          </cell>
          <cell r="AA12">
            <v>833.07092999999998</v>
          </cell>
          <cell r="AB12">
            <v>3422.3110000000001</v>
          </cell>
          <cell r="AC12">
            <v>986.44299999999998</v>
          </cell>
          <cell r="AD12">
            <v>922.57299999999998</v>
          </cell>
          <cell r="AE12">
            <v>0</v>
          </cell>
          <cell r="AF12">
            <v>2944.3</v>
          </cell>
          <cell r="AG12">
            <v>0</v>
          </cell>
          <cell r="AH12">
            <v>1054.6067499999999</v>
          </cell>
        </row>
        <row r="13">
          <cell r="E13">
            <v>0</v>
          </cell>
          <cell r="F13">
            <v>0</v>
          </cell>
          <cell r="G13">
            <v>0</v>
          </cell>
          <cell r="H13">
            <v>7.0691499999999996</v>
          </cell>
          <cell r="I13">
            <v>1820.28</v>
          </cell>
          <cell r="J13">
            <v>369.6</v>
          </cell>
          <cell r="K13">
            <v>844.42964999999992</v>
          </cell>
          <cell r="L13">
            <v>8435.1128000000008</v>
          </cell>
          <cell r="M13">
            <v>13958.36</v>
          </cell>
          <cell r="N13">
            <v>3707.5842700000003</v>
          </cell>
          <cell r="O13">
            <v>263.03800000000001</v>
          </cell>
          <cell r="P13">
            <v>2830.6081900000004</v>
          </cell>
          <cell r="Q13">
            <v>8056.3463700000002</v>
          </cell>
          <cell r="R13">
            <v>50</v>
          </cell>
          <cell r="S13">
            <v>332242</v>
          </cell>
          <cell r="T13">
            <v>0</v>
          </cell>
          <cell r="U13">
            <v>120564.999</v>
          </cell>
          <cell r="V13">
            <v>5.5</v>
          </cell>
          <cell r="W13">
            <v>755</v>
          </cell>
          <cell r="X13">
            <v>1804.2272799999998</v>
          </cell>
          <cell r="Y13">
            <v>2856.8327199999999</v>
          </cell>
          <cell r="Z13">
            <v>0</v>
          </cell>
          <cell r="AA13">
            <v>798.07092999999998</v>
          </cell>
          <cell r="AB13">
            <v>1223.2420000000002</v>
          </cell>
          <cell r="AC13">
            <v>1972.885</v>
          </cell>
          <cell r="AD13">
            <v>764.87300000000005</v>
          </cell>
          <cell r="AE13">
            <v>2743.3</v>
          </cell>
          <cell r="AF13">
            <v>0</v>
          </cell>
          <cell r="AG13">
            <v>0</v>
          </cell>
          <cell r="AH13">
            <v>0</v>
          </cell>
        </row>
        <row r="14">
          <cell r="E14">
            <v>0</v>
          </cell>
          <cell r="F14">
            <v>0</v>
          </cell>
          <cell r="G14">
            <v>0</v>
          </cell>
          <cell r="H14">
            <v>7.0691499999999996</v>
          </cell>
          <cell r="I14">
            <v>1206.7439999999999</v>
          </cell>
          <cell r="J14">
            <v>347.42399999999998</v>
          </cell>
          <cell r="K14">
            <v>787.42964999999992</v>
          </cell>
          <cell r="L14">
            <v>5516.0378000000001</v>
          </cell>
          <cell r="M14">
            <v>8748.7489999999998</v>
          </cell>
          <cell r="N14">
            <v>2503.1880699999997</v>
          </cell>
          <cell r="O14">
            <v>296.875</v>
          </cell>
          <cell r="P14">
            <v>1609.3109100000001</v>
          </cell>
          <cell r="Q14">
            <v>4580.3464199999999</v>
          </cell>
          <cell r="R14">
            <v>0</v>
          </cell>
          <cell r="S14">
            <v>225825.98499999999</v>
          </cell>
          <cell r="T14">
            <v>0</v>
          </cell>
          <cell r="U14">
            <v>40045.69</v>
          </cell>
          <cell r="V14">
            <v>4</v>
          </cell>
          <cell r="W14">
            <v>685</v>
          </cell>
          <cell r="X14">
            <v>1239.1735500000002</v>
          </cell>
          <cell r="Y14">
            <v>1840.2221199999999</v>
          </cell>
          <cell r="Z14">
            <v>0</v>
          </cell>
          <cell r="AA14">
            <v>838.07092999999998</v>
          </cell>
          <cell r="AB14">
            <v>323.69099999999997</v>
          </cell>
          <cell r="AC14">
            <v>0</v>
          </cell>
          <cell r="AD14">
            <v>876.673</v>
          </cell>
          <cell r="AE14">
            <v>0</v>
          </cell>
          <cell r="AF14">
            <v>1769.3</v>
          </cell>
          <cell r="AG14">
            <v>0</v>
          </cell>
          <cell r="AH14">
            <v>1001.30675</v>
          </cell>
        </row>
        <row r="15">
          <cell r="E15">
            <v>0</v>
          </cell>
          <cell r="F15">
            <v>0</v>
          </cell>
          <cell r="G15">
            <v>0</v>
          </cell>
          <cell r="H15">
            <v>7.0691499999999996</v>
          </cell>
          <cell r="I15">
            <v>1386</v>
          </cell>
          <cell r="J15">
            <v>282.74400000000003</v>
          </cell>
          <cell r="K15">
            <v>1534.21424</v>
          </cell>
          <cell r="L15">
            <v>8026.0312999999996</v>
          </cell>
          <cell r="M15">
            <v>19772.881000000001</v>
          </cell>
          <cell r="N15">
            <v>4044.0816900000004</v>
          </cell>
          <cell r="O15">
            <v>502.35</v>
          </cell>
          <cell r="P15">
            <v>2900.5045300000002</v>
          </cell>
          <cell r="Q15">
            <v>8255.2821199999998</v>
          </cell>
          <cell r="R15">
            <v>100</v>
          </cell>
          <cell r="S15">
            <v>323702.00499999995</v>
          </cell>
          <cell r="T15">
            <v>0</v>
          </cell>
          <cell r="U15">
            <v>123168.00199999999</v>
          </cell>
          <cell r="V15">
            <v>2</v>
          </cell>
          <cell r="W15">
            <v>933</v>
          </cell>
          <cell r="X15">
            <v>2324.6288700000005</v>
          </cell>
          <cell r="Y15">
            <v>1976.64123</v>
          </cell>
          <cell r="Z15">
            <v>0</v>
          </cell>
          <cell r="AA15">
            <v>813.07092999999998</v>
          </cell>
          <cell r="AB15">
            <v>1914.5150000000001</v>
          </cell>
          <cell r="AC15">
            <v>986.44299999999998</v>
          </cell>
          <cell r="AD15">
            <v>790.173</v>
          </cell>
          <cell r="AE15">
            <v>0</v>
          </cell>
          <cell r="AF15">
            <v>2786.4</v>
          </cell>
          <cell r="AG15">
            <v>0</v>
          </cell>
          <cell r="AH15">
            <v>1018.10675</v>
          </cell>
        </row>
        <row r="16">
          <cell r="E16">
            <v>0</v>
          </cell>
          <cell r="F16">
            <v>0</v>
          </cell>
          <cell r="G16">
            <v>0</v>
          </cell>
          <cell r="H16">
            <v>7.0691499999999996</v>
          </cell>
          <cell r="I16">
            <v>389.928</v>
          </cell>
          <cell r="J16">
            <v>194.04</v>
          </cell>
          <cell r="K16">
            <v>1546.4832399999998</v>
          </cell>
          <cell r="L16">
            <v>8726.7873</v>
          </cell>
          <cell r="M16">
            <v>13206.288</v>
          </cell>
          <cell r="N16">
            <v>3743.1697300000001</v>
          </cell>
          <cell r="O16">
            <v>613.36</v>
          </cell>
          <cell r="P16">
            <v>3141.8872699999997</v>
          </cell>
          <cell r="Q16">
            <v>8942.2945199999995</v>
          </cell>
          <cell r="R16">
            <v>50</v>
          </cell>
          <cell r="S16">
            <v>255815.90700000001</v>
          </cell>
          <cell r="T16">
            <v>0</v>
          </cell>
          <cell r="U16">
            <v>94978.385999999999</v>
          </cell>
          <cell r="V16">
            <v>2.5</v>
          </cell>
          <cell r="W16">
            <v>700</v>
          </cell>
          <cell r="X16">
            <v>2756.27835</v>
          </cell>
          <cell r="Y16">
            <v>9583.2163300000011</v>
          </cell>
          <cell r="Z16">
            <v>0</v>
          </cell>
          <cell r="AA16">
            <v>905.20511999999997</v>
          </cell>
          <cell r="AB16">
            <v>1119.809</v>
          </cell>
          <cell r="AC16">
            <v>0</v>
          </cell>
          <cell r="AD16">
            <v>792.59299999999996</v>
          </cell>
          <cell r="AE16">
            <v>0</v>
          </cell>
          <cell r="AF16">
            <v>2705.3</v>
          </cell>
          <cell r="AG16">
            <v>0</v>
          </cell>
          <cell r="AH16">
            <v>1052.50675</v>
          </cell>
        </row>
        <row r="17">
          <cell r="E17">
            <v>0</v>
          </cell>
          <cell r="F17">
            <v>0</v>
          </cell>
          <cell r="G17">
            <v>0</v>
          </cell>
          <cell r="H17">
            <v>7.0691499999999996</v>
          </cell>
          <cell r="I17">
            <v>1123.5840000000001</v>
          </cell>
          <cell r="J17">
            <v>362.20800000000003</v>
          </cell>
          <cell r="K17">
            <v>739.52964999999995</v>
          </cell>
          <cell r="L17">
            <v>4567.2575999999999</v>
          </cell>
          <cell r="M17">
            <v>8414.8719999999994</v>
          </cell>
          <cell r="N17">
            <v>2523.9630699999998</v>
          </cell>
          <cell r="O17">
            <v>269.07</v>
          </cell>
          <cell r="P17">
            <v>1519.5822300000004</v>
          </cell>
          <cell r="Q17">
            <v>4324.9648399999996</v>
          </cell>
          <cell r="R17">
            <v>0</v>
          </cell>
          <cell r="S17">
            <v>199644.00199999998</v>
          </cell>
          <cell r="T17">
            <v>0</v>
          </cell>
          <cell r="U17">
            <v>47052.004000000001</v>
          </cell>
          <cell r="V17">
            <v>4</v>
          </cell>
          <cell r="W17">
            <v>820</v>
          </cell>
          <cell r="X17">
            <v>1937.54863</v>
          </cell>
          <cell r="Y17">
            <v>7133.0663700000005</v>
          </cell>
          <cell r="Z17">
            <v>0</v>
          </cell>
          <cell r="AA17">
            <v>833.07092999999998</v>
          </cell>
          <cell r="AB17">
            <v>694.495</v>
          </cell>
          <cell r="AC17">
            <v>0</v>
          </cell>
          <cell r="AD17">
            <v>894.27300000000002</v>
          </cell>
          <cell r="AE17">
            <v>2029.3</v>
          </cell>
          <cell r="AF17">
            <v>0</v>
          </cell>
          <cell r="AG17">
            <v>0</v>
          </cell>
          <cell r="AH17">
            <v>0</v>
          </cell>
        </row>
        <row r="18">
          <cell r="E18">
            <v>0</v>
          </cell>
          <cell r="F18">
            <v>0</v>
          </cell>
          <cell r="G18">
            <v>0</v>
          </cell>
          <cell r="H18">
            <v>7.0691499999999996</v>
          </cell>
          <cell r="I18">
            <v>813.12</v>
          </cell>
          <cell r="J18">
            <v>328.94400000000002</v>
          </cell>
          <cell r="K18">
            <v>825.62964999999997</v>
          </cell>
          <cell r="L18">
            <v>4357.6102000000001</v>
          </cell>
          <cell r="M18">
            <v>8772.8739999999998</v>
          </cell>
          <cell r="N18">
            <v>2510.5280699999998</v>
          </cell>
          <cell r="O18">
            <v>350.24199999999996</v>
          </cell>
          <cell r="P18">
            <v>1526.4769699999997</v>
          </cell>
          <cell r="Q18">
            <v>4344.5882799999999</v>
          </cell>
          <cell r="R18">
            <v>0</v>
          </cell>
          <cell r="S18">
            <v>159903.00200000001</v>
          </cell>
          <cell r="T18">
            <v>0</v>
          </cell>
          <cell r="U18">
            <v>55956.991999999998</v>
          </cell>
          <cell r="V18">
            <v>2.5</v>
          </cell>
          <cell r="W18">
            <v>785</v>
          </cell>
          <cell r="X18">
            <v>1262.4770600000002</v>
          </cell>
          <cell r="Y18">
            <v>7806.3362400000005</v>
          </cell>
          <cell r="Z18">
            <v>0</v>
          </cell>
          <cell r="AA18">
            <v>783.07092999999998</v>
          </cell>
          <cell r="AB18">
            <v>1416.652</v>
          </cell>
          <cell r="AC18">
            <v>986.44299999999998</v>
          </cell>
          <cell r="AD18">
            <v>770.77300000000002</v>
          </cell>
          <cell r="AE18">
            <v>0</v>
          </cell>
          <cell r="AF18">
            <v>1137.4000000000001</v>
          </cell>
          <cell r="AG18">
            <v>0</v>
          </cell>
          <cell r="AH18">
            <v>963.64215000000002</v>
          </cell>
        </row>
        <row r="19">
          <cell r="E19">
            <v>0</v>
          </cell>
          <cell r="F19">
            <v>0</v>
          </cell>
          <cell r="G19">
            <v>0</v>
          </cell>
          <cell r="H19">
            <v>7.0691499999999996</v>
          </cell>
          <cell r="I19">
            <v>1051.5119999999999</v>
          </cell>
          <cell r="J19">
            <v>238.392</v>
          </cell>
          <cell r="K19">
            <v>1452.01424</v>
          </cell>
          <cell r="L19">
            <v>11665.714400000001</v>
          </cell>
          <cell r="M19">
            <v>15632.040999999999</v>
          </cell>
          <cell r="N19">
            <v>4142.6816900000003</v>
          </cell>
          <cell r="O19">
            <v>1251.2</v>
          </cell>
          <cell r="P19">
            <v>4812.0360799999999</v>
          </cell>
          <cell r="Q19">
            <v>13695.79501</v>
          </cell>
          <cell r="R19">
            <v>100</v>
          </cell>
          <cell r="S19">
            <v>347103.50400000002</v>
          </cell>
          <cell r="T19">
            <v>0</v>
          </cell>
          <cell r="U19">
            <v>176844.69099999999</v>
          </cell>
          <cell r="V19">
            <v>14</v>
          </cell>
          <cell r="W19">
            <v>600</v>
          </cell>
          <cell r="X19">
            <v>3014.2118399999999</v>
          </cell>
          <cell r="Y19">
            <v>13915.514959999999</v>
          </cell>
          <cell r="Z19">
            <v>0</v>
          </cell>
          <cell r="AA19">
            <v>763.07092999999998</v>
          </cell>
          <cell r="AB19">
            <v>1537.5059999999999</v>
          </cell>
          <cell r="AC19">
            <v>986.44299999999998</v>
          </cell>
          <cell r="AD19">
            <v>838.673</v>
          </cell>
          <cell r="AE19">
            <v>0</v>
          </cell>
          <cell r="AF19">
            <v>2813.5</v>
          </cell>
          <cell r="AG19">
            <v>0</v>
          </cell>
          <cell r="AH19">
            <v>1023.50675</v>
          </cell>
        </row>
        <row r="20">
          <cell r="E20">
            <v>0</v>
          </cell>
          <cell r="F20">
            <v>0</v>
          </cell>
          <cell r="G20">
            <v>0</v>
          </cell>
          <cell r="H20">
            <v>7.0691499999999996</v>
          </cell>
          <cell r="I20">
            <v>1210.44</v>
          </cell>
          <cell r="J20">
            <v>415.8</v>
          </cell>
          <cell r="K20">
            <v>867.22964999999988</v>
          </cell>
          <cell r="L20">
            <v>5980.4616999999998</v>
          </cell>
          <cell r="M20">
            <v>10473.68</v>
          </cell>
          <cell r="N20">
            <v>2941.48038</v>
          </cell>
          <cell r="O20">
            <v>151.142</v>
          </cell>
          <cell r="P20">
            <v>1693.2067700000005</v>
          </cell>
          <cell r="Q20">
            <v>4819.1269599999996</v>
          </cell>
          <cell r="R20">
            <v>50</v>
          </cell>
          <cell r="S20">
            <v>237308.99699999997</v>
          </cell>
          <cell r="T20">
            <v>0</v>
          </cell>
          <cell r="U20">
            <v>67025.271999999997</v>
          </cell>
          <cell r="V20">
            <v>8</v>
          </cell>
          <cell r="W20">
            <v>780</v>
          </cell>
          <cell r="X20">
            <v>1634.9008699999999</v>
          </cell>
          <cell r="Y20">
            <v>2949.9499900000005</v>
          </cell>
          <cell r="Z20">
            <v>0</v>
          </cell>
          <cell r="AA20">
            <v>868.07092999999998</v>
          </cell>
          <cell r="AB20">
            <v>677.20299999999997</v>
          </cell>
          <cell r="AC20">
            <v>0</v>
          </cell>
          <cell r="AD20">
            <v>798.673</v>
          </cell>
          <cell r="AE20">
            <v>0</v>
          </cell>
          <cell r="AF20">
            <v>1594.5</v>
          </cell>
          <cell r="AG20">
            <v>0</v>
          </cell>
          <cell r="AH20">
            <v>963.90674999999999</v>
          </cell>
        </row>
        <row r="21">
          <cell r="E21">
            <v>0</v>
          </cell>
          <cell r="F21">
            <v>0</v>
          </cell>
          <cell r="G21">
            <v>0</v>
          </cell>
          <cell r="H21">
            <v>7.0691499999999996</v>
          </cell>
          <cell r="I21">
            <v>2694.384</v>
          </cell>
          <cell r="J21">
            <v>510.048</v>
          </cell>
          <cell r="K21">
            <v>1435.74324</v>
          </cell>
          <cell r="L21">
            <v>15610.367099999999</v>
          </cell>
          <cell r="M21">
            <v>28902.3</v>
          </cell>
          <cell r="N21">
            <v>7604.2506900000008</v>
          </cell>
          <cell r="O21">
            <v>645.82999999999993</v>
          </cell>
          <cell r="P21">
            <v>6892.3713200000002</v>
          </cell>
          <cell r="Q21">
            <v>19616.74914</v>
          </cell>
          <cell r="R21">
            <v>50</v>
          </cell>
          <cell r="S21">
            <v>652290.00100000005</v>
          </cell>
          <cell r="T21">
            <v>0</v>
          </cell>
          <cell r="U21">
            <v>175297.997</v>
          </cell>
          <cell r="V21">
            <v>19</v>
          </cell>
          <cell r="W21">
            <v>905</v>
          </cell>
          <cell r="X21">
            <v>2049.9896100000001</v>
          </cell>
          <cell r="Y21">
            <v>2595.96792</v>
          </cell>
          <cell r="Z21">
            <v>0</v>
          </cell>
          <cell r="AA21">
            <v>1495.9436499999999</v>
          </cell>
          <cell r="AB21">
            <v>10619.17</v>
          </cell>
          <cell r="AC21">
            <v>2959.3270000000002</v>
          </cell>
          <cell r="AD21">
            <v>869.87300000000005</v>
          </cell>
          <cell r="AE21">
            <v>0</v>
          </cell>
          <cell r="AF21">
            <v>4907</v>
          </cell>
          <cell r="AG21">
            <v>0</v>
          </cell>
          <cell r="AH21">
            <v>1101.50674</v>
          </cell>
        </row>
        <row r="22">
          <cell r="E22">
            <v>0</v>
          </cell>
          <cell r="F22">
            <v>0</v>
          </cell>
          <cell r="G22">
            <v>0</v>
          </cell>
          <cell r="H22">
            <v>7.0691499999999996</v>
          </cell>
          <cell r="I22">
            <v>972.048</v>
          </cell>
          <cell r="J22">
            <v>352.96800000000002</v>
          </cell>
          <cell r="K22">
            <v>755.30964999999992</v>
          </cell>
          <cell r="L22">
            <v>4391.8420999999998</v>
          </cell>
          <cell r="M22">
            <v>7750.69</v>
          </cell>
          <cell r="N22">
            <v>2355.4980700000001</v>
          </cell>
          <cell r="O22">
            <v>126.64</v>
          </cell>
          <cell r="P22">
            <v>1805.33808</v>
          </cell>
          <cell r="Q22">
            <v>5138.26991</v>
          </cell>
          <cell r="R22">
            <v>50</v>
          </cell>
          <cell r="S22">
            <v>195717.00099999999</v>
          </cell>
          <cell r="T22">
            <v>0</v>
          </cell>
          <cell r="U22">
            <v>59780.003999999994</v>
          </cell>
          <cell r="V22">
            <v>0.5</v>
          </cell>
          <cell r="W22">
            <v>825</v>
          </cell>
          <cell r="X22">
            <v>1523.8517299999999</v>
          </cell>
          <cell r="Y22">
            <v>8298.7828899999986</v>
          </cell>
          <cell r="Z22">
            <v>0</v>
          </cell>
          <cell r="AA22">
            <v>818.07092999999998</v>
          </cell>
          <cell r="AB22">
            <v>963.08699999999999</v>
          </cell>
          <cell r="AC22">
            <v>0</v>
          </cell>
          <cell r="AD22">
            <v>872.673</v>
          </cell>
          <cell r="AE22">
            <v>2348.1</v>
          </cell>
          <cell r="AF22">
            <v>0</v>
          </cell>
          <cell r="AG22">
            <v>0</v>
          </cell>
          <cell r="AH22">
            <v>0</v>
          </cell>
        </row>
        <row r="23">
          <cell r="E23">
            <v>0</v>
          </cell>
          <cell r="F23">
            <v>0</v>
          </cell>
          <cell r="G23">
            <v>0</v>
          </cell>
          <cell r="H23">
            <v>7.0691499999999996</v>
          </cell>
          <cell r="I23">
            <v>1454.376</v>
          </cell>
          <cell r="J23">
            <v>449.06400000000002</v>
          </cell>
          <cell r="K23">
            <v>751.42964999999992</v>
          </cell>
          <cell r="L23">
            <v>6821.9935999999998</v>
          </cell>
          <cell r="M23">
            <v>4924.8100000000004</v>
          </cell>
          <cell r="N23">
            <v>2916.1286299999997</v>
          </cell>
          <cell r="O23">
            <v>513.86900000000003</v>
          </cell>
          <cell r="P23">
            <v>2434.9297000000001</v>
          </cell>
          <cell r="Q23">
            <v>6930.1845300000004</v>
          </cell>
          <cell r="R23">
            <v>0</v>
          </cell>
          <cell r="S23">
            <v>299414.99900000001</v>
          </cell>
          <cell r="T23">
            <v>0</v>
          </cell>
          <cell r="U23">
            <v>65334.57</v>
          </cell>
          <cell r="V23">
            <v>1.5</v>
          </cell>
          <cell r="W23">
            <v>810</v>
          </cell>
          <cell r="X23">
            <v>1472.3259</v>
          </cell>
          <cell r="Y23">
            <v>7570.2585100000006</v>
          </cell>
          <cell r="Z23">
            <v>0</v>
          </cell>
          <cell r="AA23">
            <v>808.07092999999998</v>
          </cell>
          <cell r="AB23">
            <v>1660.903</v>
          </cell>
          <cell r="AC23">
            <v>0</v>
          </cell>
          <cell r="AD23">
            <v>786.40300000000002</v>
          </cell>
          <cell r="AE23">
            <v>0</v>
          </cell>
          <cell r="AF23">
            <v>2118.6999999999998</v>
          </cell>
          <cell r="AG23">
            <v>0</v>
          </cell>
          <cell r="AH23">
            <v>1021.2057500000001</v>
          </cell>
        </row>
        <row r="24">
          <cell r="E24">
            <v>0</v>
          </cell>
          <cell r="F24">
            <v>0</v>
          </cell>
          <cell r="G24">
            <v>0</v>
          </cell>
          <cell r="H24">
            <v>7.0691499999999996</v>
          </cell>
          <cell r="I24">
            <v>1130.9760000000001</v>
          </cell>
          <cell r="J24">
            <v>340.03199999999998</v>
          </cell>
          <cell r="K24">
            <v>1694.8142399999999</v>
          </cell>
          <cell r="L24">
            <v>16488.6083</v>
          </cell>
          <cell r="M24">
            <v>25267</v>
          </cell>
          <cell r="N24">
            <v>5064.2122800000006</v>
          </cell>
          <cell r="O24">
            <v>559.59300000000007</v>
          </cell>
          <cell r="P24">
            <v>5526.6585800000003</v>
          </cell>
          <cell r="Q24">
            <v>15729.720579999999</v>
          </cell>
          <cell r="R24">
            <v>100</v>
          </cell>
          <cell r="S24">
            <v>393281.77900000004</v>
          </cell>
          <cell r="T24">
            <v>0</v>
          </cell>
          <cell r="U24">
            <v>172425.14199999999</v>
          </cell>
          <cell r="V24">
            <v>11.5</v>
          </cell>
          <cell r="W24">
            <v>805</v>
          </cell>
          <cell r="X24">
            <v>2448.7805300000005</v>
          </cell>
          <cell r="Y24">
            <v>3102.2908699999998</v>
          </cell>
          <cell r="Z24">
            <v>0</v>
          </cell>
          <cell r="AA24">
            <v>798.07092999999998</v>
          </cell>
          <cell r="AB24">
            <v>1254.663</v>
          </cell>
          <cell r="AC24">
            <v>986.44299999999998</v>
          </cell>
          <cell r="AD24">
            <v>789.87300000000005</v>
          </cell>
          <cell r="AE24">
            <v>0</v>
          </cell>
          <cell r="AF24">
            <v>3858.1</v>
          </cell>
          <cell r="AG24">
            <v>0</v>
          </cell>
          <cell r="AH24">
            <v>1131.90399</v>
          </cell>
        </row>
        <row r="25">
          <cell r="E25">
            <v>0</v>
          </cell>
          <cell r="F25">
            <v>0</v>
          </cell>
          <cell r="G25">
            <v>0</v>
          </cell>
          <cell r="H25">
            <v>7.0691499999999996</v>
          </cell>
          <cell r="I25">
            <v>1469.16</v>
          </cell>
          <cell r="J25">
            <v>511.89600000000002</v>
          </cell>
          <cell r="K25">
            <v>778.22964999999988</v>
          </cell>
          <cell r="L25">
            <v>5521.5712000000003</v>
          </cell>
          <cell r="M25">
            <v>7356.1419999999998</v>
          </cell>
          <cell r="N25">
            <v>2893.6895299999996</v>
          </cell>
          <cell r="O25">
            <v>205.32900000000001</v>
          </cell>
          <cell r="P25">
            <v>1971.0826199999992</v>
          </cell>
          <cell r="Q25">
            <v>5610.0044000000007</v>
          </cell>
          <cell r="R25">
            <v>0</v>
          </cell>
          <cell r="S25">
            <v>231447.99599999998</v>
          </cell>
          <cell r="T25">
            <v>0</v>
          </cell>
          <cell r="U25">
            <v>49570.997000000003</v>
          </cell>
          <cell r="V25">
            <v>3</v>
          </cell>
          <cell r="W25">
            <v>833</v>
          </cell>
          <cell r="X25">
            <v>1272.81465</v>
          </cell>
          <cell r="Y25">
            <v>2558.5244900000002</v>
          </cell>
          <cell r="Z25">
            <v>0</v>
          </cell>
          <cell r="AA25">
            <v>828.07092999999998</v>
          </cell>
          <cell r="AB25">
            <v>1399.2240000000002</v>
          </cell>
          <cell r="AC25">
            <v>986.44299999999998</v>
          </cell>
          <cell r="AD25">
            <v>788.85299999999995</v>
          </cell>
          <cell r="AE25">
            <v>0</v>
          </cell>
          <cell r="AF25">
            <v>1898.5</v>
          </cell>
          <cell r="AG25">
            <v>0</v>
          </cell>
          <cell r="AH25">
            <v>1013.56575</v>
          </cell>
        </row>
        <row r="26">
          <cell r="E26">
            <v>0</v>
          </cell>
          <cell r="F26">
            <v>0</v>
          </cell>
          <cell r="G26">
            <v>0</v>
          </cell>
          <cell r="H26">
            <v>7.0691499999999996</v>
          </cell>
          <cell r="I26">
            <v>914.76</v>
          </cell>
          <cell r="J26">
            <v>258.72000000000003</v>
          </cell>
          <cell r="K26">
            <v>1534.00424</v>
          </cell>
          <cell r="L26">
            <v>11501.4876</v>
          </cell>
          <cell r="M26">
            <v>11268.918</v>
          </cell>
          <cell r="N26">
            <v>3698.9657900000002</v>
          </cell>
          <cell r="O26">
            <v>272</v>
          </cell>
          <cell r="P26">
            <v>3513.75108</v>
          </cell>
          <cell r="Q26">
            <v>10000.676160000001</v>
          </cell>
          <cell r="R26">
            <v>50</v>
          </cell>
          <cell r="S26">
            <v>299481.19200000004</v>
          </cell>
          <cell r="T26">
            <v>0</v>
          </cell>
          <cell r="U26">
            <v>96424.940999999992</v>
          </cell>
          <cell r="V26">
            <v>5.5</v>
          </cell>
          <cell r="W26">
            <v>1435</v>
          </cell>
          <cell r="X26">
            <v>2319.3092400000005</v>
          </cell>
          <cell r="Y26">
            <v>6785.4210300000004</v>
          </cell>
          <cell r="Z26">
            <v>0</v>
          </cell>
          <cell r="AA26">
            <v>914.07092999999998</v>
          </cell>
          <cell r="AB26">
            <v>922.45</v>
          </cell>
          <cell r="AC26">
            <v>1972.885</v>
          </cell>
          <cell r="AD26">
            <v>805.673</v>
          </cell>
          <cell r="AE26">
            <v>0</v>
          </cell>
          <cell r="AF26">
            <v>3193.5</v>
          </cell>
          <cell r="AG26">
            <v>0</v>
          </cell>
          <cell r="AH26">
            <v>1095.7057199999999</v>
          </cell>
        </row>
        <row r="29">
          <cell r="E29">
            <v>0</v>
          </cell>
          <cell r="F29">
            <v>0</v>
          </cell>
          <cell r="G29">
            <v>1567.0980000000002</v>
          </cell>
          <cell r="H29">
            <v>42.414900000000003</v>
          </cell>
          <cell r="I29">
            <v>0</v>
          </cell>
          <cell r="J29">
            <v>0</v>
          </cell>
          <cell r="K29">
            <v>1532.6382900000001</v>
          </cell>
          <cell r="L29">
            <v>29274.830999999998</v>
          </cell>
          <cell r="M29">
            <v>36070.025000000001</v>
          </cell>
          <cell r="N29">
            <v>6605.2993499999993</v>
          </cell>
          <cell r="O29">
            <v>743.04</v>
          </cell>
          <cell r="P29">
            <v>12905.345490000002</v>
          </cell>
          <cell r="Q29">
            <v>36730.598709999998</v>
          </cell>
          <cell r="R29">
            <v>350</v>
          </cell>
          <cell r="S29">
            <v>623050.99899999984</v>
          </cell>
          <cell r="T29">
            <v>16571.36</v>
          </cell>
          <cell r="U29">
            <v>493705.66799999989</v>
          </cell>
          <cell r="V29">
            <v>29</v>
          </cell>
          <cell r="W29">
            <v>1115</v>
          </cell>
          <cell r="X29">
            <v>3514.5806600000001</v>
          </cell>
          <cell r="Y29">
            <v>4844.7097800000001</v>
          </cell>
          <cell r="Z29">
            <v>5000</v>
          </cell>
          <cell r="AA29">
            <v>1742.4014300000001</v>
          </cell>
          <cell r="AB29">
            <v>8131.7520000000004</v>
          </cell>
          <cell r="AC29">
            <v>0</v>
          </cell>
          <cell r="AD29">
            <v>1599.3320000000001</v>
          </cell>
          <cell r="AG29">
            <v>0</v>
          </cell>
          <cell r="AH29">
            <v>0</v>
          </cell>
        </row>
        <row r="30">
          <cell r="E30">
            <v>0</v>
          </cell>
          <cell r="F30">
            <v>0</v>
          </cell>
          <cell r="G30">
            <v>6107.5020000000004</v>
          </cell>
          <cell r="H30">
            <v>402.94155999999998</v>
          </cell>
          <cell r="I30">
            <v>0</v>
          </cell>
          <cell r="J30">
            <v>0</v>
          </cell>
          <cell r="K30">
            <v>8407.9187000000002</v>
          </cell>
          <cell r="L30">
            <v>157266.53049999999</v>
          </cell>
          <cell r="M30">
            <v>113685.22</v>
          </cell>
          <cell r="N30">
            <v>35165.110429999993</v>
          </cell>
          <cell r="O30">
            <v>5006</v>
          </cell>
          <cell r="P30">
            <v>75449.351089999967</v>
          </cell>
          <cell r="Q30">
            <v>214740.46080999999</v>
          </cell>
          <cell r="R30">
            <v>850</v>
          </cell>
          <cell r="S30">
            <v>3856279.9990000003</v>
          </cell>
          <cell r="T30">
            <v>38247.048000000003</v>
          </cell>
          <cell r="U30">
            <v>2867556.6159999999</v>
          </cell>
          <cell r="V30">
            <v>65.5</v>
          </cell>
          <cell r="W30">
            <v>0</v>
          </cell>
          <cell r="X30">
            <v>0</v>
          </cell>
          <cell r="Y30">
            <v>12118.950870000001</v>
          </cell>
          <cell r="Z30">
            <v>9270</v>
          </cell>
          <cell r="AA30">
            <v>7571.3242700000001</v>
          </cell>
          <cell r="AB30">
            <v>10744.966</v>
          </cell>
          <cell r="AC30">
            <v>0</v>
          </cell>
          <cell r="AD30">
            <v>1992.164</v>
          </cell>
          <cell r="AG30">
            <v>63.1</v>
          </cell>
          <cell r="AH30">
            <v>0</v>
          </cell>
        </row>
        <row r="37">
          <cell r="D37">
            <v>19425983977.009998</v>
          </cell>
        </row>
        <row r="38">
          <cell r="D38">
            <v>3235700</v>
          </cell>
        </row>
        <row r="39">
          <cell r="D39">
            <v>2272614400</v>
          </cell>
          <cell r="E39">
            <v>1704047013.1600001</v>
          </cell>
        </row>
      </sheetData>
      <sheetData sheetId="73"/>
      <sheetData sheetId="74">
        <row r="7">
          <cell r="B7">
            <v>327400</v>
          </cell>
        </row>
      </sheetData>
      <sheetData sheetId="75">
        <row r="10">
          <cell r="F10">
            <v>114874625.84000003</v>
          </cell>
          <cell r="R10">
            <v>0</v>
          </cell>
          <cell r="T10">
            <v>0</v>
          </cell>
          <cell r="AH10">
            <v>217781.07</v>
          </cell>
          <cell r="AJ10">
            <v>0</v>
          </cell>
          <cell r="AX10">
            <v>0</v>
          </cell>
          <cell r="BB10">
            <v>0</v>
          </cell>
          <cell r="BF10">
            <v>0</v>
          </cell>
          <cell r="BR10">
            <v>0</v>
          </cell>
          <cell r="BT10">
            <v>435000</v>
          </cell>
          <cell r="BV10">
            <v>70964.89</v>
          </cell>
          <cell r="CB10">
            <v>2073113.5099999998</v>
          </cell>
          <cell r="CD10">
            <v>0</v>
          </cell>
          <cell r="CH10">
            <v>5900400</v>
          </cell>
          <cell r="CR10">
            <v>0</v>
          </cell>
          <cell r="DX10">
            <v>0</v>
          </cell>
          <cell r="DZ10">
            <v>0</v>
          </cell>
          <cell r="FB10">
            <v>41637.529999999984</v>
          </cell>
          <cell r="FD10">
            <v>0</v>
          </cell>
          <cell r="FF10">
            <v>0</v>
          </cell>
          <cell r="FH10">
            <v>118506.83</v>
          </cell>
          <cell r="FJ10">
            <v>41637.529999999984</v>
          </cell>
          <cell r="FL10">
            <v>0</v>
          </cell>
          <cell r="FN10">
            <v>0</v>
          </cell>
          <cell r="FP10">
            <v>118506.83</v>
          </cell>
          <cell r="FV10">
            <v>0</v>
          </cell>
          <cell r="FX10">
            <v>0</v>
          </cell>
          <cell r="GF10">
            <v>0</v>
          </cell>
          <cell r="GH10">
            <v>5000000</v>
          </cell>
          <cell r="GJ10">
            <v>0</v>
          </cell>
          <cell r="GP10">
            <v>5000000</v>
          </cell>
          <cell r="GR10">
            <v>0</v>
          </cell>
          <cell r="HJ10">
            <v>0</v>
          </cell>
          <cell r="HL10">
            <v>43666625.600000001</v>
          </cell>
          <cell r="HN10">
            <v>4799000</v>
          </cell>
          <cell r="HR10">
            <v>2291323.2400000002</v>
          </cell>
          <cell r="HT10">
            <v>0</v>
          </cell>
          <cell r="HV10">
            <v>43666625.600000001</v>
          </cell>
          <cell r="HX10">
            <v>0</v>
          </cell>
          <cell r="HZ10">
            <v>6788616.8200000003</v>
          </cell>
          <cell r="IB10">
            <v>19175000</v>
          </cell>
          <cell r="ID10">
            <v>357295.62000000011</v>
          </cell>
          <cell r="IF10">
            <v>0</v>
          </cell>
          <cell r="IH10">
            <v>0</v>
          </cell>
          <cell r="IJ10">
            <v>6788616.8200000003</v>
          </cell>
          <cell r="IR10">
            <v>0</v>
          </cell>
          <cell r="IT10">
            <v>0</v>
          </cell>
          <cell r="JB10">
            <v>0</v>
          </cell>
          <cell r="JD10">
            <v>0</v>
          </cell>
          <cell r="JN10">
            <v>0</v>
          </cell>
          <cell r="JZ10">
            <v>0</v>
          </cell>
          <cell r="KF10">
            <v>0</v>
          </cell>
          <cell r="KN10">
            <v>0</v>
          </cell>
          <cell r="KP10">
            <v>0</v>
          </cell>
          <cell r="KR10">
            <v>0</v>
          </cell>
          <cell r="KV10">
            <v>0</v>
          </cell>
          <cell r="KZ10">
            <v>0</v>
          </cell>
          <cell r="LB10">
            <v>0</v>
          </cell>
          <cell r="LF10">
            <v>20513806.809999999</v>
          </cell>
          <cell r="LH10">
            <v>0</v>
          </cell>
          <cell r="LV10">
            <v>0</v>
          </cell>
          <cell r="MR10">
            <v>0</v>
          </cell>
          <cell r="MT10">
            <v>0</v>
          </cell>
          <cell r="ND10">
            <v>832650</v>
          </cell>
          <cell r="NF10">
            <v>0</v>
          </cell>
          <cell r="NH10">
            <v>0</v>
          </cell>
          <cell r="NJ10">
            <v>0</v>
          </cell>
          <cell r="NL10">
            <v>0</v>
          </cell>
          <cell r="NN10">
            <v>547309.22</v>
          </cell>
          <cell r="NP10">
            <v>45962.79</v>
          </cell>
          <cell r="NR10">
            <v>538380.75</v>
          </cell>
          <cell r="NT10">
            <v>0</v>
          </cell>
          <cell r="NV10">
            <v>0</v>
          </cell>
          <cell r="NX10">
            <v>0</v>
          </cell>
          <cell r="NZ10">
            <v>547309.22</v>
          </cell>
          <cell r="OB10">
            <v>45962.79</v>
          </cell>
          <cell r="OD10">
            <v>539880</v>
          </cell>
          <cell r="OF10">
            <v>112110</v>
          </cell>
          <cell r="OH10">
            <v>49290</v>
          </cell>
          <cell r="OJ10">
            <v>691479.65</v>
          </cell>
          <cell r="OP10">
            <v>539880</v>
          </cell>
          <cell r="OR10">
            <v>58676.6</v>
          </cell>
          <cell r="OT10">
            <v>102723.4</v>
          </cell>
          <cell r="OV10">
            <v>691479.65</v>
          </cell>
          <cell r="OY10">
            <v>0</v>
          </cell>
          <cell r="PA10">
            <v>0</v>
          </cell>
          <cell r="PC10">
            <v>0</v>
          </cell>
          <cell r="PK10">
            <v>0</v>
          </cell>
          <cell r="PM10">
            <v>0</v>
          </cell>
          <cell r="PW10">
            <v>68491.509999999995</v>
          </cell>
        </row>
        <row r="11">
          <cell r="R11">
            <v>0</v>
          </cell>
          <cell r="T11">
            <v>0</v>
          </cell>
          <cell r="AH11">
            <v>222464.53</v>
          </cell>
          <cell r="AJ11">
            <v>0</v>
          </cell>
          <cell r="AX11">
            <v>157442.10999999987</v>
          </cell>
          <cell r="AZ11">
            <v>2991400</v>
          </cell>
          <cell r="BB11">
            <v>0</v>
          </cell>
          <cell r="BF11">
            <v>0</v>
          </cell>
          <cell r="BR11">
            <v>0</v>
          </cell>
          <cell r="BT11">
            <v>458000</v>
          </cell>
          <cell r="BV11">
            <v>235978.23999999999</v>
          </cell>
          <cell r="CB11">
            <v>0</v>
          </cell>
          <cell r="CD11">
            <v>0</v>
          </cell>
          <cell r="CR11">
            <v>0</v>
          </cell>
          <cell r="DX11">
            <v>13043.48</v>
          </cell>
          <cell r="DZ11">
            <v>0</v>
          </cell>
          <cell r="FB11">
            <v>62906.790000000008</v>
          </cell>
          <cell r="FD11">
            <v>0</v>
          </cell>
          <cell r="FF11">
            <v>0</v>
          </cell>
          <cell r="FH11">
            <v>179042.41</v>
          </cell>
          <cell r="FJ11">
            <v>62906.790000000008</v>
          </cell>
          <cell r="FL11">
            <v>0</v>
          </cell>
          <cell r="FN11">
            <v>0</v>
          </cell>
          <cell r="FP11">
            <v>179042.41</v>
          </cell>
          <cell r="FR11">
            <v>92125100</v>
          </cell>
          <cell r="FT11">
            <v>92125100</v>
          </cell>
          <cell r="FV11">
            <v>930556.57</v>
          </cell>
          <cell r="FX11">
            <v>930556.57</v>
          </cell>
          <cell r="FZ11">
            <v>92125100</v>
          </cell>
          <cell r="GB11">
            <v>92125100</v>
          </cell>
          <cell r="GD11">
            <v>26000000</v>
          </cell>
          <cell r="GF11">
            <v>1368421.3999999985</v>
          </cell>
          <cell r="GH11">
            <v>1368421.3999999985</v>
          </cell>
          <cell r="GJ11">
            <v>0</v>
          </cell>
          <cell r="GL11">
            <v>26000000</v>
          </cell>
          <cell r="GN11">
            <v>26000000</v>
          </cell>
          <cell r="GP11">
            <v>0</v>
          </cell>
          <cell r="GR11">
            <v>0</v>
          </cell>
          <cell r="HJ11">
            <v>0</v>
          </cell>
          <cell r="HL11">
            <v>49290000</v>
          </cell>
          <cell r="HN11">
            <v>7248000</v>
          </cell>
          <cell r="HP11">
            <v>113376690</v>
          </cell>
          <cell r="HR11">
            <v>3934533.18</v>
          </cell>
          <cell r="HT11">
            <v>0</v>
          </cell>
          <cell r="HV11">
            <v>49290000</v>
          </cell>
          <cell r="HX11">
            <v>0</v>
          </cell>
          <cell r="HZ11">
            <v>113376690</v>
          </cell>
          <cell r="IB11">
            <v>4650000</v>
          </cell>
          <cell r="ID11">
            <v>0</v>
          </cell>
          <cell r="IF11">
            <v>0</v>
          </cell>
          <cell r="IH11">
            <v>0</v>
          </cell>
          <cell r="IR11">
            <v>0</v>
          </cell>
          <cell r="IT11">
            <v>87105.579999999842</v>
          </cell>
          <cell r="IZ11">
            <v>1655006.05</v>
          </cell>
          <cell r="JB11">
            <v>0</v>
          </cell>
          <cell r="JD11">
            <v>67922.45</v>
          </cell>
          <cell r="JJ11">
            <v>1290526.6400000001</v>
          </cell>
          <cell r="JN11">
            <v>0</v>
          </cell>
          <cell r="JZ11">
            <v>0</v>
          </cell>
          <cell r="KF11">
            <v>123288200</v>
          </cell>
          <cell r="KN11">
            <v>0</v>
          </cell>
          <cell r="KP11">
            <v>0</v>
          </cell>
          <cell r="KR11">
            <v>123288200</v>
          </cell>
          <cell r="KV11">
            <v>19668962.129999999</v>
          </cell>
          <cell r="KZ11">
            <v>0</v>
          </cell>
          <cell r="LB11">
            <v>0</v>
          </cell>
          <cell r="LF11">
            <v>21800347.690000001</v>
          </cell>
          <cell r="LH11">
            <v>28102716.829999998</v>
          </cell>
          <cell r="LV11">
            <v>0</v>
          </cell>
          <cell r="MR11">
            <v>0</v>
          </cell>
          <cell r="MT11">
            <v>64600000</v>
          </cell>
          <cell r="MV11">
            <v>64600000</v>
          </cell>
          <cell r="ND11">
            <v>53000000</v>
          </cell>
          <cell r="NF11">
            <v>64600000</v>
          </cell>
          <cell r="NH11">
            <v>64600000</v>
          </cell>
          <cell r="NJ11">
            <v>0</v>
          </cell>
          <cell r="NL11">
            <v>5010800</v>
          </cell>
          <cell r="NN11">
            <v>520381.94</v>
          </cell>
          <cell r="NP11">
            <v>1154646.1299999999</v>
          </cell>
          <cell r="NR11">
            <v>0</v>
          </cell>
          <cell r="NT11">
            <v>0</v>
          </cell>
          <cell r="NV11">
            <v>0</v>
          </cell>
          <cell r="NX11">
            <v>5010800</v>
          </cell>
          <cell r="NZ11">
            <v>520381.94</v>
          </cell>
          <cell r="OB11">
            <v>1154646.1299999999</v>
          </cell>
          <cell r="OD11">
            <v>2073510.6099999999</v>
          </cell>
          <cell r="OF11">
            <v>935850</v>
          </cell>
          <cell r="OH11">
            <v>1650230</v>
          </cell>
          <cell r="OJ11">
            <v>462418.86</v>
          </cell>
          <cell r="OP11">
            <v>2073510.6099999999</v>
          </cell>
          <cell r="OR11">
            <v>940163.4</v>
          </cell>
          <cell r="OT11">
            <v>1645916.6</v>
          </cell>
          <cell r="OV11">
            <v>462418.86</v>
          </cell>
          <cell r="OY11">
            <v>905946.91000000015</v>
          </cell>
          <cell r="PA11">
            <v>249161.56</v>
          </cell>
          <cell r="PC11">
            <v>0</v>
          </cell>
          <cell r="PK11">
            <v>0</v>
          </cell>
          <cell r="PM11">
            <v>0</v>
          </cell>
          <cell r="PW11">
            <v>0</v>
          </cell>
        </row>
        <row r="12">
          <cell r="R12">
            <v>0</v>
          </cell>
          <cell r="T12">
            <v>0</v>
          </cell>
          <cell r="AH12">
            <v>227354.49</v>
          </cell>
          <cell r="AJ12">
            <v>0</v>
          </cell>
          <cell r="AX12">
            <v>0</v>
          </cell>
          <cell r="BB12">
            <v>0</v>
          </cell>
          <cell r="BF12">
            <v>0</v>
          </cell>
          <cell r="BR12">
            <v>1474819.08</v>
          </cell>
          <cell r="BT12">
            <v>0</v>
          </cell>
          <cell r="BV12">
            <v>183099.06</v>
          </cell>
          <cell r="CB12">
            <v>0</v>
          </cell>
          <cell r="CD12">
            <v>0</v>
          </cell>
          <cell r="CR12">
            <v>0</v>
          </cell>
          <cell r="DX12">
            <v>0</v>
          </cell>
          <cell r="DZ12">
            <v>0</v>
          </cell>
          <cell r="FB12">
            <v>75940.920000000013</v>
          </cell>
          <cell r="FD12">
            <v>0</v>
          </cell>
          <cell r="FF12">
            <v>0</v>
          </cell>
          <cell r="FH12">
            <v>216139.53</v>
          </cell>
          <cell r="FJ12">
            <v>75940.920000000013</v>
          </cell>
          <cell r="FL12">
            <v>0</v>
          </cell>
          <cell r="FN12">
            <v>0</v>
          </cell>
          <cell r="FP12">
            <v>216139.53</v>
          </cell>
          <cell r="FR12">
            <v>72384000</v>
          </cell>
          <cell r="FT12">
            <v>72384000</v>
          </cell>
          <cell r="FV12">
            <v>731151.52</v>
          </cell>
          <cell r="FX12">
            <v>731151.52</v>
          </cell>
          <cell r="FZ12">
            <v>72384000</v>
          </cell>
          <cell r="GB12">
            <v>72384000</v>
          </cell>
          <cell r="GD12">
            <v>15600000</v>
          </cell>
          <cell r="GF12">
            <v>821052.83999999985</v>
          </cell>
          <cell r="GH12">
            <v>821052.83999999985</v>
          </cell>
          <cell r="GJ12">
            <v>11136045.08</v>
          </cell>
          <cell r="GL12">
            <v>15600000</v>
          </cell>
          <cell r="GN12">
            <v>15600000</v>
          </cell>
          <cell r="GP12">
            <v>0</v>
          </cell>
          <cell r="GR12">
            <v>11136045.08</v>
          </cell>
          <cell r="HJ12">
            <v>0</v>
          </cell>
          <cell r="HL12">
            <v>36031778</v>
          </cell>
          <cell r="HN12">
            <v>26193000</v>
          </cell>
          <cell r="HP12">
            <v>52733881.299999997</v>
          </cell>
          <cell r="HR12">
            <v>12643800</v>
          </cell>
          <cell r="HT12">
            <v>0</v>
          </cell>
          <cell r="HV12">
            <v>107371778</v>
          </cell>
          <cell r="HX12">
            <v>1012337.620000001</v>
          </cell>
          <cell r="HZ12">
            <v>52733881.299999997</v>
          </cell>
          <cell r="IB12">
            <v>40380530.880000003</v>
          </cell>
          <cell r="ID12">
            <v>0</v>
          </cell>
          <cell r="IF12">
            <v>997983.76</v>
          </cell>
          <cell r="IH12">
            <v>997983.76</v>
          </cell>
          <cell r="IL12">
            <v>18961691.460000001</v>
          </cell>
          <cell r="IN12">
            <v>18961691.460000001</v>
          </cell>
          <cell r="IR12">
            <v>0</v>
          </cell>
          <cell r="IT12">
            <v>85037.129999999888</v>
          </cell>
          <cell r="IZ12">
            <v>1615705.51</v>
          </cell>
          <cell r="JB12">
            <v>0</v>
          </cell>
          <cell r="JD12">
            <v>85037.129999999888</v>
          </cell>
          <cell r="JJ12">
            <v>1615705.51</v>
          </cell>
          <cell r="JN12">
            <v>0</v>
          </cell>
          <cell r="JZ12">
            <v>0</v>
          </cell>
          <cell r="KF12">
            <v>0</v>
          </cell>
          <cell r="KN12">
            <v>47088003.100000001</v>
          </cell>
          <cell r="KP12">
            <v>0</v>
          </cell>
          <cell r="KR12">
            <v>0</v>
          </cell>
          <cell r="KV12">
            <v>8457381.1999999993</v>
          </cell>
          <cell r="KZ12">
            <v>47088003.100000001</v>
          </cell>
          <cell r="LB12">
            <v>0</v>
          </cell>
          <cell r="LF12">
            <v>25973874.800000001</v>
          </cell>
          <cell r="LH12">
            <v>14865897.48</v>
          </cell>
          <cell r="MT12">
            <v>0</v>
          </cell>
          <cell r="MV12">
            <v>0</v>
          </cell>
          <cell r="NF12">
            <v>861801.60000000009</v>
          </cell>
          <cell r="NH12">
            <v>0</v>
          </cell>
          <cell r="NJ12">
            <v>649075.68000000005</v>
          </cell>
          <cell r="NL12">
            <v>4381800</v>
          </cell>
          <cell r="NN12">
            <v>1345029.46</v>
          </cell>
          <cell r="NP12">
            <v>1342716.54</v>
          </cell>
          <cell r="NR12">
            <v>700000</v>
          </cell>
          <cell r="NT12">
            <v>649075.68000000005</v>
          </cell>
          <cell r="NV12">
            <v>649075.68000000005</v>
          </cell>
          <cell r="NX12">
            <v>4381800</v>
          </cell>
          <cell r="NZ12">
            <v>1345029.46</v>
          </cell>
          <cell r="OB12">
            <v>1342716.54</v>
          </cell>
          <cell r="OD12">
            <v>845440</v>
          </cell>
          <cell r="OF12">
            <v>21810</v>
          </cell>
          <cell r="OH12">
            <v>39310</v>
          </cell>
          <cell r="OJ12">
            <v>461551.64</v>
          </cell>
          <cell r="OP12">
            <v>845440</v>
          </cell>
          <cell r="OR12">
            <v>22220.03</v>
          </cell>
          <cell r="OT12">
            <v>38899.97</v>
          </cell>
          <cell r="OV12">
            <v>461551.64</v>
          </cell>
          <cell r="OY12">
            <v>254076.59</v>
          </cell>
          <cell r="PA12">
            <v>0</v>
          </cell>
          <cell r="PC12">
            <v>96605.22</v>
          </cell>
          <cell r="PK12">
            <v>0</v>
          </cell>
          <cell r="PM12">
            <v>0</v>
          </cell>
          <cell r="PW12">
            <v>123062.33</v>
          </cell>
        </row>
        <row r="13">
          <cell r="AH13">
            <v>220097.89</v>
          </cell>
          <cell r="BR13">
            <v>2304447.2599999998</v>
          </cell>
          <cell r="BV13">
            <v>117661.4</v>
          </cell>
          <cell r="CR13">
            <v>1671589.1900000004</v>
          </cell>
          <cell r="CT13">
            <v>4757600</v>
          </cell>
          <cell r="DX13">
            <v>7826.1</v>
          </cell>
          <cell r="FB13">
            <v>65544.639999999985</v>
          </cell>
          <cell r="FH13">
            <v>186550.13</v>
          </cell>
          <cell r="FJ13">
            <v>65544.639999999985</v>
          </cell>
          <cell r="FP13">
            <v>186550.13</v>
          </cell>
          <cell r="GJ13">
            <v>17630865.18</v>
          </cell>
          <cell r="GR13">
            <v>17630865.18</v>
          </cell>
          <cell r="HJ13">
            <v>0</v>
          </cell>
          <cell r="HL13">
            <v>53236900</v>
          </cell>
          <cell r="HN13">
            <v>40607000</v>
          </cell>
          <cell r="HR13">
            <v>26779017.289999999</v>
          </cell>
          <cell r="HT13">
            <v>0</v>
          </cell>
          <cell r="HV13">
            <v>53236900</v>
          </cell>
          <cell r="IB13">
            <v>40600000</v>
          </cell>
          <cell r="IF13">
            <v>587801.25</v>
          </cell>
          <cell r="IL13">
            <v>11168223.800000001</v>
          </cell>
          <cell r="KZ13">
            <v>50000000</v>
          </cell>
          <cell r="LF13">
            <v>26829232.25</v>
          </cell>
          <cell r="MR13">
            <v>19608000</v>
          </cell>
          <cell r="ND13">
            <v>44889770</v>
          </cell>
          <cell r="NF13">
            <v>1632199.98</v>
          </cell>
          <cell r="NL13">
            <v>36115290</v>
          </cell>
          <cell r="NN13">
            <v>1473574.35</v>
          </cell>
          <cell r="NP13">
            <v>1606199.92</v>
          </cell>
          <cell r="NZ13">
            <v>1473574.35</v>
          </cell>
          <cell r="OB13">
            <v>1606199.92</v>
          </cell>
          <cell r="OD13">
            <v>3497891.64</v>
          </cell>
          <cell r="OF13">
            <v>16680</v>
          </cell>
          <cell r="OH13">
            <v>29090</v>
          </cell>
          <cell r="OJ13">
            <v>353490.17</v>
          </cell>
          <cell r="OP13">
            <v>3497891.64</v>
          </cell>
          <cell r="OR13">
            <v>16639.580000000002</v>
          </cell>
          <cell r="OT13">
            <v>29130.42</v>
          </cell>
          <cell r="OV13">
            <v>353490.17</v>
          </cell>
          <cell r="OY13">
            <v>423386.08000000007</v>
          </cell>
          <cell r="PA13">
            <v>0</v>
          </cell>
          <cell r="PM13">
            <v>0</v>
          </cell>
        </row>
        <row r="14">
          <cell r="R14">
            <v>0</v>
          </cell>
          <cell r="T14">
            <v>0</v>
          </cell>
          <cell r="AH14">
            <v>215512.51</v>
          </cell>
          <cell r="AJ14">
            <v>0</v>
          </cell>
          <cell r="AX14">
            <v>0</v>
          </cell>
          <cell r="BB14">
            <v>0</v>
          </cell>
          <cell r="BF14">
            <v>0</v>
          </cell>
          <cell r="BR14">
            <v>2304447.2599999998</v>
          </cell>
          <cell r="BT14">
            <v>0</v>
          </cell>
          <cell r="BV14">
            <v>171689.25</v>
          </cell>
          <cell r="CB14">
            <v>0</v>
          </cell>
          <cell r="CD14">
            <v>0</v>
          </cell>
          <cell r="CR14">
            <v>0</v>
          </cell>
          <cell r="DX14">
            <v>38260.870000000003</v>
          </cell>
          <cell r="DZ14">
            <v>0</v>
          </cell>
          <cell r="FB14">
            <v>82582.949999999983</v>
          </cell>
          <cell r="FD14">
            <v>0</v>
          </cell>
          <cell r="FF14">
            <v>0</v>
          </cell>
          <cell r="FH14">
            <v>235043.77</v>
          </cell>
          <cell r="FJ14">
            <v>82582.949999999983</v>
          </cell>
          <cell r="FL14">
            <v>0</v>
          </cell>
          <cell r="FN14">
            <v>0</v>
          </cell>
          <cell r="FP14">
            <v>235043.77</v>
          </cell>
          <cell r="FV14">
            <v>0</v>
          </cell>
          <cell r="FX14">
            <v>0</v>
          </cell>
          <cell r="FZ14">
            <v>0</v>
          </cell>
          <cell r="GF14">
            <v>0</v>
          </cell>
          <cell r="GH14">
            <v>0</v>
          </cell>
          <cell r="GJ14">
            <v>0</v>
          </cell>
          <cell r="GP14">
            <v>15000000</v>
          </cell>
          <cell r="GR14">
            <v>0</v>
          </cell>
          <cell r="HJ14">
            <v>0</v>
          </cell>
          <cell r="HL14">
            <v>51003088.5</v>
          </cell>
          <cell r="HN14">
            <v>53305000</v>
          </cell>
          <cell r="HR14">
            <v>33007941.620000001</v>
          </cell>
          <cell r="HT14">
            <v>0</v>
          </cell>
          <cell r="HV14">
            <v>51003088.5</v>
          </cell>
          <cell r="HZ14">
            <v>110880741.45</v>
          </cell>
          <cell r="IB14">
            <v>36919009.979999997</v>
          </cell>
          <cell r="ID14">
            <v>5835828.4599999934</v>
          </cell>
          <cell r="IF14">
            <v>0</v>
          </cell>
          <cell r="IJ14">
            <v>110880741.45</v>
          </cell>
          <cell r="IR14">
            <v>170701.76000000024</v>
          </cell>
          <cell r="IT14">
            <v>0</v>
          </cell>
          <cell r="IX14">
            <v>3243333.44</v>
          </cell>
          <cell r="JB14">
            <v>152102.69</v>
          </cell>
          <cell r="JD14">
            <v>0</v>
          </cell>
          <cell r="JH14">
            <v>2889951.19</v>
          </cell>
          <cell r="JN14">
            <v>8267795.29</v>
          </cell>
          <cell r="JP14">
            <v>157087380.22999999</v>
          </cell>
          <cell r="JZ14">
            <v>32433352.629999995</v>
          </cell>
          <cell r="KF14">
            <v>616233700</v>
          </cell>
          <cell r="KN14">
            <v>0</v>
          </cell>
          <cell r="KP14">
            <v>0</v>
          </cell>
          <cell r="KR14">
            <v>0</v>
          </cell>
          <cell r="KV14">
            <v>0</v>
          </cell>
          <cell r="KZ14">
            <v>0</v>
          </cell>
          <cell r="LB14">
            <v>0</v>
          </cell>
          <cell r="LF14">
            <v>35144776.350000001</v>
          </cell>
          <cell r="LH14">
            <v>0</v>
          </cell>
          <cell r="LV14">
            <v>0</v>
          </cell>
          <cell r="MH14">
            <v>6726687.7300000004</v>
          </cell>
          <cell r="MR14">
            <v>0</v>
          </cell>
          <cell r="MT14">
            <v>6726687.7300000004</v>
          </cell>
          <cell r="ND14">
            <v>0</v>
          </cell>
          <cell r="NF14">
            <v>0</v>
          </cell>
          <cell r="NH14">
            <v>0</v>
          </cell>
          <cell r="NJ14">
            <v>0</v>
          </cell>
          <cell r="NL14">
            <v>0</v>
          </cell>
          <cell r="NN14">
            <v>299720.09000000003</v>
          </cell>
          <cell r="NP14">
            <v>115404.56</v>
          </cell>
          <cell r="NR14">
            <v>700000</v>
          </cell>
          <cell r="NT14">
            <v>0</v>
          </cell>
          <cell r="NV14">
            <v>0</v>
          </cell>
          <cell r="NX14">
            <v>0</v>
          </cell>
          <cell r="NZ14">
            <v>299720.09000000003</v>
          </cell>
          <cell r="OB14">
            <v>115404.56</v>
          </cell>
          <cell r="OD14">
            <v>995830</v>
          </cell>
          <cell r="OF14">
            <v>113870</v>
          </cell>
          <cell r="OH14">
            <v>205190</v>
          </cell>
          <cell r="OJ14">
            <v>227717.34</v>
          </cell>
          <cell r="OP14">
            <v>995830</v>
          </cell>
          <cell r="OR14">
            <v>115993.52</v>
          </cell>
          <cell r="OT14">
            <v>203066.48</v>
          </cell>
          <cell r="OV14">
            <v>227717.34</v>
          </cell>
          <cell r="OY14">
            <v>0</v>
          </cell>
          <cell r="PA14">
            <v>0</v>
          </cell>
          <cell r="PC14">
            <v>96358.3</v>
          </cell>
          <cell r="PK14">
            <v>0</v>
          </cell>
          <cell r="PM14">
            <v>0</v>
          </cell>
          <cell r="PW14">
            <v>108055.36</v>
          </cell>
        </row>
        <row r="15">
          <cell r="R15">
            <v>0</v>
          </cell>
          <cell r="T15">
            <v>0</v>
          </cell>
          <cell r="AH15">
            <v>220097.89</v>
          </cell>
          <cell r="AJ15">
            <v>0</v>
          </cell>
          <cell r="AX15">
            <v>0</v>
          </cell>
          <cell r="BB15">
            <v>0</v>
          </cell>
          <cell r="BF15">
            <v>0</v>
          </cell>
          <cell r="BR15">
            <v>0</v>
          </cell>
          <cell r="BT15">
            <v>0</v>
          </cell>
          <cell r="BV15">
            <v>58636.800000000003</v>
          </cell>
          <cell r="CB15">
            <v>0</v>
          </cell>
          <cell r="CD15">
            <v>0</v>
          </cell>
          <cell r="CR15">
            <v>0</v>
          </cell>
          <cell r="DX15">
            <v>0</v>
          </cell>
          <cell r="DZ15">
            <v>0</v>
          </cell>
          <cell r="FB15">
            <v>21600.03</v>
          </cell>
          <cell r="FD15">
            <v>0</v>
          </cell>
          <cell r="FF15">
            <v>0</v>
          </cell>
          <cell r="FH15">
            <v>61477</v>
          </cell>
          <cell r="FJ15">
            <v>21600.03</v>
          </cell>
          <cell r="FL15">
            <v>0</v>
          </cell>
          <cell r="FN15">
            <v>0</v>
          </cell>
          <cell r="FP15">
            <v>61477</v>
          </cell>
          <cell r="FV15">
            <v>0</v>
          </cell>
          <cell r="FX15">
            <v>0</v>
          </cell>
          <cell r="FZ15">
            <v>0</v>
          </cell>
          <cell r="GF15">
            <v>0</v>
          </cell>
          <cell r="GH15">
            <v>0</v>
          </cell>
          <cell r="GJ15">
            <v>9893329.0199999996</v>
          </cell>
          <cell r="GP15">
            <v>0</v>
          </cell>
          <cell r="GR15">
            <v>9893329.0199999996</v>
          </cell>
          <cell r="HJ15">
            <v>0</v>
          </cell>
          <cell r="HL15">
            <v>46638015.740000002</v>
          </cell>
          <cell r="HN15">
            <v>0</v>
          </cell>
          <cell r="HR15">
            <v>0</v>
          </cell>
          <cell r="HT15">
            <v>0</v>
          </cell>
          <cell r="HV15">
            <v>46638015.740000002</v>
          </cell>
          <cell r="IB15">
            <v>23359400</v>
          </cell>
          <cell r="ID15">
            <v>0</v>
          </cell>
          <cell r="IF15">
            <v>0</v>
          </cell>
          <cell r="IR15">
            <v>0</v>
          </cell>
          <cell r="IT15">
            <v>99750</v>
          </cell>
          <cell r="IZ15">
            <v>1895250</v>
          </cell>
          <cell r="JB15">
            <v>0</v>
          </cell>
          <cell r="JD15">
            <v>84359.8</v>
          </cell>
          <cell r="JJ15">
            <v>1602836.18</v>
          </cell>
          <cell r="JN15">
            <v>0</v>
          </cell>
          <cell r="JZ15">
            <v>0</v>
          </cell>
          <cell r="KF15">
            <v>0</v>
          </cell>
          <cell r="KN15">
            <v>0</v>
          </cell>
          <cell r="KP15">
            <v>0</v>
          </cell>
          <cell r="KR15">
            <v>0</v>
          </cell>
          <cell r="KV15">
            <v>0</v>
          </cell>
          <cell r="KZ15">
            <v>77482340</v>
          </cell>
          <cell r="LB15">
            <v>0</v>
          </cell>
          <cell r="LF15">
            <v>28930096.879999999</v>
          </cell>
          <cell r="LH15">
            <v>0</v>
          </cell>
          <cell r="LV15">
            <v>0</v>
          </cell>
          <cell r="MR15">
            <v>3412200</v>
          </cell>
          <cell r="MT15">
            <v>0</v>
          </cell>
          <cell r="ND15">
            <v>0</v>
          </cell>
          <cell r="NF15">
            <v>0</v>
          </cell>
          <cell r="NH15">
            <v>0</v>
          </cell>
          <cell r="NJ15">
            <v>0</v>
          </cell>
          <cell r="NL15">
            <v>0</v>
          </cell>
          <cell r="NN15">
            <v>2799964.8</v>
          </cell>
          <cell r="NP15">
            <v>714627.81</v>
          </cell>
          <cell r="NR15">
            <v>700000</v>
          </cell>
          <cell r="NT15">
            <v>0</v>
          </cell>
          <cell r="NV15">
            <v>0</v>
          </cell>
          <cell r="NX15">
            <v>0</v>
          </cell>
          <cell r="NZ15">
            <v>4082900.84</v>
          </cell>
          <cell r="OB15">
            <v>714627.81</v>
          </cell>
          <cell r="OD15">
            <v>399890</v>
          </cell>
          <cell r="OF15">
            <v>37850</v>
          </cell>
          <cell r="OH15">
            <v>66040</v>
          </cell>
          <cell r="OJ15">
            <v>256948.80000000002</v>
          </cell>
          <cell r="OP15">
            <v>399890</v>
          </cell>
          <cell r="OR15">
            <v>37768.97</v>
          </cell>
          <cell r="OT15">
            <v>66121.03</v>
          </cell>
          <cell r="OV15">
            <v>256948.80000000002</v>
          </cell>
          <cell r="OY15">
            <v>249832.9</v>
          </cell>
          <cell r="PA15">
            <v>110521.44</v>
          </cell>
          <cell r="PC15">
            <v>78716.2</v>
          </cell>
          <cell r="PG15">
            <v>312911.32</v>
          </cell>
          <cell r="PK15">
            <v>0</v>
          </cell>
          <cell r="PM15">
            <v>110521.44</v>
          </cell>
          <cell r="PS15">
            <v>312911.32</v>
          </cell>
          <cell r="PW15">
            <v>109127.28</v>
          </cell>
        </row>
        <row r="16">
          <cell r="R16">
            <v>0</v>
          </cell>
          <cell r="T16">
            <v>0</v>
          </cell>
          <cell r="AH16">
            <v>211633.29</v>
          </cell>
          <cell r="AJ16">
            <v>476800</v>
          </cell>
          <cell r="AX16">
            <v>0</v>
          </cell>
          <cell r="BB16">
            <v>0</v>
          </cell>
          <cell r="BF16">
            <v>0</v>
          </cell>
          <cell r="BR16">
            <v>0</v>
          </cell>
          <cell r="BT16">
            <v>0</v>
          </cell>
          <cell r="BV16">
            <v>200460.76</v>
          </cell>
          <cell r="CB16">
            <v>0</v>
          </cell>
          <cell r="CD16">
            <v>0</v>
          </cell>
          <cell r="CR16">
            <v>0</v>
          </cell>
          <cell r="DX16">
            <v>12173.91</v>
          </cell>
          <cell r="DZ16">
            <v>0</v>
          </cell>
          <cell r="FB16">
            <v>41042.409999999989</v>
          </cell>
          <cell r="FD16">
            <v>0</v>
          </cell>
          <cell r="FF16">
            <v>0</v>
          </cell>
          <cell r="FH16">
            <v>116813.02</v>
          </cell>
          <cell r="FJ16">
            <v>41042.409999999989</v>
          </cell>
          <cell r="FL16">
            <v>0</v>
          </cell>
          <cell r="FN16">
            <v>0</v>
          </cell>
          <cell r="FP16">
            <v>116813.02</v>
          </cell>
          <cell r="FV16">
            <v>0</v>
          </cell>
          <cell r="FX16">
            <v>0</v>
          </cell>
          <cell r="FZ16">
            <v>0</v>
          </cell>
          <cell r="GF16">
            <v>0</v>
          </cell>
          <cell r="GH16">
            <v>0</v>
          </cell>
          <cell r="GJ16">
            <v>18504809.469999999</v>
          </cell>
          <cell r="GP16">
            <v>0</v>
          </cell>
          <cell r="GR16">
            <v>18504809.469999999</v>
          </cell>
          <cell r="HJ16">
            <v>0</v>
          </cell>
          <cell r="HL16">
            <v>0</v>
          </cell>
          <cell r="HN16">
            <v>0</v>
          </cell>
          <cell r="HR16">
            <v>0</v>
          </cell>
          <cell r="HT16">
            <v>0</v>
          </cell>
          <cell r="HV16">
            <v>0</v>
          </cell>
          <cell r="IB16">
            <v>0</v>
          </cell>
          <cell r="ID16">
            <v>0</v>
          </cell>
          <cell r="IF16">
            <v>0</v>
          </cell>
          <cell r="IR16">
            <v>0</v>
          </cell>
          <cell r="IT16">
            <v>0</v>
          </cell>
          <cell r="JB16">
            <v>0</v>
          </cell>
          <cell r="JD16">
            <v>0</v>
          </cell>
          <cell r="JN16">
            <v>0</v>
          </cell>
          <cell r="JZ16">
            <v>0</v>
          </cell>
          <cell r="KF16">
            <v>0</v>
          </cell>
          <cell r="KN16">
            <v>0</v>
          </cell>
          <cell r="KP16">
            <v>0</v>
          </cell>
          <cell r="KR16">
            <v>0</v>
          </cell>
          <cell r="KV16">
            <v>0</v>
          </cell>
          <cell r="KZ16">
            <v>0</v>
          </cell>
          <cell r="LB16">
            <v>0</v>
          </cell>
          <cell r="LF16">
            <v>43934686.239999995</v>
          </cell>
          <cell r="LH16">
            <v>0</v>
          </cell>
          <cell r="LV16">
            <v>0</v>
          </cell>
          <cell r="MR16">
            <v>0</v>
          </cell>
          <cell r="MT16">
            <v>0</v>
          </cell>
          <cell r="ND16">
            <v>0</v>
          </cell>
          <cell r="NF16">
            <v>0</v>
          </cell>
          <cell r="NH16">
            <v>0</v>
          </cell>
          <cell r="NJ16">
            <v>0</v>
          </cell>
          <cell r="NL16">
            <v>1484400</v>
          </cell>
          <cell r="NN16">
            <v>923239.44</v>
          </cell>
          <cell r="NP16">
            <v>1518660.02</v>
          </cell>
          <cell r="NR16">
            <v>530548.81999999995</v>
          </cell>
          <cell r="NT16">
            <v>0</v>
          </cell>
          <cell r="NV16">
            <v>0</v>
          </cell>
          <cell r="NX16">
            <v>1484400</v>
          </cell>
          <cell r="NZ16">
            <v>923239.44</v>
          </cell>
          <cell r="OB16">
            <v>1518660.02</v>
          </cell>
          <cell r="OD16">
            <v>941710</v>
          </cell>
          <cell r="OF16">
            <v>49120</v>
          </cell>
          <cell r="OH16">
            <v>85690</v>
          </cell>
          <cell r="OJ16">
            <v>414283.32</v>
          </cell>
          <cell r="OP16">
            <v>941710</v>
          </cell>
          <cell r="OR16">
            <v>49009.86</v>
          </cell>
          <cell r="OT16">
            <v>85800.14</v>
          </cell>
          <cell r="OV16">
            <v>414283.32</v>
          </cell>
          <cell r="OY16">
            <v>519342.66000000003</v>
          </cell>
          <cell r="PA16">
            <v>200582.08999999997</v>
          </cell>
          <cell r="PC16">
            <v>97115.89</v>
          </cell>
          <cell r="PG16">
            <v>567893.5</v>
          </cell>
          <cell r="PK16">
            <v>0</v>
          </cell>
          <cell r="PM16">
            <v>200582.08999999997</v>
          </cell>
          <cell r="PS16">
            <v>567893.5</v>
          </cell>
          <cell r="PW16">
            <v>0</v>
          </cell>
        </row>
        <row r="17">
          <cell r="R17">
            <v>0</v>
          </cell>
          <cell r="T17">
            <v>0</v>
          </cell>
          <cell r="AH17">
            <v>217781.07</v>
          </cell>
          <cell r="AJ17">
            <v>0</v>
          </cell>
          <cell r="AX17">
            <v>0</v>
          </cell>
          <cell r="BB17">
            <v>0</v>
          </cell>
          <cell r="BD17">
            <v>12000000</v>
          </cell>
          <cell r="BF17">
            <v>26428156.760000005</v>
          </cell>
          <cell r="BH17">
            <v>75218600</v>
          </cell>
          <cell r="BJ17">
            <v>20000000</v>
          </cell>
          <cell r="BR17">
            <v>0</v>
          </cell>
          <cell r="BT17">
            <v>0</v>
          </cell>
          <cell r="BV17">
            <v>66983.22</v>
          </cell>
          <cell r="CB17">
            <v>0</v>
          </cell>
          <cell r="CD17">
            <v>0</v>
          </cell>
          <cell r="CR17">
            <v>0</v>
          </cell>
          <cell r="DX17">
            <v>8695.65</v>
          </cell>
          <cell r="DZ17">
            <v>0</v>
          </cell>
          <cell r="FB17">
            <v>33625.240000000005</v>
          </cell>
          <cell r="FD17">
            <v>11771.349999999991</v>
          </cell>
          <cell r="FF17">
            <v>11771.349999999991</v>
          </cell>
          <cell r="FH17">
            <v>95702.61</v>
          </cell>
          <cell r="FJ17">
            <v>33625.240000000005</v>
          </cell>
          <cell r="FL17">
            <v>11771.349999999991</v>
          </cell>
          <cell r="FN17">
            <v>11771.349999999991</v>
          </cell>
          <cell r="FP17">
            <v>95702.61</v>
          </cell>
          <cell r="FR17">
            <v>33503.06</v>
          </cell>
          <cell r="FT17">
            <v>33503.06</v>
          </cell>
          <cell r="FV17">
            <v>0</v>
          </cell>
          <cell r="FX17">
            <v>821052.83999999985</v>
          </cell>
          <cell r="FZ17">
            <v>821052.83999999985</v>
          </cell>
          <cell r="GD17">
            <v>15600000</v>
          </cell>
          <cell r="GF17">
            <v>821052.83999999985</v>
          </cell>
          <cell r="GH17">
            <v>821052.83999999985</v>
          </cell>
          <cell r="GJ17">
            <v>0</v>
          </cell>
          <cell r="GL17">
            <v>15600000</v>
          </cell>
          <cell r="GN17">
            <v>15600000</v>
          </cell>
          <cell r="GP17">
            <v>0</v>
          </cell>
          <cell r="GR17">
            <v>0</v>
          </cell>
          <cell r="HJ17">
            <v>82494836.710000008</v>
          </cell>
          <cell r="HL17">
            <v>35842050.659999996</v>
          </cell>
          <cell r="HN17">
            <v>68882000</v>
          </cell>
          <cell r="HR17">
            <v>44001925.75</v>
          </cell>
          <cell r="HT17">
            <v>109067344.05000001</v>
          </cell>
          <cell r="HV17">
            <v>45439098.659999996</v>
          </cell>
          <cell r="HX17">
            <v>0</v>
          </cell>
          <cell r="IB17">
            <v>45802055.340000004</v>
          </cell>
          <cell r="ID17">
            <v>0</v>
          </cell>
          <cell r="IF17">
            <v>0</v>
          </cell>
          <cell r="IH17">
            <v>0</v>
          </cell>
          <cell r="IR17">
            <v>0</v>
          </cell>
          <cell r="IT17">
            <v>0</v>
          </cell>
          <cell r="JB17">
            <v>0</v>
          </cell>
          <cell r="JD17">
            <v>0</v>
          </cell>
          <cell r="JN17">
            <v>3262426.3200000003</v>
          </cell>
          <cell r="JZ17">
            <v>2907186.02</v>
          </cell>
          <cell r="KF17">
            <v>55236534.32</v>
          </cell>
          <cell r="KN17">
            <v>0</v>
          </cell>
          <cell r="KP17">
            <v>88076907.099999994</v>
          </cell>
          <cell r="KR17">
            <v>0</v>
          </cell>
          <cell r="KV17">
            <v>4638166.1499999976</v>
          </cell>
          <cell r="KZ17">
            <v>0</v>
          </cell>
          <cell r="LB17">
            <v>88076907.099999994</v>
          </cell>
          <cell r="LF17">
            <v>28834494.010000002</v>
          </cell>
          <cell r="LH17">
            <v>11759322.82</v>
          </cell>
          <cell r="LV17">
            <v>0</v>
          </cell>
          <cell r="MR17">
            <v>0</v>
          </cell>
          <cell r="MT17">
            <v>0</v>
          </cell>
          <cell r="MV17">
            <v>0</v>
          </cell>
          <cell r="ND17">
            <v>0</v>
          </cell>
          <cell r="NF17">
            <v>0</v>
          </cell>
          <cell r="NH17">
            <v>0</v>
          </cell>
          <cell r="NJ17">
            <v>0</v>
          </cell>
          <cell r="NL17">
            <v>3751000</v>
          </cell>
          <cell r="NN17">
            <v>2955706.69</v>
          </cell>
          <cell r="NP17">
            <v>1170593.07</v>
          </cell>
          <cell r="NR17">
            <v>1303217.0699999998</v>
          </cell>
          <cell r="NT17">
            <v>0</v>
          </cell>
          <cell r="NV17">
            <v>0</v>
          </cell>
          <cell r="NX17">
            <v>3751000</v>
          </cell>
          <cell r="NZ17">
            <v>3328527.31</v>
          </cell>
          <cell r="OB17">
            <v>1170593.07</v>
          </cell>
          <cell r="OD17">
            <v>1430080</v>
          </cell>
          <cell r="OF17">
            <v>57390</v>
          </cell>
          <cell r="OH17">
            <v>99060</v>
          </cell>
          <cell r="OJ17">
            <v>46224.67</v>
          </cell>
          <cell r="OP17">
            <v>1430080</v>
          </cell>
          <cell r="OR17">
            <v>56877.03</v>
          </cell>
          <cell r="OT17">
            <v>99572.97</v>
          </cell>
          <cell r="OV17">
            <v>46224.67</v>
          </cell>
          <cell r="OY17">
            <v>301948.76</v>
          </cell>
          <cell r="PA17">
            <v>65340.14</v>
          </cell>
          <cell r="PC17">
            <v>0</v>
          </cell>
          <cell r="PK17">
            <v>0</v>
          </cell>
          <cell r="PM17">
            <v>0</v>
          </cell>
          <cell r="PW17">
            <v>116833.16</v>
          </cell>
        </row>
        <row r="18">
          <cell r="R18">
            <v>0</v>
          </cell>
          <cell r="T18">
            <v>0</v>
          </cell>
          <cell r="AH18">
            <v>215512.51</v>
          </cell>
          <cell r="AJ18">
            <v>0</v>
          </cell>
          <cell r="AX18">
            <v>0</v>
          </cell>
          <cell r="BB18">
            <v>0</v>
          </cell>
          <cell r="BF18">
            <v>0</v>
          </cell>
          <cell r="BR18">
            <v>0</v>
          </cell>
          <cell r="BT18">
            <v>0</v>
          </cell>
          <cell r="BV18">
            <v>207171.7</v>
          </cell>
          <cell r="CB18">
            <v>0</v>
          </cell>
          <cell r="CD18">
            <v>0</v>
          </cell>
          <cell r="CR18">
            <v>0</v>
          </cell>
          <cell r="DX18">
            <v>6956.52</v>
          </cell>
          <cell r="DZ18">
            <v>0</v>
          </cell>
          <cell r="FB18">
            <v>31855.61</v>
          </cell>
          <cell r="FD18">
            <v>0</v>
          </cell>
          <cell r="FF18">
            <v>0</v>
          </cell>
          <cell r="FH18">
            <v>90665.96</v>
          </cell>
          <cell r="FJ18">
            <v>31855.61</v>
          </cell>
          <cell r="FL18">
            <v>0</v>
          </cell>
          <cell r="FN18">
            <v>0</v>
          </cell>
          <cell r="FP18">
            <v>90665.96</v>
          </cell>
          <cell r="FV18">
            <v>0</v>
          </cell>
          <cell r="FX18">
            <v>0</v>
          </cell>
          <cell r="FZ18">
            <v>0</v>
          </cell>
          <cell r="GF18">
            <v>0</v>
          </cell>
          <cell r="GH18">
            <v>0</v>
          </cell>
          <cell r="GJ18">
            <v>0</v>
          </cell>
          <cell r="GP18">
            <v>0</v>
          </cell>
          <cell r="GR18">
            <v>0</v>
          </cell>
          <cell r="HJ18">
            <v>0</v>
          </cell>
          <cell r="HL18">
            <v>16551305.479999999</v>
          </cell>
          <cell r="HN18">
            <v>7049000</v>
          </cell>
          <cell r="HR18">
            <v>4075707.43</v>
          </cell>
          <cell r="HT18">
            <v>0</v>
          </cell>
          <cell r="HV18">
            <v>49564519.879999995</v>
          </cell>
          <cell r="IB18">
            <v>27534228.140000001</v>
          </cell>
          <cell r="ID18">
            <v>0</v>
          </cell>
          <cell r="IF18">
            <v>0</v>
          </cell>
          <cell r="IR18">
            <v>0</v>
          </cell>
          <cell r="IT18">
            <v>0</v>
          </cell>
          <cell r="JB18">
            <v>0</v>
          </cell>
          <cell r="JD18">
            <v>0</v>
          </cell>
          <cell r="JN18">
            <v>10640836.840000004</v>
          </cell>
          <cell r="JZ18">
            <v>10640836.840000004</v>
          </cell>
          <cell r="KF18">
            <v>202175900</v>
          </cell>
          <cell r="KN18">
            <v>0</v>
          </cell>
          <cell r="KP18">
            <v>0</v>
          </cell>
          <cell r="KR18">
            <v>0</v>
          </cell>
          <cell r="KV18">
            <v>0</v>
          </cell>
          <cell r="KZ18">
            <v>0</v>
          </cell>
          <cell r="LB18">
            <v>0</v>
          </cell>
          <cell r="LF18">
            <v>19700007.09</v>
          </cell>
          <cell r="LH18">
            <v>0</v>
          </cell>
          <cell r="LV18">
            <v>0</v>
          </cell>
          <cell r="MR18">
            <v>0</v>
          </cell>
          <cell r="MT18">
            <v>0</v>
          </cell>
          <cell r="ND18">
            <v>0</v>
          </cell>
          <cell r="NF18">
            <v>0</v>
          </cell>
          <cell r="NH18">
            <v>0</v>
          </cell>
          <cell r="NJ18">
            <v>0</v>
          </cell>
          <cell r="NL18">
            <v>0</v>
          </cell>
          <cell r="NN18">
            <v>433278.37</v>
          </cell>
          <cell r="NP18">
            <v>472418.73</v>
          </cell>
          <cell r="NR18">
            <v>0</v>
          </cell>
          <cell r="NT18">
            <v>0</v>
          </cell>
          <cell r="NV18">
            <v>0</v>
          </cell>
          <cell r="NX18">
            <v>0</v>
          </cell>
          <cell r="NZ18">
            <v>433278.37</v>
          </cell>
          <cell r="OB18">
            <v>472418.73</v>
          </cell>
          <cell r="OD18">
            <v>233000</v>
          </cell>
          <cell r="OF18">
            <v>31210</v>
          </cell>
          <cell r="OH18">
            <v>55030</v>
          </cell>
          <cell r="OJ18">
            <v>327695.53000000003</v>
          </cell>
          <cell r="OP18">
            <v>233000</v>
          </cell>
          <cell r="OR18">
            <v>31352.35</v>
          </cell>
          <cell r="OT18">
            <v>54887.65</v>
          </cell>
          <cell r="OV18">
            <v>327695.53000000003</v>
          </cell>
          <cell r="OY18">
            <v>0</v>
          </cell>
          <cell r="PA18">
            <v>0</v>
          </cell>
          <cell r="PC18">
            <v>0</v>
          </cell>
          <cell r="PE18">
            <v>1497946.03</v>
          </cell>
          <cell r="PK18">
            <v>529080.10999999987</v>
          </cell>
          <cell r="PM18">
            <v>0</v>
          </cell>
          <cell r="PQ18">
            <v>1497946.03</v>
          </cell>
          <cell r="PW18">
            <v>0</v>
          </cell>
        </row>
        <row r="19">
          <cell r="R19">
            <v>0</v>
          </cell>
          <cell r="T19">
            <v>0</v>
          </cell>
          <cell r="AH19">
            <v>217781.43</v>
          </cell>
          <cell r="AJ19">
            <v>0</v>
          </cell>
          <cell r="AX19">
            <v>0</v>
          </cell>
          <cell r="BB19">
            <v>0</v>
          </cell>
          <cell r="BF19">
            <v>0</v>
          </cell>
          <cell r="BR19">
            <v>0</v>
          </cell>
          <cell r="BT19">
            <v>0</v>
          </cell>
          <cell r="BV19">
            <v>119037.89</v>
          </cell>
          <cell r="CB19">
            <v>0</v>
          </cell>
          <cell r="CD19">
            <v>0</v>
          </cell>
          <cell r="CR19">
            <v>0</v>
          </cell>
          <cell r="DX19">
            <v>4347.83</v>
          </cell>
          <cell r="DZ19">
            <v>0</v>
          </cell>
          <cell r="FB19">
            <v>22494.020000000004</v>
          </cell>
          <cell r="FD19">
            <v>0</v>
          </cell>
          <cell r="FF19">
            <v>0</v>
          </cell>
          <cell r="FH19">
            <v>64021.45</v>
          </cell>
          <cell r="FJ19">
            <v>22494.020000000004</v>
          </cell>
          <cell r="FL19">
            <v>0</v>
          </cell>
          <cell r="FN19">
            <v>0</v>
          </cell>
          <cell r="FP19">
            <v>64021.45</v>
          </cell>
          <cell r="FV19">
            <v>0</v>
          </cell>
          <cell r="FX19">
            <v>0</v>
          </cell>
          <cell r="FZ19">
            <v>0</v>
          </cell>
          <cell r="GF19">
            <v>0</v>
          </cell>
          <cell r="GH19">
            <v>0</v>
          </cell>
          <cell r="GJ19">
            <v>7388479.1600000001</v>
          </cell>
          <cell r="GP19">
            <v>0</v>
          </cell>
          <cell r="GR19">
            <v>7388479.1600000001</v>
          </cell>
          <cell r="HJ19">
            <v>0</v>
          </cell>
          <cell r="HL19">
            <v>19108300</v>
          </cell>
          <cell r="HN19">
            <v>0</v>
          </cell>
          <cell r="HR19">
            <v>0</v>
          </cell>
          <cell r="HT19">
            <v>0</v>
          </cell>
          <cell r="HV19">
            <v>19108300</v>
          </cell>
          <cell r="IB19">
            <v>25350000</v>
          </cell>
          <cell r="ID19">
            <v>0</v>
          </cell>
          <cell r="IF19">
            <v>629010.56999999995</v>
          </cell>
          <cell r="IL19">
            <v>11951200.25</v>
          </cell>
          <cell r="IR19">
            <v>0</v>
          </cell>
          <cell r="IT19">
            <v>0</v>
          </cell>
          <cell r="JB19">
            <v>0</v>
          </cell>
          <cell r="JD19">
            <v>72457.149999999994</v>
          </cell>
          <cell r="JJ19">
            <v>1376685.73</v>
          </cell>
          <cell r="JN19">
            <v>0</v>
          </cell>
          <cell r="JZ19">
            <v>0</v>
          </cell>
          <cell r="KF19">
            <v>0</v>
          </cell>
          <cell r="KN19">
            <v>0</v>
          </cell>
          <cell r="KP19">
            <v>0</v>
          </cell>
          <cell r="KR19">
            <v>0</v>
          </cell>
          <cell r="KV19">
            <v>0</v>
          </cell>
          <cell r="KZ19">
            <v>0</v>
          </cell>
          <cell r="LB19">
            <v>0</v>
          </cell>
          <cell r="LF19">
            <v>18013338.98</v>
          </cell>
          <cell r="LH19">
            <v>0</v>
          </cell>
          <cell r="LV19">
            <v>0</v>
          </cell>
          <cell r="MR19">
            <v>0</v>
          </cell>
          <cell r="MT19">
            <v>0</v>
          </cell>
          <cell r="ND19">
            <v>0</v>
          </cell>
          <cell r="NF19">
            <v>1048798.08</v>
          </cell>
          <cell r="NH19">
            <v>0</v>
          </cell>
          <cell r="NJ19">
            <v>0</v>
          </cell>
          <cell r="NL19">
            <v>0</v>
          </cell>
          <cell r="NN19">
            <v>367913.7</v>
          </cell>
          <cell r="NP19">
            <v>169151.66</v>
          </cell>
          <cell r="NR19">
            <v>700000</v>
          </cell>
          <cell r="NT19">
            <v>0</v>
          </cell>
          <cell r="NV19">
            <v>0</v>
          </cell>
          <cell r="NX19">
            <v>0</v>
          </cell>
          <cell r="NZ19">
            <v>367913.7</v>
          </cell>
          <cell r="OB19">
            <v>169151.66</v>
          </cell>
          <cell r="OD19">
            <v>264430</v>
          </cell>
          <cell r="OF19">
            <v>37340</v>
          </cell>
          <cell r="OH19">
            <v>64470</v>
          </cell>
          <cell r="OJ19">
            <v>329453.15999999997</v>
          </cell>
          <cell r="OP19">
            <v>264430</v>
          </cell>
          <cell r="OR19">
            <v>37012.79</v>
          </cell>
          <cell r="OT19">
            <v>64797.21</v>
          </cell>
          <cell r="OV19">
            <v>329453.15999999997</v>
          </cell>
          <cell r="OY19">
            <v>214726.30999999997</v>
          </cell>
          <cell r="PA19">
            <v>0</v>
          </cell>
          <cell r="PC19">
            <v>72449.78</v>
          </cell>
          <cell r="PK19">
            <v>0</v>
          </cell>
          <cell r="PM19">
            <v>0</v>
          </cell>
          <cell r="PW19">
            <v>92621.11</v>
          </cell>
        </row>
        <row r="20">
          <cell r="R20">
            <v>0</v>
          </cell>
          <cell r="T20">
            <v>0</v>
          </cell>
          <cell r="AH20">
            <v>474127.53</v>
          </cell>
          <cell r="AJ20">
            <v>0</v>
          </cell>
          <cell r="AX20">
            <v>0</v>
          </cell>
          <cell r="BB20">
            <v>54677198.120000005</v>
          </cell>
          <cell r="BF20">
            <v>0</v>
          </cell>
          <cell r="BR20">
            <v>0</v>
          </cell>
          <cell r="BT20">
            <v>0</v>
          </cell>
          <cell r="BV20">
            <v>115975.32</v>
          </cell>
          <cell r="CB20">
            <v>0</v>
          </cell>
          <cell r="CD20">
            <v>0</v>
          </cell>
          <cell r="CR20">
            <v>0</v>
          </cell>
          <cell r="DX20">
            <v>86956.52</v>
          </cell>
          <cell r="DZ20">
            <v>6956.5199999999977</v>
          </cell>
          <cell r="EB20">
            <v>6956.5199999999977</v>
          </cell>
          <cell r="FB20">
            <v>82787.439999999973</v>
          </cell>
          <cell r="FD20">
            <v>0</v>
          </cell>
          <cell r="FF20">
            <v>0</v>
          </cell>
          <cell r="FH20">
            <v>235625.78</v>
          </cell>
          <cell r="FJ20">
            <v>82787.439999999973</v>
          </cell>
          <cell r="FL20">
            <v>0</v>
          </cell>
          <cell r="FN20">
            <v>0</v>
          </cell>
          <cell r="FP20">
            <v>235625.78</v>
          </cell>
          <cell r="FV20">
            <v>0</v>
          </cell>
          <cell r="FX20">
            <v>821052.83999999985</v>
          </cell>
          <cell r="FZ20">
            <v>821052.83999999985</v>
          </cell>
          <cell r="GD20">
            <v>15600000</v>
          </cell>
          <cell r="GF20">
            <v>821052.83999999985</v>
          </cell>
          <cell r="GH20">
            <v>821052.83999999985</v>
          </cell>
          <cell r="GJ20">
            <v>15353240.300000001</v>
          </cell>
          <cell r="GL20">
            <v>15600000</v>
          </cell>
          <cell r="GN20">
            <v>15600000</v>
          </cell>
          <cell r="GP20">
            <v>0</v>
          </cell>
          <cell r="GR20">
            <v>24382140.920000002</v>
          </cell>
          <cell r="GT20">
            <v>9028900.6199999992</v>
          </cell>
          <cell r="HJ20">
            <v>0</v>
          </cell>
          <cell r="HL20">
            <v>188669450.18000001</v>
          </cell>
          <cell r="HN20">
            <v>20482000</v>
          </cell>
          <cell r="HP20">
            <v>59302390</v>
          </cell>
          <cell r="HR20">
            <v>12200212.33</v>
          </cell>
          <cell r="HT20">
            <v>0</v>
          </cell>
          <cell r="HV20">
            <v>188669450.18000001</v>
          </cell>
          <cell r="HX20">
            <v>0</v>
          </cell>
          <cell r="HZ20">
            <v>59302390</v>
          </cell>
          <cell r="IB20">
            <v>52668894.549999997</v>
          </cell>
          <cell r="ID20">
            <v>0</v>
          </cell>
          <cell r="IF20">
            <v>1131436.1400000006</v>
          </cell>
          <cell r="IH20">
            <v>0</v>
          </cell>
          <cell r="IL20">
            <v>21497286.609999999</v>
          </cell>
          <cell r="IR20">
            <v>0</v>
          </cell>
          <cell r="IT20">
            <v>0</v>
          </cell>
          <cell r="JB20">
            <v>0</v>
          </cell>
          <cell r="JD20">
            <v>0</v>
          </cell>
          <cell r="JN20">
            <v>20859584.209999979</v>
          </cell>
          <cell r="JR20">
            <v>10402506</v>
          </cell>
          <cell r="JV20">
            <v>77044000</v>
          </cell>
          <cell r="JZ20">
            <v>20859584.209999979</v>
          </cell>
          <cell r="KF20">
            <v>396332100</v>
          </cell>
          <cell r="KN20">
            <v>0</v>
          </cell>
          <cell r="KP20">
            <v>59325881.299999997</v>
          </cell>
          <cell r="KR20">
            <v>0</v>
          </cell>
          <cell r="KV20">
            <v>8910961.3400000017</v>
          </cell>
          <cell r="KZ20">
            <v>0</v>
          </cell>
          <cell r="LB20">
            <v>59325881.299999997</v>
          </cell>
          <cell r="LF20">
            <v>18378285.260000002</v>
          </cell>
          <cell r="LH20">
            <v>8910961.3400000017</v>
          </cell>
          <cell r="LV20">
            <v>0</v>
          </cell>
          <cell r="MT20">
            <v>18024576.300000001</v>
          </cell>
          <cell r="MV20">
            <v>18024576.300000001</v>
          </cell>
          <cell r="NF20">
            <v>21290635.900000002</v>
          </cell>
          <cell r="NH20">
            <v>18024576.300000001</v>
          </cell>
          <cell r="NJ20">
            <v>1067447.29</v>
          </cell>
          <cell r="NL20">
            <v>4228000</v>
          </cell>
          <cell r="NN20">
            <v>206798.53</v>
          </cell>
          <cell r="NP20">
            <v>804491.07</v>
          </cell>
          <cell r="NR20">
            <v>700000</v>
          </cell>
          <cell r="NT20">
            <v>1067447.29</v>
          </cell>
          <cell r="NV20">
            <v>1067447.29</v>
          </cell>
          <cell r="NX20">
            <v>4228000</v>
          </cell>
          <cell r="NZ20">
            <v>206798.53</v>
          </cell>
          <cell r="OB20">
            <v>804491.07</v>
          </cell>
          <cell r="OD20">
            <v>387900</v>
          </cell>
          <cell r="OF20">
            <v>31410</v>
          </cell>
          <cell r="OH20">
            <v>56600</v>
          </cell>
          <cell r="OJ20">
            <v>317539.19</v>
          </cell>
          <cell r="OP20">
            <v>387900</v>
          </cell>
          <cell r="OR20">
            <v>31995.83</v>
          </cell>
          <cell r="OT20">
            <v>56014.17</v>
          </cell>
          <cell r="OV20">
            <v>317539.19</v>
          </cell>
          <cell r="OY20">
            <v>426640.79</v>
          </cell>
          <cell r="PA20">
            <v>10516.98</v>
          </cell>
          <cell r="PC20">
            <v>107604.73</v>
          </cell>
          <cell r="PK20">
            <v>0</v>
          </cell>
          <cell r="PM20">
            <v>0</v>
          </cell>
          <cell r="PW20">
            <v>97141.19</v>
          </cell>
        </row>
        <row r="21">
          <cell r="R21">
            <v>0</v>
          </cell>
          <cell r="T21">
            <v>0</v>
          </cell>
          <cell r="AH21">
            <v>217781.07</v>
          </cell>
          <cell r="AJ21">
            <v>0</v>
          </cell>
          <cell r="AX21">
            <v>0</v>
          </cell>
          <cell r="BB21">
            <v>0</v>
          </cell>
          <cell r="BF21">
            <v>0</v>
          </cell>
          <cell r="BR21">
            <v>0</v>
          </cell>
          <cell r="BT21">
            <v>0</v>
          </cell>
          <cell r="BV21">
            <v>107591.93</v>
          </cell>
          <cell r="CB21">
            <v>0</v>
          </cell>
          <cell r="CD21">
            <v>0</v>
          </cell>
          <cell r="CR21">
            <v>0</v>
          </cell>
          <cell r="DX21">
            <v>9565.2199999999993</v>
          </cell>
          <cell r="DZ21">
            <v>0</v>
          </cell>
          <cell r="FB21">
            <v>37265.009999999995</v>
          </cell>
          <cell r="FD21">
            <v>0</v>
          </cell>
          <cell r="FF21">
            <v>0</v>
          </cell>
          <cell r="FH21">
            <v>106061.95</v>
          </cell>
          <cell r="FJ21">
            <v>37265.009999999995</v>
          </cell>
          <cell r="FL21">
            <v>0</v>
          </cell>
          <cell r="FN21">
            <v>0</v>
          </cell>
          <cell r="FP21">
            <v>106061.95</v>
          </cell>
          <cell r="FV21">
            <v>0</v>
          </cell>
          <cell r="FX21">
            <v>0</v>
          </cell>
          <cell r="FZ21">
            <v>0</v>
          </cell>
          <cell r="GF21">
            <v>0</v>
          </cell>
          <cell r="GH21">
            <v>0</v>
          </cell>
          <cell r="GJ21">
            <v>9785831.3900000006</v>
          </cell>
          <cell r="GP21">
            <v>0</v>
          </cell>
          <cell r="GR21">
            <v>9785831.3900000006</v>
          </cell>
          <cell r="HJ21">
            <v>0</v>
          </cell>
          <cell r="HL21">
            <v>31015344.07</v>
          </cell>
          <cell r="HN21">
            <v>454000</v>
          </cell>
          <cell r="HR21">
            <v>247660.65</v>
          </cell>
          <cell r="HT21">
            <v>0</v>
          </cell>
          <cell r="HV21">
            <v>32804647.219999999</v>
          </cell>
          <cell r="IB21">
            <v>17752760.129999999</v>
          </cell>
          <cell r="ID21">
            <v>0</v>
          </cell>
          <cell r="IF21">
            <v>0</v>
          </cell>
          <cell r="IR21">
            <v>0</v>
          </cell>
          <cell r="IT21">
            <v>0</v>
          </cell>
          <cell r="JB21">
            <v>0</v>
          </cell>
          <cell r="JD21">
            <v>0</v>
          </cell>
          <cell r="JN21">
            <v>0</v>
          </cell>
          <cell r="JZ21">
            <v>0</v>
          </cell>
          <cell r="KF21">
            <v>0</v>
          </cell>
          <cell r="KN21">
            <v>0</v>
          </cell>
          <cell r="KP21">
            <v>0</v>
          </cell>
          <cell r="KR21">
            <v>0</v>
          </cell>
          <cell r="KV21">
            <v>0</v>
          </cell>
          <cell r="KZ21">
            <v>0</v>
          </cell>
          <cell r="LB21">
            <v>0</v>
          </cell>
          <cell r="LF21">
            <v>13718449.16</v>
          </cell>
          <cell r="LH21">
            <v>0</v>
          </cell>
          <cell r="LV21">
            <v>0</v>
          </cell>
          <cell r="MR21">
            <v>14630000</v>
          </cell>
          <cell r="MT21">
            <v>0</v>
          </cell>
          <cell r="ND21">
            <v>11159868.5</v>
          </cell>
          <cell r="NF21">
            <v>0</v>
          </cell>
          <cell r="NH21">
            <v>0</v>
          </cell>
          <cell r="NJ21">
            <v>0</v>
          </cell>
          <cell r="NL21">
            <v>1492000</v>
          </cell>
          <cell r="NN21">
            <v>460691.94</v>
          </cell>
          <cell r="NP21">
            <v>360727.91</v>
          </cell>
          <cell r="NR21">
            <v>0</v>
          </cell>
          <cell r="NT21">
            <v>0</v>
          </cell>
          <cell r="NV21">
            <v>0</v>
          </cell>
          <cell r="NX21">
            <v>1492000</v>
          </cell>
          <cell r="NZ21">
            <v>460691.94</v>
          </cell>
          <cell r="OB21">
            <v>360727.91</v>
          </cell>
          <cell r="OD21">
            <v>207070</v>
          </cell>
          <cell r="OF21">
            <v>44630</v>
          </cell>
          <cell r="OH21">
            <v>77050</v>
          </cell>
          <cell r="OJ21">
            <v>354339.63</v>
          </cell>
          <cell r="OP21">
            <v>207070</v>
          </cell>
          <cell r="OR21">
            <v>44236.480000000003</v>
          </cell>
          <cell r="OT21">
            <v>77443.520000000004</v>
          </cell>
          <cell r="OV21">
            <v>354339.63</v>
          </cell>
          <cell r="OY21">
            <v>411235.6700000001</v>
          </cell>
          <cell r="PA21">
            <v>0</v>
          </cell>
          <cell r="PC21">
            <v>81910.460000000006</v>
          </cell>
          <cell r="PK21">
            <v>0</v>
          </cell>
          <cell r="PM21">
            <v>0</v>
          </cell>
          <cell r="PW21">
            <v>75530.25</v>
          </cell>
        </row>
        <row r="22">
          <cell r="R22">
            <v>3200000</v>
          </cell>
          <cell r="T22">
            <v>0</v>
          </cell>
          <cell r="AH22">
            <v>227353.86</v>
          </cell>
          <cell r="AJ22">
            <v>0</v>
          </cell>
          <cell r="AX22">
            <v>0</v>
          </cell>
          <cell r="BB22">
            <v>0</v>
          </cell>
          <cell r="BF22">
            <v>0</v>
          </cell>
          <cell r="BR22">
            <v>4137497.67</v>
          </cell>
          <cell r="BT22">
            <v>10000000</v>
          </cell>
          <cell r="BV22">
            <v>289450.01</v>
          </cell>
          <cell r="CB22">
            <v>0</v>
          </cell>
          <cell r="CD22">
            <v>5415308.1099999994</v>
          </cell>
          <cell r="CJ22">
            <v>15412800</v>
          </cell>
          <cell r="CR22">
            <v>0</v>
          </cell>
          <cell r="DX22">
            <v>26086.959999999999</v>
          </cell>
          <cell r="DZ22">
            <v>0</v>
          </cell>
          <cell r="FB22">
            <v>36647.170000000013</v>
          </cell>
          <cell r="FD22">
            <v>0</v>
          </cell>
          <cell r="FF22">
            <v>0</v>
          </cell>
          <cell r="FH22">
            <v>104303.47</v>
          </cell>
          <cell r="FJ22">
            <v>36647.170000000013</v>
          </cell>
          <cell r="FL22">
            <v>0</v>
          </cell>
          <cell r="FN22">
            <v>0</v>
          </cell>
          <cell r="FP22">
            <v>104303.47</v>
          </cell>
          <cell r="FV22">
            <v>0</v>
          </cell>
          <cell r="FX22">
            <v>0</v>
          </cell>
          <cell r="FZ22">
            <v>0</v>
          </cell>
          <cell r="GF22">
            <v>0</v>
          </cell>
          <cell r="GH22">
            <v>0</v>
          </cell>
          <cell r="GJ22">
            <v>14087061.09</v>
          </cell>
          <cell r="GP22">
            <v>0</v>
          </cell>
          <cell r="GR22">
            <v>14087061.09</v>
          </cell>
          <cell r="HJ22">
            <v>0</v>
          </cell>
          <cell r="HL22">
            <v>198119482.24000001</v>
          </cell>
          <cell r="HN22">
            <v>0</v>
          </cell>
          <cell r="HR22">
            <v>0</v>
          </cell>
          <cell r="HT22">
            <v>0</v>
          </cell>
          <cell r="HV22">
            <v>198119482.24000001</v>
          </cell>
          <cell r="IB22">
            <v>86782962.159999996</v>
          </cell>
          <cell r="ID22">
            <v>0</v>
          </cell>
          <cell r="IF22">
            <v>0</v>
          </cell>
          <cell r="IR22">
            <v>0</v>
          </cell>
          <cell r="IT22">
            <v>99995</v>
          </cell>
          <cell r="IZ22">
            <v>1899905</v>
          </cell>
          <cell r="JB22">
            <v>0</v>
          </cell>
          <cell r="JD22">
            <v>80710.25</v>
          </cell>
          <cell r="JJ22">
            <v>1533494.75</v>
          </cell>
          <cell r="JN22">
            <v>0</v>
          </cell>
          <cell r="JZ22">
            <v>0</v>
          </cell>
          <cell r="KF22">
            <v>0</v>
          </cell>
          <cell r="KN22">
            <v>0</v>
          </cell>
          <cell r="KP22">
            <v>0</v>
          </cell>
          <cell r="KR22">
            <v>0</v>
          </cell>
          <cell r="KV22">
            <v>0</v>
          </cell>
          <cell r="KZ22">
            <v>0</v>
          </cell>
          <cell r="LB22">
            <v>0</v>
          </cell>
          <cell r="LF22">
            <v>87233595.540000007</v>
          </cell>
          <cell r="LH22">
            <v>0</v>
          </cell>
          <cell r="LV22">
            <v>14500000</v>
          </cell>
          <cell r="MB22">
            <v>275500000</v>
          </cell>
          <cell r="MR22">
            <v>0</v>
          </cell>
          <cell r="MT22">
            <v>1433434.45</v>
          </cell>
          <cell r="ND22">
            <v>0</v>
          </cell>
          <cell r="NF22">
            <v>2333443.4500000002</v>
          </cell>
          <cell r="NH22">
            <v>0</v>
          </cell>
          <cell r="NJ22">
            <v>0</v>
          </cell>
          <cell r="NL22">
            <v>0</v>
          </cell>
          <cell r="NN22">
            <v>1106300.49</v>
          </cell>
          <cell r="NP22">
            <v>0</v>
          </cell>
          <cell r="NR22">
            <v>0</v>
          </cell>
          <cell r="NT22">
            <v>0</v>
          </cell>
          <cell r="NV22">
            <v>0</v>
          </cell>
          <cell r="NX22">
            <v>0</v>
          </cell>
          <cell r="NZ22">
            <v>1106300.49</v>
          </cell>
          <cell r="OB22">
            <v>0</v>
          </cell>
          <cell r="OD22">
            <v>1716530</v>
          </cell>
          <cell r="OF22">
            <v>851160</v>
          </cell>
          <cell r="OH22">
            <v>1533870</v>
          </cell>
          <cell r="OJ22">
            <v>253019.27</v>
          </cell>
          <cell r="OP22">
            <v>1716530</v>
          </cell>
          <cell r="OR22">
            <v>867072.14</v>
          </cell>
          <cell r="OT22">
            <v>1517957.86</v>
          </cell>
          <cell r="OV22">
            <v>253019.27</v>
          </cell>
          <cell r="OY22">
            <v>535115.05000000005</v>
          </cell>
          <cell r="PA22">
            <v>0</v>
          </cell>
          <cell r="PC22">
            <v>0</v>
          </cell>
          <cell r="PK22">
            <v>0</v>
          </cell>
          <cell r="PM22">
            <v>0</v>
          </cell>
          <cell r="PW22">
            <v>0</v>
          </cell>
        </row>
        <row r="23">
          <cell r="R23">
            <v>0</v>
          </cell>
          <cell r="T23">
            <v>0</v>
          </cell>
          <cell r="AH23">
            <v>222464.53</v>
          </cell>
          <cell r="AJ23">
            <v>0</v>
          </cell>
          <cell r="AX23">
            <v>0</v>
          </cell>
          <cell r="BB23">
            <v>0</v>
          </cell>
          <cell r="BF23">
            <v>0</v>
          </cell>
          <cell r="BR23">
            <v>3257971.49</v>
          </cell>
          <cell r="BT23">
            <v>0</v>
          </cell>
          <cell r="BV23">
            <v>137821.29</v>
          </cell>
          <cell r="CB23">
            <v>0</v>
          </cell>
          <cell r="CD23">
            <v>0</v>
          </cell>
          <cell r="CR23">
            <v>0</v>
          </cell>
          <cell r="DX23">
            <v>10434.780000000001</v>
          </cell>
          <cell r="DZ23">
            <v>0</v>
          </cell>
          <cell r="FB23">
            <v>49313.820000000007</v>
          </cell>
          <cell r="FD23">
            <v>0</v>
          </cell>
          <cell r="FF23">
            <v>0</v>
          </cell>
          <cell r="FH23">
            <v>140354.71</v>
          </cell>
          <cell r="FJ23">
            <v>49313.820000000007</v>
          </cell>
          <cell r="FL23">
            <v>0</v>
          </cell>
          <cell r="FN23">
            <v>0</v>
          </cell>
          <cell r="FP23">
            <v>140354.71</v>
          </cell>
          <cell r="FV23">
            <v>0</v>
          </cell>
          <cell r="FX23">
            <v>0</v>
          </cell>
          <cell r="FZ23">
            <v>0</v>
          </cell>
          <cell r="GF23">
            <v>0</v>
          </cell>
          <cell r="GH23">
            <v>0</v>
          </cell>
          <cell r="GJ23">
            <v>0</v>
          </cell>
          <cell r="GP23">
            <v>0</v>
          </cell>
          <cell r="GR23">
            <v>0</v>
          </cell>
          <cell r="HJ23">
            <v>0</v>
          </cell>
          <cell r="HL23">
            <v>32377641.370000001</v>
          </cell>
          <cell r="HN23">
            <v>0</v>
          </cell>
          <cell r="HR23">
            <v>0</v>
          </cell>
          <cell r="HT23">
            <v>0</v>
          </cell>
          <cell r="HV23">
            <v>32821494.760000002</v>
          </cell>
          <cell r="IB23">
            <v>39569565.100000001</v>
          </cell>
          <cell r="ID23">
            <v>0</v>
          </cell>
          <cell r="IF23">
            <v>0</v>
          </cell>
          <cell r="IR23">
            <v>0</v>
          </cell>
          <cell r="IT23">
            <v>0</v>
          </cell>
          <cell r="JB23">
            <v>0</v>
          </cell>
          <cell r="JD23">
            <v>0</v>
          </cell>
          <cell r="JN23">
            <v>0</v>
          </cell>
          <cell r="JZ23">
            <v>0</v>
          </cell>
          <cell r="KF23">
            <v>0</v>
          </cell>
          <cell r="KN23">
            <v>0</v>
          </cell>
          <cell r="KP23">
            <v>0</v>
          </cell>
          <cell r="KR23">
            <v>0</v>
          </cell>
          <cell r="KV23">
            <v>0</v>
          </cell>
          <cell r="KZ23">
            <v>0</v>
          </cell>
          <cell r="LB23">
            <v>0</v>
          </cell>
          <cell r="LF23">
            <v>37579092.100000001</v>
          </cell>
          <cell r="LH23">
            <v>0</v>
          </cell>
          <cell r="LV23">
            <v>0</v>
          </cell>
          <cell r="MR23">
            <v>0</v>
          </cell>
          <cell r="MT23">
            <v>0</v>
          </cell>
          <cell r="ND23">
            <v>0</v>
          </cell>
          <cell r="NF23">
            <v>0</v>
          </cell>
          <cell r="NH23">
            <v>0</v>
          </cell>
          <cell r="NJ23">
            <v>0</v>
          </cell>
          <cell r="NL23">
            <v>1413600</v>
          </cell>
          <cell r="NN23">
            <v>2009128.73</v>
          </cell>
          <cell r="NP23">
            <v>469632.43</v>
          </cell>
          <cell r="NR23">
            <v>0</v>
          </cell>
          <cell r="NT23">
            <v>0</v>
          </cell>
          <cell r="NV23">
            <v>0</v>
          </cell>
          <cell r="NX23">
            <v>1413600</v>
          </cell>
          <cell r="NZ23">
            <v>2176944.3199999998</v>
          </cell>
          <cell r="OB23">
            <v>469632.43</v>
          </cell>
          <cell r="OD23">
            <v>1947840</v>
          </cell>
          <cell r="OF23">
            <v>11780</v>
          </cell>
          <cell r="OH23">
            <v>21230</v>
          </cell>
          <cell r="OJ23">
            <v>876551.08</v>
          </cell>
          <cell r="OP23">
            <v>1947840</v>
          </cell>
          <cell r="OR23">
            <v>12000.71</v>
          </cell>
          <cell r="OT23">
            <v>21009.29</v>
          </cell>
          <cell r="OV23">
            <v>876551.08</v>
          </cell>
          <cell r="OY23">
            <v>0</v>
          </cell>
          <cell r="PA23">
            <v>0</v>
          </cell>
          <cell r="PC23">
            <v>83819.929999999993</v>
          </cell>
          <cell r="PK23">
            <v>0</v>
          </cell>
          <cell r="PM23">
            <v>0</v>
          </cell>
          <cell r="PW23">
            <v>0</v>
          </cell>
        </row>
        <row r="24">
          <cell r="R24">
            <v>0</v>
          </cell>
          <cell r="T24">
            <v>0</v>
          </cell>
          <cell r="AH24">
            <v>220684.81</v>
          </cell>
          <cell r="AJ24">
            <v>0</v>
          </cell>
          <cell r="AX24">
            <v>0</v>
          </cell>
          <cell r="BB24">
            <v>0</v>
          </cell>
          <cell r="BF24">
            <v>0</v>
          </cell>
          <cell r="BR24">
            <v>1833050.41</v>
          </cell>
          <cell r="BT24">
            <v>0</v>
          </cell>
          <cell r="BV24">
            <v>103085.85</v>
          </cell>
          <cell r="CB24">
            <v>0</v>
          </cell>
          <cell r="CD24">
            <v>0</v>
          </cell>
          <cell r="CR24">
            <v>0</v>
          </cell>
          <cell r="DX24">
            <v>13913.04</v>
          </cell>
          <cell r="DZ24">
            <v>0</v>
          </cell>
          <cell r="FB24">
            <v>53052.329999999987</v>
          </cell>
          <cell r="FD24">
            <v>0</v>
          </cell>
          <cell r="FF24">
            <v>0</v>
          </cell>
          <cell r="FH24">
            <v>150995.1</v>
          </cell>
          <cell r="FJ24">
            <v>53052.329999999987</v>
          </cell>
          <cell r="FL24">
            <v>0</v>
          </cell>
          <cell r="FN24">
            <v>0</v>
          </cell>
          <cell r="FP24">
            <v>150995.1</v>
          </cell>
          <cell r="FV24">
            <v>0</v>
          </cell>
          <cell r="FX24">
            <v>0</v>
          </cell>
          <cell r="FZ24">
            <v>0</v>
          </cell>
          <cell r="GF24">
            <v>0</v>
          </cell>
          <cell r="GH24">
            <v>0</v>
          </cell>
          <cell r="GJ24">
            <v>5000000</v>
          </cell>
          <cell r="GP24">
            <v>0</v>
          </cell>
          <cell r="GR24">
            <v>5000000</v>
          </cell>
          <cell r="HJ24">
            <v>0</v>
          </cell>
          <cell r="HL24">
            <v>20694920.82</v>
          </cell>
          <cell r="HN24">
            <v>0</v>
          </cell>
          <cell r="HR24">
            <v>0</v>
          </cell>
          <cell r="HT24">
            <v>0</v>
          </cell>
          <cell r="HV24">
            <v>31928425.460000001</v>
          </cell>
          <cell r="IB24">
            <v>31138820.609999999</v>
          </cell>
          <cell r="ID24">
            <v>0</v>
          </cell>
          <cell r="IF24">
            <v>0</v>
          </cell>
          <cell r="IR24">
            <v>0</v>
          </cell>
          <cell r="IT24">
            <v>0</v>
          </cell>
          <cell r="JB24">
            <v>0</v>
          </cell>
          <cell r="JD24">
            <v>0</v>
          </cell>
          <cell r="JN24">
            <v>0</v>
          </cell>
          <cell r="JZ24">
            <v>0</v>
          </cell>
          <cell r="KF24">
            <v>0</v>
          </cell>
          <cell r="KN24">
            <v>0</v>
          </cell>
          <cell r="KP24">
            <v>0</v>
          </cell>
          <cell r="KR24">
            <v>0</v>
          </cell>
          <cell r="KV24">
            <v>0</v>
          </cell>
          <cell r="KZ24">
            <v>0</v>
          </cell>
          <cell r="LB24">
            <v>0</v>
          </cell>
          <cell r="LF24">
            <v>35700154.090000004</v>
          </cell>
          <cell r="LH24">
            <v>0</v>
          </cell>
          <cell r="LV24">
            <v>0</v>
          </cell>
          <cell r="MR24">
            <v>0</v>
          </cell>
          <cell r="MT24">
            <v>0</v>
          </cell>
          <cell r="ND24">
            <v>0</v>
          </cell>
          <cell r="NF24">
            <v>2360830.06</v>
          </cell>
          <cell r="NH24">
            <v>0</v>
          </cell>
          <cell r="NJ24">
            <v>0</v>
          </cell>
          <cell r="NL24">
            <v>1469200</v>
          </cell>
          <cell r="NN24">
            <v>662244.66</v>
          </cell>
          <cell r="NP24">
            <v>250276.43</v>
          </cell>
          <cell r="NR24">
            <v>1648843.7999999998</v>
          </cell>
          <cell r="NT24">
            <v>0</v>
          </cell>
          <cell r="NV24">
            <v>0</v>
          </cell>
          <cell r="NX24">
            <v>1469200</v>
          </cell>
          <cell r="NZ24">
            <v>662244.66</v>
          </cell>
          <cell r="OB24">
            <v>250276.43</v>
          </cell>
          <cell r="OD24">
            <v>105320</v>
          </cell>
          <cell r="OF24">
            <v>51600</v>
          </cell>
          <cell r="OH24">
            <v>91990</v>
          </cell>
          <cell r="OJ24">
            <v>211295.67</v>
          </cell>
          <cell r="OP24">
            <v>105320</v>
          </cell>
          <cell r="OR24">
            <v>52201.81</v>
          </cell>
          <cell r="OT24">
            <v>91388.19</v>
          </cell>
          <cell r="OV24">
            <v>211295.67</v>
          </cell>
          <cell r="OY24">
            <v>328420.29000000004</v>
          </cell>
          <cell r="PA24">
            <v>622417.85999999987</v>
          </cell>
          <cell r="PC24">
            <v>87872.65</v>
          </cell>
          <cell r="PG24">
            <v>1762206.4</v>
          </cell>
          <cell r="PK24">
            <v>0</v>
          </cell>
          <cell r="PM24">
            <v>622417.85999999987</v>
          </cell>
          <cell r="PS24">
            <v>1762206.4</v>
          </cell>
          <cell r="PW24">
            <v>86579.34</v>
          </cell>
        </row>
        <row r="25">
          <cell r="R25">
            <v>0</v>
          </cell>
          <cell r="T25">
            <v>1700000</v>
          </cell>
          <cell r="AH25">
            <v>217781.07</v>
          </cell>
          <cell r="AJ25">
            <v>0</v>
          </cell>
          <cell r="AX25">
            <v>0</v>
          </cell>
          <cell r="BB25">
            <v>0</v>
          </cell>
          <cell r="BF25">
            <v>0</v>
          </cell>
          <cell r="BR25">
            <v>0</v>
          </cell>
          <cell r="BT25">
            <v>6100000</v>
          </cell>
          <cell r="BV25">
            <v>166456.19</v>
          </cell>
          <cell r="BX25">
            <v>750000</v>
          </cell>
          <cell r="BZ25">
            <v>14250000</v>
          </cell>
          <cell r="CB25">
            <v>0</v>
          </cell>
          <cell r="CD25">
            <v>2976859.4600000009</v>
          </cell>
          <cell r="CJ25">
            <v>8472600</v>
          </cell>
          <cell r="CR25">
            <v>0</v>
          </cell>
          <cell r="DX25">
            <v>15652.17</v>
          </cell>
          <cell r="DZ25">
            <v>0</v>
          </cell>
          <cell r="FB25">
            <v>14615.870000000003</v>
          </cell>
          <cell r="FD25">
            <v>6586.9699999999939</v>
          </cell>
          <cell r="FF25">
            <v>6586.9699999999939</v>
          </cell>
          <cell r="FH25">
            <v>41599.019999999997</v>
          </cell>
          <cell r="FJ25">
            <v>14615.870000000003</v>
          </cell>
          <cell r="FL25">
            <v>6586.9699999999939</v>
          </cell>
          <cell r="FN25">
            <v>6586.9699999999939</v>
          </cell>
          <cell r="FP25">
            <v>41599.019999999997</v>
          </cell>
          <cell r="FR25">
            <v>18747.54</v>
          </cell>
          <cell r="FT25">
            <v>18747.54</v>
          </cell>
          <cell r="FV25">
            <v>0</v>
          </cell>
          <cell r="FX25">
            <v>821052.83999999985</v>
          </cell>
          <cell r="FZ25">
            <v>821052.83999999985</v>
          </cell>
          <cell r="GD25">
            <v>15600000</v>
          </cell>
          <cell r="GF25">
            <v>821052.83999999985</v>
          </cell>
          <cell r="GH25">
            <v>821052.83999999985</v>
          </cell>
          <cell r="GJ25">
            <v>14144209.58</v>
          </cell>
          <cell r="GL25">
            <v>15600000</v>
          </cell>
          <cell r="GN25">
            <v>15600000</v>
          </cell>
          <cell r="GP25">
            <v>0</v>
          </cell>
          <cell r="GR25">
            <v>23157630.66</v>
          </cell>
          <cell r="GT25">
            <v>9013421.0800000001</v>
          </cell>
          <cell r="HJ25">
            <v>0</v>
          </cell>
          <cell r="HL25">
            <v>2274159.02</v>
          </cell>
          <cell r="HN25">
            <v>67126000</v>
          </cell>
          <cell r="HR25">
            <v>46749409.060000002</v>
          </cell>
          <cell r="HT25">
            <v>0</v>
          </cell>
          <cell r="HV25">
            <v>2558209.02</v>
          </cell>
          <cell r="HX25">
            <v>0</v>
          </cell>
          <cell r="IB25">
            <v>51129544.369999997</v>
          </cell>
          <cell r="ID25">
            <v>0</v>
          </cell>
          <cell r="IF25">
            <v>1140381.6199999999</v>
          </cell>
          <cell r="IH25">
            <v>0</v>
          </cell>
          <cell r="IL25">
            <v>21667250.509999998</v>
          </cell>
          <cell r="IR25">
            <v>0</v>
          </cell>
          <cell r="IT25">
            <v>0</v>
          </cell>
          <cell r="JB25">
            <v>0</v>
          </cell>
          <cell r="JD25">
            <v>0</v>
          </cell>
          <cell r="JN25">
            <v>0</v>
          </cell>
          <cell r="JZ25">
            <v>0</v>
          </cell>
          <cell r="KF25">
            <v>0</v>
          </cell>
          <cell r="KN25">
            <v>0</v>
          </cell>
          <cell r="KP25">
            <v>0</v>
          </cell>
          <cell r="KR25">
            <v>0</v>
          </cell>
          <cell r="KV25">
            <v>9950087.3200000059</v>
          </cell>
          <cell r="KZ25">
            <v>0</v>
          </cell>
          <cell r="LB25">
            <v>64972277.170000002</v>
          </cell>
          <cell r="LF25">
            <v>34608660.109999999</v>
          </cell>
          <cell r="LH25">
            <v>9950087.3200000059</v>
          </cell>
          <cell r="LL25">
            <v>3729042.1000000015</v>
          </cell>
          <cell r="LR25">
            <v>742629.11</v>
          </cell>
          <cell r="LT25">
            <v>243864.57</v>
          </cell>
          <cell r="LX25">
            <v>3729042.1000000015</v>
          </cell>
          <cell r="MD25">
            <v>15838100</v>
          </cell>
          <cell r="MR25">
            <v>0</v>
          </cell>
          <cell r="MT25">
            <v>0</v>
          </cell>
          <cell r="MV25">
            <v>0</v>
          </cell>
          <cell r="ND25">
            <v>0</v>
          </cell>
          <cell r="NF25">
            <v>0</v>
          </cell>
          <cell r="NH25">
            <v>0</v>
          </cell>
          <cell r="NJ25">
            <v>0</v>
          </cell>
          <cell r="NL25">
            <v>3658000</v>
          </cell>
          <cell r="NN25">
            <v>2495414.66</v>
          </cell>
          <cell r="NP25">
            <v>2339659.63</v>
          </cell>
          <cell r="NR25">
            <v>0</v>
          </cell>
          <cell r="NT25">
            <v>0</v>
          </cell>
          <cell r="NV25">
            <v>0</v>
          </cell>
          <cell r="NX25">
            <v>3658000</v>
          </cell>
          <cell r="NZ25">
            <v>671842.41000000015</v>
          </cell>
          <cell r="OB25">
            <v>2339659.63</v>
          </cell>
          <cell r="OD25">
            <v>3782048.87</v>
          </cell>
          <cell r="OF25">
            <v>25050</v>
          </cell>
          <cell r="OH25">
            <v>43240</v>
          </cell>
          <cell r="OJ25">
            <v>185321.32</v>
          </cell>
          <cell r="OP25">
            <v>3782048.87</v>
          </cell>
          <cell r="OR25">
            <v>24826.67</v>
          </cell>
          <cell r="OT25">
            <v>43463.33</v>
          </cell>
          <cell r="OV25">
            <v>185321.32</v>
          </cell>
          <cell r="OY25">
            <v>719213.30999999994</v>
          </cell>
          <cell r="PA25">
            <v>175944.32000000001</v>
          </cell>
          <cell r="PC25">
            <v>106222.74</v>
          </cell>
          <cell r="PK25">
            <v>0</v>
          </cell>
          <cell r="PM25">
            <v>0</v>
          </cell>
          <cell r="PW25">
            <v>160272.44</v>
          </cell>
        </row>
        <row r="26">
          <cell r="R26">
            <v>0</v>
          </cell>
          <cell r="T26">
            <v>0</v>
          </cell>
          <cell r="AH26">
            <v>222464.53</v>
          </cell>
          <cell r="AJ26">
            <v>0</v>
          </cell>
          <cell r="AX26">
            <v>157442.10999999987</v>
          </cell>
          <cell r="AZ26">
            <v>2991400</v>
          </cell>
          <cell r="BB26">
            <v>0</v>
          </cell>
          <cell r="BF26">
            <v>0</v>
          </cell>
          <cell r="BR26">
            <v>3257971.49</v>
          </cell>
          <cell r="BT26">
            <v>300000</v>
          </cell>
          <cell r="BV26">
            <v>56024.91</v>
          </cell>
          <cell r="CB26">
            <v>0</v>
          </cell>
          <cell r="CD26">
            <v>0</v>
          </cell>
          <cell r="CR26">
            <v>0</v>
          </cell>
          <cell r="DX26">
            <v>8695.65</v>
          </cell>
          <cell r="DZ26">
            <v>0</v>
          </cell>
          <cell r="FB26">
            <v>27591.880000000005</v>
          </cell>
          <cell r="FD26">
            <v>0</v>
          </cell>
          <cell r="FF26">
            <v>0</v>
          </cell>
          <cell r="FH26">
            <v>78530.73</v>
          </cell>
          <cell r="FJ26">
            <v>27591.880000000005</v>
          </cell>
          <cell r="FL26">
            <v>0</v>
          </cell>
          <cell r="FN26">
            <v>0</v>
          </cell>
          <cell r="FP26">
            <v>78530.73</v>
          </cell>
          <cell r="FV26">
            <v>0</v>
          </cell>
          <cell r="FX26">
            <v>0</v>
          </cell>
          <cell r="FZ26">
            <v>0</v>
          </cell>
          <cell r="GF26">
            <v>0</v>
          </cell>
          <cell r="GH26">
            <v>0</v>
          </cell>
          <cell r="GJ26">
            <v>8429823.2200000007</v>
          </cell>
          <cell r="GP26">
            <v>0</v>
          </cell>
          <cell r="GR26">
            <v>8429823.2200000007</v>
          </cell>
          <cell r="HJ26">
            <v>0</v>
          </cell>
          <cell r="HL26">
            <v>12543068.1</v>
          </cell>
          <cell r="HN26">
            <v>0</v>
          </cell>
          <cell r="HR26">
            <v>0</v>
          </cell>
          <cell r="HT26">
            <v>0</v>
          </cell>
          <cell r="HV26">
            <v>12543068.1</v>
          </cell>
          <cell r="IB26">
            <v>29315000</v>
          </cell>
          <cell r="ID26">
            <v>0</v>
          </cell>
          <cell r="IF26">
            <v>0</v>
          </cell>
          <cell r="IR26">
            <v>0</v>
          </cell>
          <cell r="IT26">
            <v>0</v>
          </cell>
          <cell r="JB26">
            <v>0</v>
          </cell>
          <cell r="JD26">
            <v>0</v>
          </cell>
          <cell r="JN26">
            <v>0</v>
          </cell>
          <cell r="JZ26">
            <v>0</v>
          </cell>
          <cell r="KF26">
            <v>0</v>
          </cell>
          <cell r="KN26">
            <v>0</v>
          </cell>
          <cell r="KP26">
            <v>0</v>
          </cell>
          <cell r="KR26">
            <v>0</v>
          </cell>
          <cell r="KV26">
            <v>0</v>
          </cell>
          <cell r="KZ26">
            <v>0</v>
          </cell>
          <cell r="LB26">
            <v>0</v>
          </cell>
          <cell r="LF26">
            <v>42466533.649999999</v>
          </cell>
          <cell r="LH26">
            <v>0</v>
          </cell>
          <cell r="LV26">
            <v>0</v>
          </cell>
          <cell r="MR26">
            <v>0</v>
          </cell>
          <cell r="MT26">
            <v>0</v>
          </cell>
          <cell r="ND26">
            <v>0</v>
          </cell>
          <cell r="NF26">
            <v>0</v>
          </cell>
          <cell r="NH26">
            <v>0</v>
          </cell>
          <cell r="NJ26">
            <v>0</v>
          </cell>
          <cell r="NL26">
            <v>706800</v>
          </cell>
          <cell r="NN26">
            <v>580183.91</v>
          </cell>
          <cell r="NP26">
            <v>1634033.69</v>
          </cell>
          <cell r="NR26">
            <v>2230517.77</v>
          </cell>
          <cell r="NT26">
            <v>0</v>
          </cell>
          <cell r="NV26">
            <v>0</v>
          </cell>
          <cell r="NX26">
            <v>706800</v>
          </cell>
          <cell r="NZ26">
            <v>580183.91</v>
          </cell>
          <cell r="OB26">
            <v>1634033.69</v>
          </cell>
          <cell r="OD26">
            <v>228140</v>
          </cell>
          <cell r="OF26">
            <v>49490</v>
          </cell>
          <cell r="OH26">
            <v>87270</v>
          </cell>
          <cell r="OJ26">
            <v>377128.78</v>
          </cell>
          <cell r="OP26">
            <v>228140</v>
          </cell>
          <cell r="OR26">
            <v>49718.78</v>
          </cell>
          <cell r="OT26">
            <v>87041.22</v>
          </cell>
          <cell r="OV26">
            <v>377128.78</v>
          </cell>
          <cell r="OY26">
            <v>627186.69999999995</v>
          </cell>
          <cell r="PA26">
            <v>0</v>
          </cell>
          <cell r="PC26">
            <v>84836.06</v>
          </cell>
          <cell r="PK26">
            <v>0</v>
          </cell>
          <cell r="PM26">
            <v>0</v>
          </cell>
          <cell r="PW26">
            <v>133639.18</v>
          </cell>
        </row>
        <row r="27">
          <cell r="R27">
            <v>4000000</v>
          </cell>
          <cell r="T27">
            <v>3600000</v>
          </cell>
          <cell r="AH27">
            <v>232753.51</v>
          </cell>
          <cell r="AJ27">
            <v>0</v>
          </cell>
          <cell r="AX27">
            <v>0</v>
          </cell>
          <cell r="BB27">
            <v>0</v>
          </cell>
          <cell r="BF27">
            <v>0</v>
          </cell>
          <cell r="BR27">
            <v>0</v>
          </cell>
          <cell r="BT27">
            <v>0</v>
          </cell>
          <cell r="BV27">
            <v>197063.12</v>
          </cell>
          <cell r="BX27">
            <v>400000</v>
          </cell>
          <cell r="BZ27">
            <v>7600000</v>
          </cell>
          <cell r="CB27">
            <v>0</v>
          </cell>
          <cell r="CD27">
            <v>0</v>
          </cell>
          <cell r="CR27">
            <v>0</v>
          </cell>
          <cell r="DX27">
            <v>5217.3900000000003</v>
          </cell>
          <cell r="DZ27">
            <v>0</v>
          </cell>
          <cell r="EH27">
            <v>131578.95000000001</v>
          </cell>
          <cell r="EL27">
            <v>2500000</v>
          </cell>
          <cell r="FB27">
            <v>66066.359999999986</v>
          </cell>
          <cell r="FD27">
            <v>0</v>
          </cell>
          <cell r="FF27">
            <v>0</v>
          </cell>
          <cell r="FH27">
            <v>188035.01</v>
          </cell>
          <cell r="FJ27">
            <v>66066.359999999986</v>
          </cell>
          <cell r="FL27">
            <v>0</v>
          </cell>
          <cell r="FN27">
            <v>0</v>
          </cell>
          <cell r="FP27">
            <v>188035.01</v>
          </cell>
          <cell r="FV27">
            <v>0</v>
          </cell>
          <cell r="FX27">
            <v>821052.83999999985</v>
          </cell>
          <cell r="FZ27">
            <v>821052.83999999985</v>
          </cell>
          <cell r="GD27">
            <v>15600000</v>
          </cell>
          <cell r="GF27">
            <v>821052.83999999985</v>
          </cell>
          <cell r="GH27">
            <v>821052.83999999985</v>
          </cell>
          <cell r="GJ27">
            <v>13206720.619999999</v>
          </cell>
          <cell r="GL27">
            <v>15600000</v>
          </cell>
          <cell r="GN27">
            <v>15600000</v>
          </cell>
          <cell r="GP27">
            <v>0</v>
          </cell>
          <cell r="GR27">
            <v>22237679.68</v>
          </cell>
          <cell r="GT27">
            <v>9030959.0600000005</v>
          </cell>
          <cell r="HJ27">
            <v>0</v>
          </cell>
          <cell r="HL27">
            <v>28613600</v>
          </cell>
          <cell r="HN27">
            <v>19531000</v>
          </cell>
          <cell r="HR27">
            <v>11957838.710000001</v>
          </cell>
          <cell r="HT27">
            <v>0</v>
          </cell>
          <cell r="HV27">
            <v>28613600</v>
          </cell>
          <cell r="HX27">
            <v>0</v>
          </cell>
          <cell r="IB27">
            <v>45124354.030000001</v>
          </cell>
          <cell r="ID27">
            <v>0</v>
          </cell>
          <cell r="IF27">
            <v>476394.16000000015</v>
          </cell>
          <cell r="IH27">
            <v>0</v>
          </cell>
          <cell r="IL27">
            <v>9051489.0999999996</v>
          </cell>
          <cell r="IR27">
            <v>0</v>
          </cell>
          <cell r="IT27">
            <v>0</v>
          </cell>
          <cell r="JB27">
            <v>0</v>
          </cell>
          <cell r="JD27">
            <v>0</v>
          </cell>
          <cell r="JN27">
            <v>0</v>
          </cell>
          <cell r="JZ27">
            <v>0</v>
          </cell>
          <cell r="KF27">
            <v>0</v>
          </cell>
          <cell r="KN27">
            <v>28177208.5</v>
          </cell>
          <cell r="KP27">
            <v>0</v>
          </cell>
          <cell r="KR27">
            <v>0</v>
          </cell>
          <cell r="KV27">
            <v>0</v>
          </cell>
          <cell r="KZ27">
            <v>27778487.140000001</v>
          </cell>
          <cell r="LB27">
            <v>0</v>
          </cell>
          <cell r="LF27">
            <v>37909807.450000003</v>
          </cell>
          <cell r="LH27">
            <v>0</v>
          </cell>
          <cell r="LV27">
            <v>0</v>
          </cell>
          <cell r="MR27">
            <v>0</v>
          </cell>
          <cell r="MT27">
            <v>9000000</v>
          </cell>
          <cell r="MV27">
            <v>9000000</v>
          </cell>
          <cell r="ND27">
            <v>0</v>
          </cell>
          <cell r="NF27">
            <v>16059273.65</v>
          </cell>
          <cell r="NH27">
            <v>9000000</v>
          </cell>
          <cell r="NJ27">
            <v>504797.45</v>
          </cell>
          <cell r="NL27">
            <v>714400</v>
          </cell>
          <cell r="NN27">
            <v>493719.02</v>
          </cell>
          <cell r="NP27">
            <v>530797.61</v>
          </cell>
          <cell r="NR27">
            <v>0</v>
          </cell>
          <cell r="NT27">
            <v>504797.45</v>
          </cell>
          <cell r="NV27">
            <v>504797.45</v>
          </cell>
          <cell r="NX27">
            <v>714400</v>
          </cell>
          <cell r="NZ27">
            <v>493719.02</v>
          </cell>
          <cell r="OB27">
            <v>530797.61</v>
          </cell>
          <cell r="OD27">
            <v>533720</v>
          </cell>
          <cell r="OF27">
            <v>55430</v>
          </cell>
          <cell r="OH27">
            <v>96700</v>
          </cell>
          <cell r="OJ27">
            <v>194713.62</v>
          </cell>
          <cell r="OP27">
            <v>533720</v>
          </cell>
          <cell r="OR27">
            <v>55306.51</v>
          </cell>
          <cell r="OT27">
            <v>96823.49</v>
          </cell>
          <cell r="OV27">
            <v>194713.62</v>
          </cell>
          <cell r="OY27">
            <v>391040.27000000008</v>
          </cell>
          <cell r="PA27">
            <v>10635.15</v>
          </cell>
          <cell r="PC27">
            <v>0</v>
          </cell>
          <cell r="PG27">
            <v>224762.96</v>
          </cell>
          <cell r="PK27">
            <v>0</v>
          </cell>
          <cell r="PM27">
            <v>79387.120000000024</v>
          </cell>
          <cell r="PS27">
            <v>224762.96</v>
          </cell>
          <cell r="PW27">
            <v>0</v>
          </cell>
        </row>
        <row r="30">
          <cell r="R30">
            <v>0</v>
          </cell>
          <cell r="T30">
            <v>0</v>
          </cell>
          <cell r="AH30">
            <v>605309.13</v>
          </cell>
          <cell r="AJ30">
            <v>2200444.5</v>
          </cell>
          <cell r="AL30">
            <v>0</v>
          </cell>
          <cell r="AP30">
            <v>0</v>
          </cell>
          <cell r="BB30">
            <v>0</v>
          </cell>
          <cell r="BD30">
            <v>12000000</v>
          </cell>
          <cell r="BF30">
            <v>35391164.860000014</v>
          </cell>
          <cell r="BH30">
            <v>100728700</v>
          </cell>
          <cell r="BJ30">
            <v>63250622.82</v>
          </cell>
          <cell r="BT30">
            <v>0</v>
          </cell>
          <cell r="BV30">
            <v>368451.74</v>
          </cell>
          <cell r="CV30">
            <v>0</v>
          </cell>
          <cell r="DX30">
            <v>78260.87</v>
          </cell>
          <cell r="ET30">
            <v>874267.56999999983</v>
          </cell>
          <cell r="EV30">
            <v>2488300</v>
          </cell>
          <cell r="FJ30">
            <v>115738.47</v>
          </cell>
          <cell r="FP30">
            <v>329409.48</v>
          </cell>
          <cell r="FV30">
            <v>1526316.1799999997</v>
          </cell>
          <cell r="GD30">
            <v>1526316.1799999997</v>
          </cell>
          <cell r="GJ30">
            <v>29000000</v>
          </cell>
          <cell r="GP30">
            <v>20000000</v>
          </cell>
          <cell r="HH30">
            <v>0</v>
          </cell>
          <cell r="HJ30">
            <v>0</v>
          </cell>
          <cell r="HL30">
            <v>37759000</v>
          </cell>
          <cell r="HP30">
            <v>25590065.600000001</v>
          </cell>
          <cell r="HT30">
            <v>0</v>
          </cell>
          <cell r="JZ30">
            <v>0</v>
          </cell>
          <cell r="KL30">
            <v>0</v>
          </cell>
          <cell r="KP30">
            <v>315192127.60000002</v>
          </cell>
          <cell r="KZ30">
            <v>35219325.390000001</v>
          </cell>
          <cell r="LF30">
            <v>8836097.5</v>
          </cell>
          <cell r="LL30">
            <v>35219325.390000001</v>
          </cell>
          <cell r="LV30">
            <v>0</v>
          </cell>
          <cell r="MB30">
            <v>0</v>
          </cell>
          <cell r="MH30">
            <v>0</v>
          </cell>
          <cell r="MR30">
            <v>0</v>
          </cell>
          <cell r="ND30">
            <v>0</v>
          </cell>
          <cell r="NJ30">
            <v>0</v>
          </cell>
          <cell r="NL30">
            <v>15450750</v>
          </cell>
          <cell r="NR30">
            <v>2560000</v>
          </cell>
          <cell r="NX30">
            <v>15450750</v>
          </cell>
          <cell r="OD30">
            <v>2142010</v>
          </cell>
          <cell r="OJ30">
            <v>826233.13</v>
          </cell>
          <cell r="OP30">
            <v>2142010</v>
          </cell>
          <cell r="OR30">
            <v>20075.099999999999</v>
          </cell>
          <cell r="OT30">
            <v>35144.9</v>
          </cell>
          <cell r="OV30">
            <v>826233.13</v>
          </cell>
          <cell r="PC30">
            <v>170266.54</v>
          </cell>
          <cell r="PE30">
            <v>0</v>
          </cell>
          <cell r="PK30">
            <v>0</v>
          </cell>
          <cell r="PW30">
            <v>128646.85</v>
          </cell>
        </row>
        <row r="31">
          <cell r="R31">
            <v>2700000</v>
          </cell>
          <cell r="T31">
            <v>2700000</v>
          </cell>
          <cell r="AH31">
            <v>573263.28</v>
          </cell>
          <cell r="AJ31">
            <v>5822755.5</v>
          </cell>
          <cell r="AL31">
            <v>44427763.159999996</v>
          </cell>
          <cell r="AN31">
            <v>844127500</v>
          </cell>
          <cell r="AP31">
            <v>319132705.80000001</v>
          </cell>
          <cell r="BB31">
            <v>218122801.88</v>
          </cell>
          <cell r="BD31">
            <v>36000000</v>
          </cell>
          <cell r="BF31">
            <v>106173494.60000002</v>
          </cell>
          <cell r="BH31">
            <v>302186100</v>
          </cell>
          <cell r="BJ31">
            <v>228595447.86000001</v>
          </cell>
          <cell r="BT31">
            <v>109890300</v>
          </cell>
          <cell r="BV31">
            <v>2026396.43</v>
          </cell>
          <cell r="CV31">
            <v>348726.3200000003</v>
          </cell>
          <cell r="CX31">
            <v>6625800</v>
          </cell>
          <cell r="DX31">
            <v>246956.52</v>
          </cell>
          <cell r="ET31">
            <v>0</v>
          </cell>
          <cell r="FJ31">
            <v>313465.63</v>
          </cell>
          <cell r="FP31">
            <v>892171.43</v>
          </cell>
          <cell r="FV31">
            <v>7336028.1999999881</v>
          </cell>
          <cell r="GD31">
            <v>7336028.1999999881</v>
          </cell>
          <cell r="GJ31">
            <v>139384500</v>
          </cell>
          <cell r="GP31">
            <v>171621076.69999999</v>
          </cell>
          <cell r="HB31">
            <v>115116800</v>
          </cell>
          <cell r="HH31">
            <v>6058780</v>
          </cell>
          <cell r="HJ31">
            <v>115116800</v>
          </cell>
          <cell r="HT31">
            <v>39227634</v>
          </cell>
          <cell r="HX31">
            <v>360000000</v>
          </cell>
          <cell r="HZ31">
            <v>440147472.10000002</v>
          </cell>
          <cell r="JZ31">
            <v>13685959.390000001</v>
          </cell>
          <cell r="KL31">
            <v>13685959.390000001</v>
          </cell>
          <cell r="KN31">
            <v>260033228.37</v>
          </cell>
          <cell r="KP31">
            <v>1170078620.53</v>
          </cell>
          <cell r="KV31">
            <v>73933652.629999995</v>
          </cell>
          <cell r="KX31">
            <v>1404739120.51</v>
          </cell>
          <cell r="KZ31">
            <v>17640000</v>
          </cell>
          <cell r="LF31">
            <v>138440000</v>
          </cell>
          <cell r="LL31">
            <v>114780674.61</v>
          </cell>
          <cell r="LR31">
            <v>1145900</v>
          </cell>
          <cell r="LT31">
            <v>21770300</v>
          </cell>
          <cell r="LV31">
            <v>37815349</v>
          </cell>
          <cell r="MB31">
            <v>720202200</v>
          </cell>
          <cell r="MH31">
            <v>3965576.2799999993</v>
          </cell>
          <cell r="MJ31">
            <v>75345743.200000003</v>
          </cell>
          <cell r="MR31">
            <v>18900000</v>
          </cell>
          <cell r="ND31">
            <v>21670349.969999999</v>
          </cell>
          <cell r="NJ31">
            <v>20000000</v>
          </cell>
          <cell r="NL31">
            <v>168063410</v>
          </cell>
          <cell r="NX31">
            <v>168063410</v>
          </cell>
          <cell r="OD31">
            <v>2450510</v>
          </cell>
          <cell r="OJ31">
            <v>1888482.88</v>
          </cell>
          <cell r="OP31">
            <v>2450510</v>
          </cell>
          <cell r="OR31">
            <v>1203651.8400000001</v>
          </cell>
          <cell r="OT31">
            <v>2107198.16</v>
          </cell>
          <cell r="OV31">
            <v>1888482.88</v>
          </cell>
          <cell r="PC31">
            <v>836221.5</v>
          </cell>
          <cell r="PE31">
            <v>502200</v>
          </cell>
          <cell r="PK31">
            <v>5058011.3800000027</v>
          </cell>
          <cell r="PQ31">
            <v>14320379.789999999</v>
          </cell>
          <cell r="PW31">
            <v>0</v>
          </cell>
        </row>
        <row r="35">
          <cell r="F35">
            <v>15474846750.99</v>
          </cell>
          <cell r="I35">
            <v>936009988.38999999</v>
          </cell>
        </row>
        <row r="36">
          <cell r="F36">
            <v>16609975.459969999</v>
          </cell>
        </row>
        <row r="39">
          <cell r="N39">
            <v>16608318684.01</v>
          </cell>
        </row>
        <row r="40">
          <cell r="N40">
            <v>1133471933.02</v>
          </cell>
        </row>
      </sheetData>
      <sheetData sheetId="76">
        <row r="6">
          <cell r="C6">
            <v>16865.400000000001</v>
          </cell>
        </row>
        <row r="46">
          <cell r="F46">
            <v>1133471933.02</v>
          </cell>
        </row>
      </sheetData>
      <sheetData sheetId="77"/>
      <sheetData sheetId="78">
        <row r="7">
          <cell r="B7">
            <v>54.824220000000004</v>
          </cell>
        </row>
      </sheetData>
      <sheetData sheetId="79">
        <row r="10">
          <cell r="B10">
            <v>55590906.740000002</v>
          </cell>
          <cell r="K10">
            <v>8645767</v>
          </cell>
          <cell r="M10">
            <v>10038907</v>
          </cell>
          <cell r="S10">
            <v>0</v>
          </cell>
          <cell r="U10">
            <v>0</v>
          </cell>
          <cell r="Y10">
            <v>6136480</v>
          </cell>
          <cell r="AA10">
            <v>6136480</v>
          </cell>
          <cell r="AC10">
            <v>0</v>
          </cell>
          <cell r="AE10">
            <v>0</v>
          </cell>
          <cell r="AG10">
            <v>28379802</v>
          </cell>
          <cell r="AI10">
            <v>53923.83</v>
          </cell>
          <cell r="AM10">
            <v>53923.83</v>
          </cell>
          <cell r="AO10">
            <v>1024552.7300000001</v>
          </cell>
          <cell r="AQ10">
            <v>1230322.1100000001</v>
          </cell>
          <cell r="AU10">
            <v>1230322.1100000001</v>
          </cell>
          <cell r="BA10">
            <v>3854184.19</v>
          </cell>
          <cell r="BC10">
            <v>0</v>
          </cell>
          <cell r="BE10">
            <v>8726919.0700000003</v>
          </cell>
          <cell r="BG10">
            <v>0</v>
          </cell>
        </row>
        <row r="11">
          <cell r="G11">
            <v>22525000</v>
          </cell>
          <cell r="K11">
            <v>32651467</v>
          </cell>
          <cell r="M11">
            <v>38041747</v>
          </cell>
          <cell r="O11">
            <v>89812611.289999992</v>
          </cell>
          <cell r="S11">
            <v>0</v>
          </cell>
          <cell r="U11">
            <v>600000</v>
          </cell>
          <cell r="Y11">
            <v>8218700.0000000009</v>
          </cell>
          <cell r="AA11">
            <v>8218700.0000000009</v>
          </cell>
          <cell r="AC11">
            <v>23803000</v>
          </cell>
          <cell r="AE11">
            <v>23803000</v>
          </cell>
          <cell r="AG11">
            <v>2485140</v>
          </cell>
          <cell r="AI11">
            <v>22789590</v>
          </cell>
          <cell r="AM11">
            <v>283100.09999999998</v>
          </cell>
          <cell r="AO11">
            <v>5378901.8200000003</v>
          </cell>
          <cell r="BA11">
            <v>1797387.6800000002</v>
          </cell>
          <cell r="BC11">
            <v>5090310.7200000007</v>
          </cell>
          <cell r="BE11">
            <v>3435035.31</v>
          </cell>
          <cell r="BG11">
            <v>5090310.7200000007</v>
          </cell>
          <cell r="BI11">
            <v>464604.76</v>
          </cell>
        </row>
        <row r="12">
          <cell r="G12">
            <v>23392389</v>
          </cell>
          <cell r="K12">
            <v>15744768</v>
          </cell>
          <cell r="M12">
            <v>18465948</v>
          </cell>
          <cell r="O12">
            <v>120669638.52000001</v>
          </cell>
          <cell r="S12">
            <v>0</v>
          </cell>
          <cell r="U12">
            <v>474539</v>
          </cell>
          <cell r="Y12">
            <v>18517240</v>
          </cell>
          <cell r="AA12">
            <v>18517240</v>
          </cell>
          <cell r="AC12">
            <v>3765300</v>
          </cell>
          <cell r="AE12">
            <v>3765300</v>
          </cell>
          <cell r="AG12">
            <v>29878876</v>
          </cell>
          <cell r="AI12">
            <v>67404.78</v>
          </cell>
          <cell r="AM12">
            <v>67404.78</v>
          </cell>
          <cell r="AO12">
            <v>1280690.9099999999</v>
          </cell>
          <cell r="AS12">
            <v>2754775.3</v>
          </cell>
          <cell r="AW12">
            <v>2754775.3</v>
          </cell>
          <cell r="BA12">
            <v>3377802.23</v>
          </cell>
          <cell r="BC12">
            <v>3885429.67</v>
          </cell>
          <cell r="BE12">
            <v>6085438.0099999998</v>
          </cell>
          <cell r="BG12">
            <v>3885429.67</v>
          </cell>
        </row>
        <row r="13">
          <cell r="K13">
            <v>14051631</v>
          </cell>
          <cell r="M13">
            <v>16343151</v>
          </cell>
          <cell r="S13">
            <v>0</v>
          </cell>
          <cell r="U13">
            <v>3524029.9999999995</v>
          </cell>
          <cell r="Y13">
            <v>0</v>
          </cell>
          <cell r="AA13">
            <v>0</v>
          </cell>
          <cell r="AC13">
            <v>0</v>
          </cell>
          <cell r="AE13">
            <v>0</v>
          </cell>
          <cell r="AG13">
            <v>28448132</v>
          </cell>
          <cell r="AI13">
            <v>19338208</v>
          </cell>
          <cell r="AM13">
            <v>67404.78</v>
          </cell>
          <cell r="AO13">
            <v>1280690.9099999999</v>
          </cell>
          <cell r="AS13">
            <v>1968929.84</v>
          </cell>
          <cell r="AW13">
            <v>11693938.050000001</v>
          </cell>
          <cell r="BA13">
            <v>2484809.14</v>
          </cell>
          <cell r="BC13">
            <v>4164390.2099999995</v>
          </cell>
          <cell r="BE13">
            <v>5143809.0999999996</v>
          </cell>
          <cell r="BG13">
            <v>4164390.2099999995</v>
          </cell>
        </row>
        <row r="14">
          <cell r="K14">
            <v>15525211</v>
          </cell>
          <cell r="M14">
            <v>18168271</v>
          </cell>
          <cell r="S14">
            <v>6378526</v>
          </cell>
          <cell r="U14">
            <v>0</v>
          </cell>
          <cell r="Y14">
            <v>6694800</v>
          </cell>
          <cell r="AA14">
            <v>6694800</v>
          </cell>
          <cell r="AC14">
            <v>0</v>
          </cell>
          <cell r="AE14">
            <v>0</v>
          </cell>
          <cell r="AG14">
            <v>73457366</v>
          </cell>
          <cell r="AI14">
            <v>175252.44</v>
          </cell>
          <cell r="AM14">
            <v>175252.44</v>
          </cell>
          <cell r="AO14">
            <v>3329796.36</v>
          </cell>
          <cell r="AQ14">
            <v>3307047.49</v>
          </cell>
          <cell r="AU14">
            <v>3307047.49</v>
          </cell>
          <cell r="BA14">
            <v>3838367.78</v>
          </cell>
          <cell r="BC14">
            <v>0</v>
          </cell>
          <cell r="BE14">
            <v>10708193.609999999</v>
          </cell>
          <cell r="BG14">
            <v>0</v>
          </cell>
        </row>
        <row r="15">
          <cell r="G15">
            <v>5649890</v>
          </cell>
          <cell r="K15">
            <v>11124208</v>
          </cell>
          <cell r="M15">
            <v>12816808</v>
          </cell>
          <cell r="S15">
            <v>0</v>
          </cell>
          <cell r="U15">
            <v>0</v>
          </cell>
          <cell r="Y15">
            <v>10085600</v>
          </cell>
          <cell r="AA15">
            <v>10085600</v>
          </cell>
          <cell r="AC15">
            <v>0</v>
          </cell>
          <cell r="AE15">
            <v>0</v>
          </cell>
          <cell r="AG15">
            <v>38286526.810000002</v>
          </cell>
          <cell r="AI15">
            <v>5291224.71</v>
          </cell>
          <cell r="AM15">
            <v>94366.7</v>
          </cell>
          <cell r="AO15">
            <v>1792967.27</v>
          </cell>
          <cell r="BA15">
            <v>1730413.71</v>
          </cell>
          <cell r="BC15">
            <v>3738335.4899999998</v>
          </cell>
          <cell r="BE15">
            <v>3562604.65</v>
          </cell>
          <cell r="BG15">
            <v>3738335.4899999998</v>
          </cell>
        </row>
        <row r="16">
          <cell r="G16">
            <v>18869680</v>
          </cell>
          <cell r="K16">
            <v>15003043</v>
          </cell>
          <cell r="M16">
            <v>17398723</v>
          </cell>
          <cell r="S16">
            <v>0</v>
          </cell>
          <cell r="U16">
            <v>1034493.8099999999</v>
          </cell>
          <cell r="Y16">
            <v>0</v>
          </cell>
          <cell r="AA16">
            <v>0</v>
          </cell>
          <cell r="AC16">
            <v>0</v>
          </cell>
          <cell r="AE16">
            <v>0</v>
          </cell>
          <cell r="AG16">
            <v>18030732.199999999</v>
          </cell>
          <cell r="AI16">
            <v>5848662</v>
          </cell>
          <cell r="AM16">
            <v>67404.78</v>
          </cell>
          <cell r="AO16">
            <v>1280690.9099999999</v>
          </cell>
          <cell r="AS16">
            <v>12155744.510000002</v>
          </cell>
          <cell r="AW16">
            <v>26035472.510000002</v>
          </cell>
          <cell r="BA16">
            <v>3076110.1500000004</v>
          </cell>
          <cell r="BC16">
            <v>4748116.45</v>
          </cell>
          <cell r="BE16">
            <v>7436365.540000001</v>
          </cell>
          <cell r="BG16">
            <v>4748116.45</v>
          </cell>
        </row>
        <row r="17">
          <cell r="K17">
            <v>13295934</v>
          </cell>
          <cell r="M17">
            <v>15483294</v>
          </cell>
          <cell r="O17">
            <v>27167689.879999999</v>
          </cell>
          <cell r="S17">
            <v>0</v>
          </cell>
          <cell r="U17">
            <v>0</v>
          </cell>
          <cell r="Y17">
            <v>10950000</v>
          </cell>
          <cell r="AA17">
            <v>10950000</v>
          </cell>
          <cell r="AC17">
            <v>0</v>
          </cell>
          <cell r="AE17">
            <v>0</v>
          </cell>
          <cell r="AG17">
            <v>54357337.200000003</v>
          </cell>
          <cell r="AI17">
            <v>80885.740000000005</v>
          </cell>
          <cell r="AM17">
            <v>80885.740000000005</v>
          </cell>
          <cell r="AO17">
            <v>1536829.0899999999</v>
          </cell>
          <cell r="AS17">
            <v>3145111.6</v>
          </cell>
          <cell r="AW17">
            <v>3145111.6</v>
          </cell>
          <cell r="BA17">
            <v>2673598.75</v>
          </cell>
          <cell r="BC17">
            <v>6270654.2699999996</v>
          </cell>
          <cell r="BE17">
            <v>4505789.6899999995</v>
          </cell>
          <cell r="BG17">
            <v>6270654.2699999996</v>
          </cell>
          <cell r="BI17">
            <v>730109.4</v>
          </cell>
        </row>
        <row r="18">
          <cell r="G18">
            <v>27174991.600000001</v>
          </cell>
          <cell r="K18">
            <v>9704906</v>
          </cell>
          <cell r="M18">
            <v>11488646</v>
          </cell>
          <cell r="S18">
            <v>2001336.3</v>
          </cell>
          <cell r="U18">
            <v>0</v>
          </cell>
          <cell r="Y18">
            <v>0</v>
          </cell>
          <cell r="AA18">
            <v>0</v>
          </cell>
          <cell r="AC18">
            <v>0</v>
          </cell>
          <cell r="AE18">
            <v>0</v>
          </cell>
          <cell r="AG18">
            <v>10661926</v>
          </cell>
          <cell r="AI18">
            <v>107847.66</v>
          </cell>
          <cell r="AM18">
            <v>107847.66</v>
          </cell>
          <cell r="AO18">
            <v>2049105.45</v>
          </cell>
          <cell r="AU18">
            <v>9267014</v>
          </cell>
          <cell r="BA18">
            <v>3213864.75</v>
          </cell>
          <cell r="BC18">
            <v>0</v>
          </cell>
          <cell r="BE18">
            <v>8106072.7300000004</v>
          </cell>
          <cell r="BG18">
            <v>0</v>
          </cell>
        </row>
        <row r="19">
          <cell r="K19">
            <v>6952630</v>
          </cell>
          <cell r="M19">
            <v>8189530</v>
          </cell>
          <cell r="S19">
            <v>0</v>
          </cell>
          <cell r="U19">
            <v>5759637.5899999999</v>
          </cell>
          <cell r="Y19">
            <v>0</v>
          </cell>
          <cell r="AA19">
            <v>0</v>
          </cell>
          <cell r="AC19">
            <v>0</v>
          </cell>
          <cell r="AE19">
            <v>0</v>
          </cell>
          <cell r="AG19">
            <v>616390</v>
          </cell>
          <cell r="AI19">
            <v>27482111.780000001</v>
          </cell>
          <cell r="AM19">
            <v>53923.83</v>
          </cell>
          <cell r="AO19">
            <v>1024552.7300000001</v>
          </cell>
          <cell r="AS19">
            <v>10789701.5</v>
          </cell>
          <cell r="AW19">
            <v>12997462.57</v>
          </cell>
          <cell r="BA19">
            <v>2946364.8</v>
          </cell>
          <cell r="BC19">
            <v>2406755.21</v>
          </cell>
          <cell r="BE19">
            <v>5702636.4099999992</v>
          </cell>
          <cell r="BG19">
            <v>2406755.21</v>
          </cell>
        </row>
        <row r="20">
          <cell r="K20">
            <v>18735508</v>
          </cell>
          <cell r="M20">
            <v>21756148</v>
          </cell>
          <cell r="S20">
            <v>0</v>
          </cell>
          <cell r="U20">
            <v>12661433</v>
          </cell>
          <cell r="W20">
            <v>10150000</v>
          </cell>
          <cell r="AA20">
            <v>18919600</v>
          </cell>
          <cell r="AC20">
            <v>18919600</v>
          </cell>
          <cell r="AE20">
            <v>18919600</v>
          </cell>
          <cell r="AG20">
            <v>7916740</v>
          </cell>
          <cell r="AI20">
            <v>62985072.510000005</v>
          </cell>
          <cell r="AK20">
            <v>19913707.469999999</v>
          </cell>
          <cell r="AM20">
            <v>134809.57</v>
          </cell>
          <cell r="AO20">
            <v>2561381.8199999998</v>
          </cell>
          <cell r="AS20">
            <v>6813576</v>
          </cell>
          <cell r="AW20">
            <v>6813576</v>
          </cell>
          <cell r="BA20">
            <v>3465649.2600000002</v>
          </cell>
          <cell r="BC20">
            <v>4105288.3499999996</v>
          </cell>
          <cell r="BE20">
            <v>6173285.04</v>
          </cell>
          <cell r="BG20">
            <v>4105288.3499999996</v>
          </cell>
        </row>
        <row r="21">
          <cell r="G21">
            <v>11051802</v>
          </cell>
          <cell r="K21">
            <v>10685094</v>
          </cell>
          <cell r="M21">
            <v>12703194</v>
          </cell>
          <cell r="S21">
            <v>0</v>
          </cell>
          <cell r="U21">
            <v>1212926</v>
          </cell>
          <cell r="Y21">
            <v>6136480</v>
          </cell>
          <cell r="AA21">
            <v>6136480</v>
          </cell>
          <cell r="AC21">
            <v>0</v>
          </cell>
          <cell r="AE21">
            <v>0</v>
          </cell>
          <cell r="AG21">
            <v>4498644</v>
          </cell>
          <cell r="AI21">
            <v>67404.78</v>
          </cell>
          <cell r="AM21">
            <v>67404.78</v>
          </cell>
          <cell r="AO21">
            <v>1280690.9099999999</v>
          </cell>
          <cell r="AS21">
            <v>1700000</v>
          </cell>
          <cell r="AW21">
            <v>1700000</v>
          </cell>
          <cell r="BA21">
            <v>2135209.46</v>
          </cell>
          <cell r="BC21">
            <v>2773750.37</v>
          </cell>
          <cell r="BE21">
            <v>5522748.3499999996</v>
          </cell>
          <cell r="BG21">
            <v>2773750.37</v>
          </cell>
        </row>
        <row r="22">
          <cell r="G22">
            <v>13660680</v>
          </cell>
          <cell r="K22">
            <v>23565756</v>
          </cell>
          <cell r="M22">
            <v>27497796</v>
          </cell>
          <cell r="S22">
            <v>0</v>
          </cell>
          <cell r="U22">
            <v>831546.72000000009</v>
          </cell>
          <cell r="Y22">
            <v>0</v>
          </cell>
          <cell r="AA22">
            <v>0</v>
          </cell>
          <cell r="AC22">
            <v>0</v>
          </cell>
          <cell r="AE22">
            <v>0</v>
          </cell>
          <cell r="AG22">
            <v>0</v>
          </cell>
          <cell r="AI22">
            <v>31068513.449999999</v>
          </cell>
          <cell r="AM22">
            <v>161771.49</v>
          </cell>
          <cell r="AO22">
            <v>3073658.1799999997</v>
          </cell>
          <cell r="AW22">
            <v>8059349.7000000002</v>
          </cell>
          <cell r="BA22">
            <v>3027971.71</v>
          </cell>
          <cell r="BC22">
            <v>6864373.0800000001</v>
          </cell>
          <cell r="BE22">
            <v>4860162.6500000004</v>
          </cell>
          <cell r="BG22">
            <v>6864373.0800000001</v>
          </cell>
        </row>
        <row r="23">
          <cell r="K23">
            <v>10758280</v>
          </cell>
          <cell r="M23">
            <v>12502960</v>
          </cell>
          <cell r="S23">
            <v>0</v>
          </cell>
          <cell r="U23">
            <v>0</v>
          </cell>
          <cell r="Y23">
            <v>0</v>
          </cell>
          <cell r="AA23">
            <v>0</v>
          </cell>
          <cell r="AC23">
            <v>0</v>
          </cell>
          <cell r="AE23">
            <v>0</v>
          </cell>
          <cell r="AG23">
            <v>46926725</v>
          </cell>
          <cell r="AI23">
            <v>67404.78</v>
          </cell>
          <cell r="AM23">
            <v>67404.78</v>
          </cell>
          <cell r="AO23">
            <v>1280690.9099999999</v>
          </cell>
          <cell r="AQ23">
            <v>3521500</v>
          </cell>
          <cell r="AU23">
            <v>3521500</v>
          </cell>
          <cell r="BA23">
            <v>2625703.2000000002</v>
          </cell>
          <cell r="BC23">
            <v>0</v>
          </cell>
          <cell r="BE23">
            <v>7601021.0700000003</v>
          </cell>
          <cell r="BG23">
            <v>0</v>
          </cell>
        </row>
        <row r="24">
          <cell r="G24">
            <v>21826031.32</v>
          </cell>
          <cell r="K24">
            <v>12612591</v>
          </cell>
          <cell r="M24">
            <v>14708811</v>
          </cell>
          <cell r="S24">
            <v>0</v>
          </cell>
          <cell r="U24">
            <v>1438932.79</v>
          </cell>
          <cell r="Y24">
            <v>19937960</v>
          </cell>
          <cell r="AA24">
            <v>19937960</v>
          </cell>
          <cell r="AC24">
            <v>0</v>
          </cell>
          <cell r="AE24">
            <v>0</v>
          </cell>
          <cell r="AG24">
            <v>0</v>
          </cell>
          <cell r="AI24">
            <v>94366.7</v>
          </cell>
          <cell r="AM24">
            <v>94366.7</v>
          </cell>
          <cell r="AO24">
            <v>1792967.27</v>
          </cell>
          <cell r="AS24">
            <v>2037837.3699999999</v>
          </cell>
          <cell r="AW24">
            <v>2037837.3699999999</v>
          </cell>
          <cell r="BA24">
            <v>2940071.23</v>
          </cell>
          <cell r="BC24">
            <v>4213520.41</v>
          </cell>
          <cell r="BE24">
            <v>5647707.0099999998</v>
          </cell>
          <cell r="BG24">
            <v>4213520.41</v>
          </cell>
        </row>
        <row r="25">
          <cell r="G25">
            <v>37341491.079999998</v>
          </cell>
          <cell r="K25">
            <v>19833291</v>
          </cell>
          <cell r="M25">
            <v>23322651</v>
          </cell>
          <cell r="O25">
            <v>3300309.39</v>
          </cell>
          <cell r="S25">
            <v>0</v>
          </cell>
          <cell r="U25">
            <v>23826334.740000002</v>
          </cell>
          <cell r="W25">
            <v>2148904</v>
          </cell>
          <cell r="Y25">
            <v>9476000</v>
          </cell>
          <cell r="AA25">
            <v>9476000</v>
          </cell>
          <cell r="AC25">
            <v>4738000</v>
          </cell>
          <cell r="AE25">
            <v>4738000</v>
          </cell>
          <cell r="AG25">
            <v>2770413.39</v>
          </cell>
          <cell r="AI25">
            <v>47158914.539999999</v>
          </cell>
          <cell r="AM25">
            <v>161771.49</v>
          </cell>
          <cell r="AO25">
            <v>3073658.1799999997</v>
          </cell>
          <cell r="AW25">
            <v>4643517.37</v>
          </cell>
          <cell r="BA25">
            <v>3227878.4000000004</v>
          </cell>
          <cell r="BC25">
            <v>6118541.8600000003</v>
          </cell>
          <cell r="BE25">
            <v>5984150.0100000007</v>
          </cell>
          <cell r="BG25">
            <v>6118541.8600000003</v>
          </cell>
          <cell r="BI25">
            <v>422633.14</v>
          </cell>
        </row>
        <row r="26">
          <cell r="G26">
            <v>112067538.78999999</v>
          </cell>
          <cell r="K26">
            <v>10870941</v>
          </cell>
          <cell r="M26">
            <v>12680721</v>
          </cell>
          <cell r="S26">
            <v>0</v>
          </cell>
          <cell r="U26">
            <v>0</v>
          </cell>
          <cell r="Y26">
            <v>7157500</v>
          </cell>
          <cell r="AA26">
            <v>7157500</v>
          </cell>
          <cell r="AC26">
            <v>0</v>
          </cell>
          <cell r="AE26">
            <v>0</v>
          </cell>
          <cell r="AG26">
            <v>0</v>
          </cell>
          <cell r="AI26">
            <v>67404.78</v>
          </cell>
          <cell r="AM26">
            <v>67404.78</v>
          </cell>
          <cell r="AO26">
            <v>1280690.9099999999</v>
          </cell>
          <cell r="BA26">
            <v>2846421.5</v>
          </cell>
          <cell r="BC26">
            <v>3778386.3200000003</v>
          </cell>
          <cell r="BE26">
            <v>7206676.8900000006</v>
          </cell>
          <cell r="BG26">
            <v>3778386.3200000003</v>
          </cell>
        </row>
        <row r="27">
          <cell r="G27">
            <v>59306016</v>
          </cell>
          <cell r="K27">
            <v>16832683</v>
          </cell>
          <cell r="M27">
            <v>19332523</v>
          </cell>
          <cell r="S27">
            <v>0</v>
          </cell>
          <cell r="U27">
            <v>524704.99999999988</v>
          </cell>
          <cell r="Y27">
            <v>12072900</v>
          </cell>
          <cell r="AA27">
            <v>12072900</v>
          </cell>
          <cell r="AC27">
            <v>0</v>
          </cell>
          <cell r="AE27">
            <v>0</v>
          </cell>
          <cell r="AG27">
            <v>4548716</v>
          </cell>
          <cell r="AI27">
            <v>121328.61</v>
          </cell>
          <cell r="AM27">
            <v>121328.61</v>
          </cell>
          <cell r="AO27">
            <v>2305243.64</v>
          </cell>
          <cell r="AS27">
            <v>3425636.5300000003</v>
          </cell>
          <cell r="AW27">
            <v>6656409.0500000007</v>
          </cell>
          <cell r="BA27">
            <v>3288377.8</v>
          </cell>
          <cell r="BC27">
            <v>5460960.1599999992</v>
          </cell>
          <cell r="BE27">
            <v>6675916.6900000004</v>
          </cell>
          <cell r="BG27">
            <v>5460960.1599999992</v>
          </cell>
        </row>
        <row r="30">
          <cell r="E30">
            <v>335640263.04000002</v>
          </cell>
          <cell r="G30">
            <v>29584308</v>
          </cell>
          <cell r="K30">
            <v>32352960</v>
          </cell>
          <cell r="M30">
            <v>37730240</v>
          </cell>
          <cell r="AG30">
            <v>28808010</v>
          </cell>
          <cell r="AM30">
            <v>161771.49</v>
          </cell>
          <cell r="AO30">
            <v>3073658.1799999997</v>
          </cell>
          <cell r="AQ30">
            <v>4800739.34</v>
          </cell>
          <cell r="AS30">
            <v>91214000.659999996</v>
          </cell>
          <cell r="AU30">
            <v>4968497.47</v>
          </cell>
          <cell r="BA30">
            <v>7062103.370000001</v>
          </cell>
          <cell r="BE30">
            <v>10395503.800000001</v>
          </cell>
        </row>
        <row r="31">
          <cell r="G31">
            <v>94050180</v>
          </cell>
          <cell r="K31">
            <v>184772331</v>
          </cell>
          <cell r="M31">
            <v>184772331</v>
          </cell>
          <cell r="Y31">
            <v>355374797.69</v>
          </cell>
          <cell r="AG31">
            <v>66966226.409999996</v>
          </cell>
          <cell r="AM31">
            <v>867811.85000000009</v>
          </cell>
          <cell r="AO31">
            <v>16488425.310000001</v>
          </cell>
          <cell r="BA31">
            <v>8177481.6699999999</v>
          </cell>
          <cell r="BE31">
            <v>8177481.6699999999</v>
          </cell>
        </row>
        <row r="35">
          <cell r="B35">
            <v>3297055812.6800003</v>
          </cell>
        </row>
        <row r="37">
          <cell r="B37">
            <v>307304.25409000006</v>
          </cell>
        </row>
        <row r="39">
          <cell r="B39">
            <v>4425171650.1700001</v>
          </cell>
        </row>
        <row r="45">
          <cell r="B45">
            <v>820811583.39999998</v>
          </cell>
          <cell r="C45">
            <v>772232305.03999996</v>
          </cell>
        </row>
      </sheetData>
      <sheetData sheetId="80">
        <row r="7">
          <cell r="C7">
            <v>593090.60253999999</v>
          </cell>
        </row>
      </sheetData>
      <sheetData sheetId="81"/>
      <sheetData sheetId="82"/>
      <sheetData sheetId="83"/>
      <sheetData sheetId="84"/>
      <sheetData sheetId="85"/>
      <sheetData sheetId="86"/>
      <sheetData sheetId="87"/>
      <sheetData sheetId="88">
        <row r="4">
          <cell r="D4" t="str">
            <v>ПО  СОСТОЯНИЮ  НА  1  ОКТЯБРЯ  2024  ГОДА</v>
          </cell>
        </row>
      </sheetData>
      <sheetData sheetId="89"/>
      <sheetData sheetId="90">
        <row r="9">
          <cell r="D9">
            <v>158003877</v>
          </cell>
        </row>
      </sheetData>
      <sheetData sheetId="91"/>
      <sheetData sheetId="92" refreshError="1"/>
      <sheetData sheetId="93"/>
      <sheetData sheetId="94"/>
      <sheetData sheetId="95"/>
      <sheetData sheetId="96"/>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январе"/>
      <sheetName val="Уточнения  по  МБТ  в  марте"/>
      <sheetName val="Уточнения  по  МБТ  в  мае"/>
      <sheetName val="Уточнения  по  МБТ  в  июне"/>
      <sheetName val="Уточнения  по  МБТ  в  ________"/>
      <sheetName val="Уточнения  по  субвенции"/>
      <sheetName val="Уточнение  по  МБТ  за  год"/>
      <sheetName val="Годовые  поправки  по МБТ_всего"/>
      <sheetName val="Уточнения  по  уровням  бюджета"/>
      <sheetName val="Дотация"/>
      <sheetName val="Субсидия"/>
      <sheetName val="Субвенция"/>
      <sheetName val="Иные  МБТ"/>
      <sheetName val="МБТ  всего"/>
      <sheetName val="Уточнения  по  МБТ  в  сентябре"/>
      <sheetName val="Уточнения  по  МБТ  в  _______ "/>
    </sheetNames>
    <sheetDataSet>
      <sheetData sheetId="0">
        <row r="37">
          <cell r="B37">
            <v>8554272.6308399998</v>
          </cell>
          <cell r="E37">
            <v>5707690.8783100005</v>
          </cell>
        </row>
        <row r="46">
          <cell r="B46">
            <v>8554272.6308399998</v>
          </cell>
          <cell r="E46">
            <v>5707690.8783100005</v>
          </cell>
        </row>
        <row r="47">
          <cell r="B47">
            <v>0</v>
          </cell>
          <cell r="E47">
            <v>0</v>
          </cell>
        </row>
      </sheetData>
      <sheetData sheetId="1">
        <row r="38">
          <cell r="B38">
            <v>15474846.75099</v>
          </cell>
          <cell r="C38">
            <v>9093594.681499999</v>
          </cell>
        </row>
        <row r="47">
          <cell r="B47">
            <v>6477213.2711900007</v>
          </cell>
          <cell r="C47">
            <v>4290292.3736899998</v>
          </cell>
        </row>
        <row r="50">
          <cell r="B50">
            <v>15474846.75099</v>
          </cell>
          <cell r="C50">
            <v>9093594.681499999</v>
          </cell>
        </row>
        <row r="51">
          <cell r="B51"/>
          <cell r="C51"/>
        </row>
      </sheetData>
      <sheetData sheetId="2">
        <row r="38">
          <cell r="B38">
            <v>17150133.877010003</v>
          </cell>
          <cell r="G38">
            <v>12965830.311979998</v>
          </cell>
        </row>
        <row r="47">
          <cell r="B47">
            <v>495263.4</v>
          </cell>
          <cell r="G47">
            <v>327533.71364999999</v>
          </cell>
        </row>
        <row r="50">
          <cell r="B50">
            <v>17089124.492970001</v>
          </cell>
          <cell r="G50">
            <v>12931437.024399998</v>
          </cell>
        </row>
        <row r="51">
          <cell r="B51">
            <v>61009.384039999997</v>
          </cell>
          <cell r="G51">
            <v>34393.287580000004</v>
          </cell>
        </row>
      </sheetData>
      <sheetData sheetId="3">
        <row r="36">
          <cell r="B36">
            <v>3297055.81268</v>
          </cell>
          <cell r="G36">
            <v>1893923.0932</v>
          </cell>
        </row>
        <row r="45">
          <cell r="B45">
            <v>680846.24414999993</v>
          </cell>
          <cell r="G45">
            <v>539222.73265999998</v>
          </cell>
        </row>
        <row r="48">
          <cell r="B48">
            <v>3101779.48281</v>
          </cell>
          <cell r="G48">
            <v>1698752.25327</v>
          </cell>
        </row>
        <row r="49">
          <cell r="B49">
            <v>195276.32987000002</v>
          </cell>
          <cell r="G49">
            <v>195170.83993000002</v>
          </cell>
        </row>
      </sheetData>
      <sheetData sheetId="4">
        <row r="33">
          <cell r="B33">
            <v>44476309.071520001</v>
          </cell>
          <cell r="E33">
            <v>29661038.964989997</v>
          </cell>
        </row>
      </sheetData>
      <sheetData sheetId="5"/>
      <sheetData sheetId="6"/>
      <sheetData sheetId="7"/>
      <sheetData sheetId="8"/>
      <sheetData sheetId="9"/>
      <sheetData sheetId="10">
        <row r="10">
          <cell r="C10"/>
        </row>
      </sheetData>
      <sheetData sheetId="11">
        <row r="10">
          <cell r="D10">
            <v>11912.998240000001</v>
          </cell>
        </row>
      </sheetData>
      <sheetData sheetId="12">
        <row r="10">
          <cell r="D10">
            <v>4082.65</v>
          </cell>
        </row>
      </sheetData>
      <sheetData sheetId="13">
        <row r="10">
          <cell r="D10">
            <v>0</v>
          </cell>
        </row>
      </sheetData>
      <sheetData sheetId="14"/>
      <sheetData sheetId="15"/>
      <sheetData sheetId="16">
        <row r="12">
          <cell r="H12"/>
        </row>
      </sheetData>
      <sheetData sheetId="17">
        <row r="3">
          <cell r="A3" t="str">
            <v>ПО  СОСТОЯНИЮ  НА  1  ОКТЯБРЯ  2024  ГОДА</v>
          </cell>
        </row>
      </sheetData>
      <sheetData sheetId="18"/>
      <sheetData sheetId="19"/>
      <sheetData sheetId="20"/>
      <sheetData sheetId="21"/>
      <sheetData sheetId="22"/>
      <sheetData sheetId="23"/>
      <sheetData sheetId="24">
        <row r="10">
          <cell r="D10">
            <v>180</v>
          </cell>
        </row>
      </sheetData>
      <sheetData sheetId="25">
        <row r="10">
          <cell r="I10"/>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workbookViewId="0">
      <selection activeCell="Q12" sqref="Q12"/>
    </sheetView>
  </sheetViews>
  <sheetFormatPr defaultRowHeight="15" x14ac:dyDescent="0.25"/>
  <cols>
    <col min="1" max="1" width="19.7109375" customWidth="1"/>
    <col min="2" max="2" width="19.28515625" customWidth="1"/>
    <col min="3" max="3" width="18.85546875" customWidth="1"/>
    <col min="4" max="4" width="13.28515625" customWidth="1"/>
    <col min="5" max="5" width="18.140625" customWidth="1"/>
    <col min="6" max="6" width="17.140625" customWidth="1"/>
    <col min="7" max="7" width="13.85546875" customWidth="1"/>
    <col min="8" max="8" width="18.140625" customWidth="1"/>
    <col min="9" max="9" width="17.42578125" customWidth="1"/>
    <col min="10" max="10" width="13.42578125" customWidth="1"/>
    <col min="11" max="12" width="18.140625" customWidth="1"/>
    <col min="13" max="13" width="13" customWidth="1"/>
    <col min="14" max="15" width="19.42578125" customWidth="1"/>
    <col min="16" max="16" width="13.7109375" customWidth="1"/>
  </cols>
  <sheetData>
    <row r="1" spans="1:16" ht="18.75" customHeight="1" x14ac:dyDescent="0.25">
      <c r="A1" s="1503" t="s">
        <v>1404</v>
      </c>
      <c r="B1" s="1503"/>
      <c r="C1" s="1503"/>
      <c r="D1" s="1503"/>
      <c r="E1" s="1503"/>
      <c r="F1" s="1503"/>
      <c r="G1" s="1503"/>
      <c r="H1" s="1503"/>
      <c r="I1" s="1503"/>
      <c r="J1" s="1503"/>
      <c r="K1" s="1503"/>
      <c r="L1" s="1503"/>
      <c r="M1" s="1503"/>
      <c r="N1" s="1503"/>
      <c r="O1" s="1503"/>
      <c r="P1" s="1503"/>
    </row>
    <row r="2" spans="1:16" ht="15.75" x14ac:dyDescent="0.25">
      <c r="A2" s="1309"/>
      <c r="B2" s="1309"/>
      <c r="C2" s="1309"/>
      <c r="D2" s="1310"/>
      <c r="E2" s="1309"/>
      <c r="F2" s="1309"/>
      <c r="G2" s="1311"/>
      <c r="H2" s="1309"/>
      <c r="I2" s="1309"/>
      <c r="J2" s="1311"/>
      <c r="K2" s="1309"/>
      <c r="L2" s="1309"/>
      <c r="M2" s="1312"/>
      <c r="N2" s="1309"/>
      <c r="O2" s="1309"/>
      <c r="P2" s="1313" t="s">
        <v>355</v>
      </c>
    </row>
    <row r="3" spans="1:16" ht="15.75" x14ac:dyDescent="0.25">
      <c r="A3" s="1504" t="s">
        <v>1394</v>
      </c>
      <c r="B3" s="1504" t="s">
        <v>1395</v>
      </c>
      <c r="C3" s="1504" t="s">
        <v>656</v>
      </c>
      <c r="D3" s="1505" t="s">
        <v>1396</v>
      </c>
      <c r="E3" s="1508" t="s">
        <v>375</v>
      </c>
      <c r="F3" s="1508"/>
      <c r="G3" s="1508"/>
      <c r="H3" s="1508"/>
      <c r="I3" s="1508"/>
      <c r="J3" s="1508"/>
      <c r="K3" s="1508"/>
      <c r="L3" s="1508"/>
      <c r="M3" s="1508"/>
      <c r="N3" s="1508"/>
      <c r="O3" s="1508"/>
      <c r="P3" s="1508"/>
    </row>
    <row r="4" spans="1:16" ht="15.75" x14ac:dyDescent="0.25">
      <c r="A4" s="1504"/>
      <c r="B4" s="1504"/>
      <c r="C4" s="1504"/>
      <c r="D4" s="1506"/>
      <c r="E4" s="1509" t="s">
        <v>803</v>
      </c>
      <c r="F4" s="1510"/>
      <c r="G4" s="1511"/>
      <c r="H4" s="1509" t="s">
        <v>804</v>
      </c>
      <c r="I4" s="1510"/>
      <c r="J4" s="1511"/>
      <c r="K4" s="1509" t="s">
        <v>805</v>
      </c>
      <c r="L4" s="1510"/>
      <c r="M4" s="1511"/>
      <c r="N4" s="1509" t="s">
        <v>806</v>
      </c>
      <c r="O4" s="1510"/>
      <c r="P4" s="1511"/>
    </row>
    <row r="5" spans="1:16" ht="45" customHeight="1" x14ac:dyDescent="0.25">
      <c r="A5" s="1504"/>
      <c r="B5" s="1504"/>
      <c r="C5" s="1504"/>
      <c r="D5" s="1507"/>
      <c r="E5" s="1314" t="s">
        <v>1397</v>
      </c>
      <c r="F5" s="1314" t="s">
        <v>656</v>
      </c>
      <c r="G5" s="1315" t="s">
        <v>1396</v>
      </c>
      <c r="H5" s="1314" t="s">
        <v>1397</v>
      </c>
      <c r="I5" s="1314" t="s">
        <v>656</v>
      </c>
      <c r="J5" s="1315" t="s">
        <v>1396</v>
      </c>
      <c r="K5" s="1314" t="s">
        <v>1397</v>
      </c>
      <c r="L5" s="1314" t="s">
        <v>656</v>
      </c>
      <c r="M5" s="1315" t="s">
        <v>1396</v>
      </c>
      <c r="N5" s="1314" t="s">
        <v>1397</v>
      </c>
      <c r="O5" s="1314" t="s">
        <v>656</v>
      </c>
      <c r="P5" s="1315" t="s">
        <v>1396</v>
      </c>
    </row>
    <row r="6" spans="1:16" ht="15.75" x14ac:dyDescent="0.25">
      <c r="A6" s="1316" t="s">
        <v>317</v>
      </c>
      <c r="B6" s="1317">
        <v>591785416.58000004</v>
      </c>
      <c r="C6" s="1318">
        <f>F6+I6+L6+O6</f>
        <v>336654230.00999999</v>
      </c>
      <c r="D6" s="1319">
        <f t="shared" ref="D6:D28" si="0">C6/B6%</f>
        <v>56.887888849232844</v>
      </c>
      <c r="E6" s="1320">
        <v>158903877</v>
      </c>
      <c r="F6" s="1320">
        <v>119430000</v>
      </c>
      <c r="G6" s="1321">
        <f>F6/E6%</f>
        <v>75.158644492984905</v>
      </c>
      <c r="H6" s="1320">
        <v>159884721.09</v>
      </c>
      <c r="I6" s="1320">
        <v>48379451.07</v>
      </c>
      <c r="J6" s="1321">
        <f>I6/H6%</f>
        <v>30.258958292060274</v>
      </c>
      <c r="K6" s="1320">
        <v>197485234.62</v>
      </c>
      <c r="L6" s="1320">
        <v>143116888.41999999</v>
      </c>
      <c r="M6" s="1321">
        <f>L6/K6%</f>
        <v>72.469665236180674</v>
      </c>
      <c r="N6" s="1320">
        <v>75511583.870000005</v>
      </c>
      <c r="O6" s="1320">
        <v>25727890.52</v>
      </c>
      <c r="P6" s="1321">
        <f>O6/N6%</f>
        <v>34.071448645936073</v>
      </c>
    </row>
    <row r="7" spans="1:16" ht="15.75" x14ac:dyDescent="0.25">
      <c r="A7" s="1322" t="s">
        <v>318</v>
      </c>
      <c r="B7" s="1323">
        <v>2583367667.52</v>
      </c>
      <c r="C7" s="1324">
        <f t="shared" ref="C7:C23" si="1">F7+I7+L7+O7</f>
        <v>1544945286.0799999</v>
      </c>
      <c r="D7" s="1319">
        <f t="shared" si="0"/>
        <v>59.803538826632746</v>
      </c>
      <c r="E7" s="1325">
        <v>199264707.40000001</v>
      </c>
      <c r="F7" s="1325">
        <v>152359212.5</v>
      </c>
      <c r="G7" s="1326">
        <f>F7/E7%</f>
        <v>76.460711225775242</v>
      </c>
      <c r="H7" s="1325">
        <v>1099927808.3699999</v>
      </c>
      <c r="I7" s="1325">
        <v>452754280.64999998</v>
      </c>
      <c r="J7" s="1326">
        <f t="shared" ref="J7:J30" si="2">I7/H7%</f>
        <v>41.162181481795933</v>
      </c>
      <c r="K7" s="1325">
        <v>1013954150.11</v>
      </c>
      <c r="L7" s="1325">
        <v>750938820.29999995</v>
      </c>
      <c r="M7" s="1326">
        <f t="shared" ref="M7:M30" si="3">L7/K7%</f>
        <v>74.060431649550765</v>
      </c>
      <c r="N7" s="1325">
        <v>270221001.63999999</v>
      </c>
      <c r="O7" s="1325">
        <v>188892972.63</v>
      </c>
      <c r="P7" s="1326">
        <f t="shared" ref="P7:P30" si="4">O7/N7%</f>
        <v>69.903142791858684</v>
      </c>
    </row>
    <row r="8" spans="1:16" ht="15.75" x14ac:dyDescent="0.25">
      <c r="A8" s="1322" t="s">
        <v>319</v>
      </c>
      <c r="B8" s="1323">
        <v>1706970156.5599999</v>
      </c>
      <c r="C8" s="1324">
        <f t="shared" si="1"/>
        <v>930298456.97000003</v>
      </c>
      <c r="D8" s="1319">
        <f t="shared" si="0"/>
        <v>54.499983693024809</v>
      </c>
      <c r="E8" s="1325">
        <v>232459694.09</v>
      </c>
      <c r="F8" s="1325">
        <v>170040764.99000001</v>
      </c>
      <c r="G8" s="1326">
        <f t="shared" ref="G8:G30" si="5">F8/E8%</f>
        <v>73.148493830576228</v>
      </c>
      <c r="H8" s="1325">
        <v>707642955.32000005</v>
      </c>
      <c r="I8" s="1325">
        <v>307249827.25</v>
      </c>
      <c r="J8" s="1326">
        <f t="shared" si="2"/>
        <v>43.418764355685546</v>
      </c>
      <c r="K8" s="1325">
        <v>493282417.98000002</v>
      </c>
      <c r="L8" s="1325">
        <v>331658618.60000002</v>
      </c>
      <c r="M8" s="1326">
        <f t="shared" si="3"/>
        <v>67.235037477749117</v>
      </c>
      <c r="N8" s="1325">
        <v>273585089.17000002</v>
      </c>
      <c r="O8" s="1325">
        <v>121349246.13</v>
      </c>
      <c r="P8" s="1326">
        <f t="shared" si="4"/>
        <v>44.355211937225178</v>
      </c>
    </row>
    <row r="9" spans="1:16" ht="15.75" x14ac:dyDescent="0.25">
      <c r="A9" s="1322" t="s">
        <v>320</v>
      </c>
      <c r="B9" s="1323">
        <v>1239379651.1099999</v>
      </c>
      <c r="C9" s="1324">
        <f t="shared" si="1"/>
        <v>570440804.41999996</v>
      </c>
      <c r="D9" s="1319">
        <f t="shared" si="0"/>
        <v>46.026316787524131</v>
      </c>
      <c r="E9" s="1325">
        <v>210050134.72999999</v>
      </c>
      <c r="F9" s="1325">
        <v>74425456.280000001</v>
      </c>
      <c r="G9" s="1326">
        <f t="shared" si="5"/>
        <v>35.432234488050689</v>
      </c>
      <c r="H9" s="1325">
        <v>461151755.50999999</v>
      </c>
      <c r="I9" s="1325">
        <v>101321537.47</v>
      </c>
      <c r="J9" s="1326">
        <f t="shared" si="2"/>
        <v>21.971408817027232</v>
      </c>
      <c r="K9" s="1325">
        <v>455504246.63</v>
      </c>
      <c r="L9" s="1325">
        <v>353257806.25</v>
      </c>
      <c r="M9" s="1326">
        <f t="shared" si="3"/>
        <v>77.553131252571319</v>
      </c>
      <c r="N9" s="1325">
        <v>112673514.23999999</v>
      </c>
      <c r="O9" s="1325">
        <v>41436004.420000002</v>
      </c>
      <c r="P9" s="1326">
        <f t="shared" si="4"/>
        <v>36.775283614336658</v>
      </c>
    </row>
    <row r="10" spans="1:16" ht="15.75" x14ac:dyDescent="0.25">
      <c r="A10" s="1316" t="s">
        <v>321</v>
      </c>
      <c r="B10" s="1317">
        <v>2168680506.1199999</v>
      </c>
      <c r="C10" s="1318">
        <f t="shared" si="1"/>
        <v>1482480156.55</v>
      </c>
      <c r="D10" s="1319">
        <f t="shared" si="0"/>
        <v>68.358624166466754</v>
      </c>
      <c r="E10" s="1320">
        <v>277568949</v>
      </c>
      <c r="F10" s="1320">
        <v>193970000</v>
      </c>
      <c r="G10" s="1321">
        <f>F10/E10%</f>
        <v>69.881735943021482</v>
      </c>
      <c r="H10" s="1320">
        <v>1233278267.1500001</v>
      </c>
      <c r="I10" s="1320">
        <v>842954885.70000005</v>
      </c>
      <c r="J10" s="1321">
        <f t="shared" si="2"/>
        <v>68.350745176755296</v>
      </c>
      <c r="K10" s="1320">
        <v>506073358.36000001</v>
      </c>
      <c r="L10" s="1320">
        <v>386013681.55000001</v>
      </c>
      <c r="M10" s="1321">
        <f t="shared" si="3"/>
        <v>76.276230545099267</v>
      </c>
      <c r="N10" s="1320">
        <v>151759931.61000001</v>
      </c>
      <c r="O10" s="1320">
        <v>59541589.299999997</v>
      </c>
      <c r="P10" s="1321">
        <f t="shared" si="4"/>
        <v>39.234064399167522</v>
      </c>
    </row>
    <row r="11" spans="1:16" ht="15.75" x14ac:dyDescent="0.25">
      <c r="A11" s="1322" t="s">
        <v>322</v>
      </c>
      <c r="B11" s="1323">
        <v>736193092.01999998</v>
      </c>
      <c r="C11" s="1324">
        <f t="shared" si="1"/>
        <v>429101709.16999996</v>
      </c>
      <c r="D11" s="1319">
        <f t="shared" si="0"/>
        <v>58.286570985420582</v>
      </c>
      <c r="E11" s="1325">
        <v>72034135.349999994</v>
      </c>
      <c r="F11" s="1325">
        <v>55508510</v>
      </c>
      <c r="G11" s="1326">
        <f t="shared" si="5"/>
        <v>77.058619125911392</v>
      </c>
      <c r="H11" s="1325">
        <v>256109789.49000001</v>
      </c>
      <c r="I11" s="1325">
        <v>101852372.83</v>
      </c>
      <c r="J11" s="1326">
        <f t="shared" si="2"/>
        <v>39.769027584936147</v>
      </c>
      <c r="K11" s="1325">
        <v>300052286.35000002</v>
      </c>
      <c r="L11" s="1325">
        <v>225805507.81999999</v>
      </c>
      <c r="M11" s="1326">
        <f t="shared" si="3"/>
        <v>75.255386508405437</v>
      </c>
      <c r="N11" s="1325">
        <v>107996880.83</v>
      </c>
      <c r="O11" s="1325">
        <v>45935318.520000003</v>
      </c>
      <c r="P11" s="1326">
        <f t="shared" si="4"/>
        <v>42.533930764452066</v>
      </c>
    </row>
    <row r="12" spans="1:16" ht="15.75" x14ac:dyDescent="0.25">
      <c r="A12" s="1322" t="s">
        <v>323</v>
      </c>
      <c r="B12" s="1323">
        <v>837208874.96000004</v>
      </c>
      <c r="C12" s="1324">
        <f t="shared" si="1"/>
        <v>575799512</v>
      </c>
      <c r="D12" s="1319">
        <f t="shared" si="0"/>
        <v>68.776087929969734</v>
      </c>
      <c r="E12" s="1325">
        <v>103508448.20999999</v>
      </c>
      <c r="F12" s="1325">
        <v>78321488</v>
      </c>
      <c r="G12" s="1326">
        <f t="shared" si="5"/>
        <v>75.6667589500519</v>
      </c>
      <c r="H12" s="1325">
        <v>90740927.629999995</v>
      </c>
      <c r="I12" s="1325">
        <v>48037440.850000001</v>
      </c>
      <c r="J12" s="1326">
        <f t="shared" si="2"/>
        <v>52.939111495393476</v>
      </c>
      <c r="K12" s="1325">
        <v>507226143.81</v>
      </c>
      <c r="L12" s="1325">
        <v>404303742.35000002</v>
      </c>
      <c r="M12" s="1326">
        <f t="shared" si="3"/>
        <v>79.708774337437688</v>
      </c>
      <c r="N12" s="1325">
        <v>135733355.31</v>
      </c>
      <c r="O12" s="1325">
        <v>45136840.799999997</v>
      </c>
      <c r="P12" s="1326">
        <f t="shared" si="4"/>
        <v>33.254052179666843</v>
      </c>
    </row>
    <row r="13" spans="1:16" ht="15.75" x14ac:dyDescent="0.25">
      <c r="A13" s="1322" t="s">
        <v>324</v>
      </c>
      <c r="B13" s="1323">
        <v>1723283994.8399999</v>
      </c>
      <c r="C13" s="1324">
        <f t="shared" si="1"/>
        <v>874637105.09000003</v>
      </c>
      <c r="D13" s="1319">
        <f t="shared" si="0"/>
        <v>50.754089732679645</v>
      </c>
      <c r="E13" s="1325">
        <v>257956919.19</v>
      </c>
      <c r="F13" s="1325">
        <v>209916895</v>
      </c>
      <c r="G13" s="1326">
        <f t="shared" si="5"/>
        <v>81.376725873123107</v>
      </c>
      <c r="H13" s="1325">
        <v>894440291.05999994</v>
      </c>
      <c r="I13" s="1325">
        <v>266836601.06</v>
      </c>
      <c r="J13" s="1326">
        <f t="shared" si="2"/>
        <v>29.832802002218877</v>
      </c>
      <c r="K13" s="1325">
        <v>410973008.75999999</v>
      </c>
      <c r="L13" s="1325">
        <v>310470876.88</v>
      </c>
      <c r="M13" s="1326">
        <f t="shared" si="3"/>
        <v>75.545320559314106</v>
      </c>
      <c r="N13" s="1325">
        <v>159913775.83000001</v>
      </c>
      <c r="O13" s="1325">
        <v>87412732.150000006</v>
      </c>
      <c r="P13" s="1326">
        <f t="shared" si="4"/>
        <v>54.66241522739486</v>
      </c>
    </row>
    <row r="14" spans="1:16" ht="15.75" x14ac:dyDescent="0.25">
      <c r="A14" s="1316" t="s">
        <v>325</v>
      </c>
      <c r="B14" s="1317">
        <v>1058162406.92</v>
      </c>
      <c r="C14" s="1318">
        <f t="shared" si="1"/>
        <v>543902684.58000004</v>
      </c>
      <c r="D14" s="1319">
        <f t="shared" si="0"/>
        <v>51.400681126363303</v>
      </c>
      <c r="E14" s="1320">
        <v>336728920</v>
      </c>
      <c r="F14" s="1320">
        <v>179140000</v>
      </c>
      <c r="G14" s="1321">
        <f t="shared" si="5"/>
        <v>53.200063718910748</v>
      </c>
      <c r="H14" s="1320">
        <v>352656068.30000001</v>
      </c>
      <c r="I14" s="1320">
        <v>112717930.97</v>
      </c>
      <c r="J14" s="1321">
        <f t="shared" si="2"/>
        <v>31.962566676752118</v>
      </c>
      <c r="K14" s="1320">
        <v>284893860.47000003</v>
      </c>
      <c r="L14" s="1320">
        <v>214075601.50999999</v>
      </c>
      <c r="M14" s="1321">
        <f t="shared" si="3"/>
        <v>75.142230568546296</v>
      </c>
      <c r="N14" s="1320">
        <v>83883558.150000006</v>
      </c>
      <c r="O14" s="1320">
        <v>37969152.100000001</v>
      </c>
      <c r="P14" s="1321">
        <f t="shared" si="4"/>
        <v>45.264117232728516</v>
      </c>
    </row>
    <row r="15" spans="1:16" ht="15.75" x14ac:dyDescent="0.25">
      <c r="A15" s="1322" t="s">
        <v>326</v>
      </c>
      <c r="B15" s="1323">
        <v>511426540.10000002</v>
      </c>
      <c r="C15" s="1324">
        <f t="shared" si="1"/>
        <v>297627487.93000001</v>
      </c>
      <c r="D15" s="1319">
        <f t="shared" si="0"/>
        <v>58.195550014241427</v>
      </c>
      <c r="E15" s="1325">
        <v>53680207.189999998</v>
      </c>
      <c r="F15" s="1325">
        <v>39690845</v>
      </c>
      <c r="G15" s="1326">
        <f t="shared" si="5"/>
        <v>73.939440769136866</v>
      </c>
      <c r="H15" s="1325">
        <v>114806510.58</v>
      </c>
      <c r="I15" s="1325">
        <v>39789994.210000001</v>
      </c>
      <c r="J15" s="1326">
        <f t="shared" si="2"/>
        <v>34.658308147318316</v>
      </c>
      <c r="K15" s="1325">
        <v>255611370.69999999</v>
      </c>
      <c r="L15" s="1325">
        <v>192829969.97</v>
      </c>
      <c r="M15" s="1326">
        <f t="shared" si="3"/>
        <v>75.438729287327433</v>
      </c>
      <c r="N15" s="1325">
        <v>87328451.629999995</v>
      </c>
      <c r="O15" s="1325">
        <v>25316678.75</v>
      </c>
      <c r="P15" s="1326">
        <f t="shared" si="4"/>
        <v>28.99018392913192</v>
      </c>
    </row>
    <row r="16" spans="1:16" ht="15.75" x14ac:dyDescent="0.25">
      <c r="A16" s="1322" t="s">
        <v>327</v>
      </c>
      <c r="B16" s="1323">
        <v>3010924679.23</v>
      </c>
      <c r="C16" s="1324">
        <f t="shared" si="1"/>
        <v>1706483960.0999999</v>
      </c>
      <c r="D16" s="1319">
        <f t="shared" si="0"/>
        <v>56.676408143707143</v>
      </c>
      <c r="E16" s="1325">
        <v>750340643.01999998</v>
      </c>
      <c r="F16" s="1325">
        <v>489789820</v>
      </c>
      <c r="G16" s="1326">
        <f t="shared" si="5"/>
        <v>65.27566173527201</v>
      </c>
      <c r="H16" s="1325">
        <v>1461014003.26</v>
      </c>
      <c r="I16" s="1325">
        <v>712362842.75999999</v>
      </c>
      <c r="J16" s="1326">
        <f t="shared" si="2"/>
        <v>48.758111912034074</v>
      </c>
      <c r="K16" s="1325">
        <v>603503077.04999995</v>
      </c>
      <c r="L16" s="1325">
        <v>423139392.86000001</v>
      </c>
      <c r="M16" s="1326">
        <f t="shared" si="3"/>
        <v>70.113874966198907</v>
      </c>
      <c r="N16" s="1325">
        <v>196066955.90000001</v>
      </c>
      <c r="O16" s="1325">
        <v>81191904.480000004</v>
      </c>
      <c r="P16" s="1326">
        <f t="shared" si="4"/>
        <v>41.410294818577327</v>
      </c>
    </row>
    <row r="17" spans="1:16" ht="15.75" x14ac:dyDescent="0.25">
      <c r="A17" s="1322" t="s">
        <v>328</v>
      </c>
      <c r="B17" s="1323">
        <v>653545814.16999996</v>
      </c>
      <c r="C17" s="1324">
        <f t="shared" si="1"/>
        <v>442593746.84999996</v>
      </c>
      <c r="D17" s="1319">
        <f t="shared" si="0"/>
        <v>67.721915932105219</v>
      </c>
      <c r="E17" s="1325">
        <v>93877241.819999993</v>
      </c>
      <c r="F17" s="1325">
        <v>71248282</v>
      </c>
      <c r="G17" s="1326">
        <f t="shared" si="5"/>
        <v>75.895159059542124</v>
      </c>
      <c r="H17" s="1325">
        <v>146003883.18000001</v>
      </c>
      <c r="I17" s="1325">
        <v>69690468.260000005</v>
      </c>
      <c r="J17" s="1326">
        <f t="shared" si="2"/>
        <v>47.731927906384882</v>
      </c>
      <c r="K17" s="1325">
        <v>343219110.14999998</v>
      </c>
      <c r="L17" s="1325">
        <v>270594826.08999997</v>
      </c>
      <c r="M17" s="1326">
        <f t="shared" si="3"/>
        <v>78.840256293345547</v>
      </c>
      <c r="N17" s="1325">
        <v>70445579.019999996</v>
      </c>
      <c r="O17" s="1325">
        <v>31060170.5</v>
      </c>
      <c r="P17" s="1326">
        <f t="shared" si="4"/>
        <v>44.09101455633121</v>
      </c>
    </row>
    <row r="18" spans="1:16" ht="15.75" x14ac:dyDescent="0.25">
      <c r="A18" s="1322" t="s">
        <v>329</v>
      </c>
      <c r="B18" s="1323">
        <v>2142474190.49</v>
      </c>
      <c r="C18" s="1324">
        <f t="shared" si="1"/>
        <v>1354729602.47</v>
      </c>
      <c r="D18" s="1319">
        <f t="shared" si="0"/>
        <v>63.232015045192362</v>
      </c>
      <c r="E18" s="1325">
        <v>133814905.73</v>
      </c>
      <c r="F18" s="1325">
        <v>104918158</v>
      </c>
      <c r="G18" s="1326">
        <f t="shared" si="5"/>
        <v>78.405434303181949</v>
      </c>
      <c r="H18" s="1325">
        <v>940043444.13999999</v>
      </c>
      <c r="I18" s="1325">
        <v>331809159.80000001</v>
      </c>
      <c r="J18" s="1326">
        <f t="shared" si="2"/>
        <v>35.297215449819568</v>
      </c>
      <c r="K18" s="1325">
        <v>939079888.55999994</v>
      </c>
      <c r="L18" s="1325">
        <v>878800349.84000003</v>
      </c>
      <c r="M18" s="1326">
        <f t="shared" si="3"/>
        <v>93.580999928298596</v>
      </c>
      <c r="N18" s="1325">
        <v>129535952.06</v>
      </c>
      <c r="O18" s="1325">
        <v>39201934.829999998</v>
      </c>
      <c r="P18" s="1326">
        <f t="shared" si="4"/>
        <v>30.263362569676396</v>
      </c>
    </row>
    <row r="19" spans="1:16" ht="15.75" x14ac:dyDescent="0.25">
      <c r="A19" s="1316" t="s">
        <v>330</v>
      </c>
      <c r="B19" s="1317">
        <v>630826662.03999996</v>
      </c>
      <c r="C19" s="1318">
        <f t="shared" si="1"/>
        <v>400167587.77999997</v>
      </c>
      <c r="D19" s="1319">
        <f t="shared" si="0"/>
        <v>63.435427172009071</v>
      </c>
      <c r="E19" s="1320">
        <v>91097006</v>
      </c>
      <c r="F19" s="1320">
        <v>70428000</v>
      </c>
      <c r="G19" s="1321">
        <f t="shared" si="5"/>
        <v>77.310993074788868</v>
      </c>
      <c r="H19" s="1320">
        <v>156003722.78999999</v>
      </c>
      <c r="I19" s="1320">
        <v>68684964.069999993</v>
      </c>
      <c r="J19" s="1321">
        <f t="shared" si="2"/>
        <v>44.027772441339955</v>
      </c>
      <c r="K19" s="1320">
        <v>294852743.50999999</v>
      </c>
      <c r="L19" s="1320">
        <v>219181850.96000001</v>
      </c>
      <c r="M19" s="1321">
        <f t="shared" si="3"/>
        <v>74.336039187156629</v>
      </c>
      <c r="N19" s="1320">
        <v>88873189.739999995</v>
      </c>
      <c r="O19" s="1320">
        <v>41872772.75</v>
      </c>
      <c r="P19" s="1321">
        <f t="shared" si="4"/>
        <v>47.115190613164103</v>
      </c>
    </row>
    <row r="20" spans="1:16" ht="15.75" x14ac:dyDescent="0.25">
      <c r="A20" s="1322" t="s">
        <v>331</v>
      </c>
      <c r="B20" s="1323">
        <v>755407590.88999999</v>
      </c>
      <c r="C20" s="1324">
        <f t="shared" si="1"/>
        <v>504139091.07999998</v>
      </c>
      <c r="D20" s="1319">
        <f t="shared" si="0"/>
        <v>66.737361016724421</v>
      </c>
      <c r="E20" s="1325">
        <v>91725904.609999999</v>
      </c>
      <c r="F20" s="1325">
        <v>71239819.609999999</v>
      </c>
      <c r="G20" s="1326">
        <f t="shared" si="5"/>
        <v>77.665976599410286</v>
      </c>
      <c r="H20" s="1325">
        <v>141944415.34999999</v>
      </c>
      <c r="I20" s="1325">
        <v>56482161.530000001</v>
      </c>
      <c r="J20" s="1326">
        <f t="shared" si="2"/>
        <v>39.791746220327788</v>
      </c>
      <c r="K20" s="1325">
        <v>408202790.35000002</v>
      </c>
      <c r="L20" s="1325">
        <v>306715255.31</v>
      </c>
      <c r="M20" s="1326">
        <f t="shared" si="3"/>
        <v>75.137961464451806</v>
      </c>
      <c r="N20" s="1325">
        <v>113534480.58</v>
      </c>
      <c r="O20" s="1325">
        <v>69701854.629999995</v>
      </c>
      <c r="P20" s="1326">
        <f t="shared" si="4"/>
        <v>61.392674959996718</v>
      </c>
    </row>
    <row r="21" spans="1:16" ht="15.75" x14ac:dyDescent="0.25">
      <c r="A21" s="1322" t="s">
        <v>332</v>
      </c>
      <c r="B21" s="1323">
        <v>1597883920.78</v>
      </c>
      <c r="C21" s="1324">
        <f t="shared" si="1"/>
        <v>1018398870.9899999</v>
      </c>
      <c r="D21" s="1319">
        <f t="shared" si="0"/>
        <v>63.734221099920262</v>
      </c>
      <c r="E21" s="1325">
        <v>281259215.66000003</v>
      </c>
      <c r="F21" s="1325">
        <v>216590326.31999999</v>
      </c>
      <c r="G21" s="1326">
        <f t="shared" si="5"/>
        <v>77.007370518242865</v>
      </c>
      <c r="H21" s="1325">
        <v>453251010.36000001</v>
      </c>
      <c r="I21" s="1325">
        <v>144714040.28999999</v>
      </c>
      <c r="J21" s="1326">
        <f t="shared" si="2"/>
        <v>31.928012730751366</v>
      </c>
      <c r="K21" s="1325">
        <v>652802230.45000005</v>
      </c>
      <c r="L21" s="1325">
        <v>518175259.70999998</v>
      </c>
      <c r="M21" s="1326">
        <f t="shared" si="3"/>
        <v>79.377066367068494</v>
      </c>
      <c r="N21" s="1325">
        <v>210571464.31</v>
      </c>
      <c r="O21" s="1325">
        <v>138919244.66999999</v>
      </c>
      <c r="P21" s="1326">
        <f t="shared" si="4"/>
        <v>65.972493056079657</v>
      </c>
    </row>
    <row r="22" spans="1:16" ht="15.75" x14ac:dyDescent="0.25">
      <c r="A22" s="1322" t="s">
        <v>333</v>
      </c>
      <c r="B22" s="1323">
        <v>942320322.16999996</v>
      </c>
      <c r="C22" s="1324">
        <f t="shared" si="1"/>
        <v>651975964.27999997</v>
      </c>
      <c r="D22" s="1319">
        <f t="shared" si="0"/>
        <v>69.188358665407179</v>
      </c>
      <c r="E22" s="1328">
        <v>326214165.05000001</v>
      </c>
      <c r="F22" s="1328">
        <v>253162460.16</v>
      </c>
      <c r="G22" s="1326">
        <f t="shared" si="5"/>
        <v>77.606213121124554</v>
      </c>
      <c r="H22" s="1328">
        <v>128221422.45999999</v>
      </c>
      <c r="I22" s="1328">
        <v>66636599.5</v>
      </c>
      <c r="J22" s="1326">
        <f t="shared" si="2"/>
        <v>51.96994248039011</v>
      </c>
      <c r="K22" s="1328">
        <v>318925162.37</v>
      </c>
      <c r="L22" s="1328">
        <v>258172005.65000001</v>
      </c>
      <c r="M22" s="1326">
        <f t="shared" si="3"/>
        <v>80.950654295029437</v>
      </c>
      <c r="N22" s="1328">
        <v>168959572.28999999</v>
      </c>
      <c r="O22" s="1328">
        <v>74004898.969999999</v>
      </c>
      <c r="P22" s="1326">
        <f t="shared" si="4"/>
        <v>43.800358847369097</v>
      </c>
    </row>
    <row r="23" spans="1:16" ht="15.75" x14ac:dyDescent="0.25">
      <c r="A23" s="1322" t="s">
        <v>334</v>
      </c>
      <c r="B23" s="1323">
        <v>1091263322.4100001</v>
      </c>
      <c r="C23" s="1324">
        <f t="shared" si="1"/>
        <v>653446204.30000007</v>
      </c>
      <c r="D23" s="1319">
        <f t="shared" si="0"/>
        <v>59.879791694721035</v>
      </c>
      <c r="E23" s="1328">
        <v>120577113.48999999</v>
      </c>
      <c r="F23" s="1328">
        <v>94427944.719999999</v>
      </c>
      <c r="G23" s="1326">
        <f t="shared" si="5"/>
        <v>78.313323305613324</v>
      </c>
      <c r="H23" s="1328">
        <v>354103604.73000002</v>
      </c>
      <c r="I23" s="1328">
        <v>167121587.44</v>
      </c>
      <c r="J23" s="1326">
        <f t="shared" si="2"/>
        <v>47.19567527911169</v>
      </c>
      <c r="K23" s="1328">
        <v>458375999.94</v>
      </c>
      <c r="L23" s="1328">
        <v>338458848.04000002</v>
      </c>
      <c r="M23" s="1326">
        <f t="shared" si="3"/>
        <v>73.838693143686243</v>
      </c>
      <c r="N23" s="1327">
        <v>158206604.25</v>
      </c>
      <c r="O23" s="1327">
        <v>53437824.100000001</v>
      </c>
      <c r="P23" s="1326">
        <f t="shared" si="4"/>
        <v>33.777239801921858</v>
      </c>
    </row>
    <row r="24" spans="1:16" ht="15.75" x14ac:dyDescent="0.25">
      <c r="A24" s="1329" t="s">
        <v>1398</v>
      </c>
      <c r="B24" s="1330">
        <f>SUM(B7:B9,B11:B13,B15:B18,B20:B23)</f>
        <v>19531649817.249996</v>
      </c>
      <c r="C24" s="1330">
        <f t="shared" ref="C24:L24" si="6">SUM(C7:C9,C11:C13,C15:C18,C20:C23)</f>
        <v>11554617801.73</v>
      </c>
      <c r="D24" s="1330">
        <f t="shared" si="0"/>
        <v>59.158432133701133</v>
      </c>
      <c r="E24" s="1330">
        <f t="shared" si="6"/>
        <v>2926763435.54</v>
      </c>
      <c r="F24" s="1330">
        <f t="shared" si="6"/>
        <v>2081639982.5799999</v>
      </c>
      <c r="G24" s="1331">
        <f t="shared" si="5"/>
        <v>71.124299193519505</v>
      </c>
      <c r="H24" s="1330">
        <f t="shared" si="6"/>
        <v>7249401821.4400005</v>
      </c>
      <c r="I24" s="1330">
        <f t="shared" si="6"/>
        <v>2866658913.9000006</v>
      </c>
      <c r="J24" s="1331">
        <f t="shared" si="2"/>
        <v>39.543385571784675</v>
      </c>
      <c r="K24" s="1330">
        <f t="shared" si="6"/>
        <v>7160711883.21</v>
      </c>
      <c r="L24" s="1330">
        <f t="shared" si="6"/>
        <v>5563321279.6700001</v>
      </c>
      <c r="M24" s="1331">
        <f t="shared" si="3"/>
        <v>77.692293313944603</v>
      </c>
      <c r="N24" s="1330">
        <f t="shared" ref="N24:O24" si="7">SUM(N7:N9,N11:N13,N15:N18,N20:N23)</f>
        <v>2194772677.0599999</v>
      </c>
      <c r="O24" s="1330">
        <f t="shared" si="7"/>
        <v>1042997625.58</v>
      </c>
      <c r="P24" s="1331">
        <f t="shared" si="4"/>
        <v>47.521897665372066</v>
      </c>
    </row>
    <row r="25" spans="1:16" ht="38.25" x14ac:dyDescent="0.25">
      <c r="A25" s="1332" t="s">
        <v>1399</v>
      </c>
      <c r="B25" s="1333">
        <f>B6+B10+B14+B19</f>
        <v>4449454991.6599998</v>
      </c>
      <c r="C25" s="1333">
        <f t="shared" ref="C25:O25" si="8">C6+C10+C14+C19</f>
        <v>2763204658.9200001</v>
      </c>
      <c r="D25" s="1333">
        <f t="shared" si="0"/>
        <v>62.102092595594627</v>
      </c>
      <c r="E25" s="1333">
        <f t="shared" si="8"/>
        <v>864298752</v>
      </c>
      <c r="F25" s="1333">
        <f>F6+F10+F14+F19</f>
        <v>562968000</v>
      </c>
      <c r="G25" s="1334">
        <f t="shared" si="5"/>
        <v>65.135810817415134</v>
      </c>
      <c r="H25" s="1333">
        <f t="shared" si="8"/>
        <v>1901822779.3299999</v>
      </c>
      <c r="I25" s="1333">
        <f t="shared" si="8"/>
        <v>1072737231.8100002</v>
      </c>
      <c r="J25" s="1334">
        <f t="shared" si="2"/>
        <v>56.405741032711717</v>
      </c>
      <c r="K25" s="1333">
        <f t="shared" si="8"/>
        <v>1283305196.96</v>
      </c>
      <c r="L25" s="1333">
        <f t="shared" si="8"/>
        <v>962388022.44000006</v>
      </c>
      <c r="M25" s="1334">
        <f t="shared" si="3"/>
        <v>74.992918654096059</v>
      </c>
      <c r="N25" s="1333">
        <f t="shared" si="8"/>
        <v>400028263.37</v>
      </c>
      <c r="O25" s="1333">
        <f t="shared" si="8"/>
        <v>165111404.66999999</v>
      </c>
      <c r="P25" s="1334">
        <f t="shared" si="4"/>
        <v>41.274934745618893</v>
      </c>
    </row>
    <row r="26" spans="1:16" ht="15.75" x14ac:dyDescent="0.25">
      <c r="A26" s="1335" t="s">
        <v>1400</v>
      </c>
      <c r="B26" s="1336">
        <v>3411889029.8899999</v>
      </c>
      <c r="C26" s="1337">
        <f>F26+I26+L26+O26</f>
        <v>2057638134.6100001</v>
      </c>
      <c r="D26" s="1338">
        <f t="shared" si="0"/>
        <v>60.307885648799626</v>
      </c>
      <c r="E26" s="1339">
        <v>788370268</v>
      </c>
      <c r="F26" s="1339">
        <v>372092539.73000002</v>
      </c>
      <c r="G26" s="1340">
        <f t="shared" si="5"/>
        <v>47.197688044978385</v>
      </c>
      <c r="H26" s="1339">
        <v>752600612.92999995</v>
      </c>
      <c r="I26" s="1339">
        <v>538929627.12</v>
      </c>
      <c r="J26" s="1340">
        <f t="shared" si="2"/>
        <v>71.608980628099275</v>
      </c>
      <c r="K26" s="1339">
        <v>1285126093.6099999</v>
      </c>
      <c r="L26" s="1339">
        <v>886032015.12</v>
      </c>
      <c r="M26" s="1340">
        <f t="shared" si="3"/>
        <v>68.945142389186145</v>
      </c>
      <c r="N26" s="1339">
        <v>585792055.35000002</v>
      </c>
      <c r="O26" s="1339">
        <v>260583952.63999999</v>
      </c>
      <c r="P26" s="1340">
        <f t="shared" si="4"/>
        <v>44.484036657736141</v>
      </c>
    </row>
    <row r="27" spans="1:16" ht="15.75" x14ac:dyDescent="0.25">
      <c r="A27" s="1335" t="s">
        <v>1401</v>
      </c>
      <c r="B27" s="1336">
        <v>20276330405.049999</v>
      </c>
      <c r="C27" s="1337">
        <f>F27+I27+L27+O27</f>
        <v>13304497969.73</v>
      </c>
      <c r="D27" s="1338">
        <f t="shared" si="0"/>
        <v>65.615906349683456</v>
      </c>
      <c r="E27" s="1339">
        <v>3974840175.3000002</v>
      </c>
      <c r="F27" s="1339">
        <v>2690990356</v>
      </c>
      <c r="G27" s="1340">
        <f t="shared" si="5"/>
        <v>67.700592660858334</v>
      </c>
      <c r="H27" s="1339">
        <v>7960852459.9200001</v>
      </c>
      <c r="I27" s="1339">
        <v>4615268908.6700001</v>
      </c>
      <c r="J27" s="1340">
        <f t="shared" si="2"/>
        <v>57.974556517737298</v>
      </c>
      <c r="K27" s="1339">
        <v>7420990703.2299995</v>
      </c>
      <c r="L27" s="1339">
        <v>5554088994.75</v>
      </c>
      <c r="M27" s="1340">
        <f t="shared" si="3"/>
        <v>74.842958532916271</v>
      </c>
      <c r="N27" s="1339">
        <v>919647066.60000002</v>
      </c>
      <c r="O27" s="1339">
        <v>444149710.31</v>
      </c>
      <c r="P27" s="1340">
        <f t="shared" si="4"/>
        <v>48.295669767322011</v>
      </c>
    </row>
    <row r="28" spans="1:16" ht="15.75" x14ac:dyDescent="0.25">
      <c r="A28" s="1341" t="s">
        <v>1402</v>
      </c>
      <c r="B28" s="1342">
        <f t="shared" ref="B28" si="9">SUM(B26:B27)</f>
        <v>23688219434.939999</v>
      </c>
      <c r="C28" s="1343">
        <f>SUM(C26:C27)</f>
        <v>15362136104.34</v>
      </c>
      <c r="D28" s="1344">
        <f t="shared" si="0"/>
        <v>64.851375370497166</v>
      </c>
      <c r="E28" s="1343">
        <f>SUM(E26:E27)</f>
        <v>4763210443.3000002</v>
      </c>
      <c r="F28" s="1343">
        <f t="shared" ref="F28:O28" si="10">SUM(F26:F27)</f>
        <v>3063082895.73</v>
      </c>
      <c r="G28" s="1345">
        <f t="shared" si="5"/>
        <v>64.307108245418306</v>
      </c>
      <c r="H28" s="1343">
        <f t="shared" si="10"/>
        <v>8713453072.8500004</v>
      </c>
      <c r="I28" s="1343">
        <f t="shared" si="10"/>
        <v>5154198535.79</v>
      </c>
      <c r="J28" s="1345">
        <f t="shared" si="2"/>
        <v>59.152192508499525</v>
      </c>
      <c r="K28" s="1343">
        <f t="shared" si="10"/>
        <v>8706116796.8400002</v>
      </c>
      <c r="L28" s="1343">
        <f t="shared" si="10"/>
        <v>6440121009.8699999</v>
      </c>
      <c r="M28" s="1345">
        <f t="shared" si="3"/>
        <v>73.972370922103025</v>
      </c>
      <c r="N28" s="1343">
        <f t="shared" si="10"/>
        <v>1505439121.95</v>
      </c>
      <c r="O28" s="1343">
        <f t="shared" si="10"/>
        <v>704733662.95000005</v>
      </c>
      <c r="P28" s="1345">
        <f t="shared" si="4"/>
        <v>46.812498272076013</v>
      </c>
    </row>
    <row r="29" spans="1:16" x14ac:dyDescent="0.25">
      <c r="A29" s="1500"/>
      <c r="B29" s="1501"/>
      <c r="C29" s="1501"/>
      <c r="D29" s="1501"/>
      <c r="E29" s="1501"/>
      <c r="F29" s="1501"/>
      <c r="G29" s="1501"/>
      <c r="H29" s="1501"/>
      <c r="I29" s="1501"/>
      <c r="J29" s="1501"/>
      <c r="K29" s="1501"/>
      <c r="L29" s="1501"/>
      <c r="M29" s="1501"/>
      <c r="N29" s="1501"/>
      <c r="O29" s="1501"/>
      <c r="P29" s="1502"/>
    </row>
    <row r="30" spans="1:16" ht="15.75" x14ac:dyDescent="0.25">
      <c r="A30" s="1346" t="s">
        <v>1403</v>
      </c>
      <c r="B30" s="1347">
        <f>B24+B25+B28</f>
        <v>47669324243.849991</v>
      </c>
      <c r="C30" s="1347">
        <f>C24+C25+C28</f>
        <v>29679958564.989998</v>
      </c>
      <c r="D30" s="1347">
        <f>C30/B30%</f>
        <v>62.262176013160342</v>
      </c>
      <c r="E30" s="1348">
        <f>E24+E25+E28</f>
        <v>8554272630.8400002</v>
      </c>
      <c r="F30" s="1348">
        <f>F24+F25+F28</f>
        <v>5707690878.3099995</v>
      </c>
      <c r="G30" s="1349">
        <f t="shared" si="5"/>
        <v>66.723275310779101</v>
      </c>
      <c r="H30" s="1348">
        <f>H24+H25+H28</f>
        <v>17864677673.620003</v>
      </c>
      <c r="I30" s="1348">
        <f>I24+I25+I28</f>
        <v>9093594681.5</v>
      </c>
      <c r="J30" s="1349">
        <f t="shared" si="2"/>
        <v>50.902651856563402</v>
      </c>
      <c r="K30" s="1348">
        <f>K24+K25+K28</f>
        <v>17150133877.01</v>
      </c>
      <c r="L30" s="1348">
        <f>L24+L25+L28</f>
        <v>12965830311.98</v>
      </c>
      <c r="M30" s="1349">
        <f t="shared" si="3"/>
        <v>75.601918941057832</v>
      </c>
      <c r="N30" s="1348">
        <f>N24+N25+N28</f>
        <v>4100240062.3800001</v>
      </c>
      <c r="O30" s="1348">
        <f>O24+O25+O28</f>
        <v>1912842693.2</v>
      </c>
      <c r="P30" s="1349">
        <f t="shared" si="4"/>
        <v>46.651968277430157</v>
      </c>
    </row>
  </sheetData>
  <mergeCells count="11">
    <mergeCell ref="A29:P29"/>
    <mergeCell ref="A1:P1"/>
    <mergeCell ref="A3:A5"/>
    <mergeCell ref="B3:B5"/>
    <mergeCell ref="C3:C5"/>
    <mergeCell ref="D3:D5"/>
    <mergeCell ref="E3:P3"/>
    <mergeCell ref="E4:G4"/>
    <mergeCell ref="H4:J4"/>
    <mergeCell ref="K4:M4"/>
    <mergeCell ref="N4:P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28"/>
  <sheetViews>
    <sheetView zoomScale="64" zoomScaleNormal="64" workbookViewId="0">
      <pane xSplit="1" ySplit="6" topLeftCell="B10" activePane="bottomRight" state="frozen"/>
      <selection pane="topRight" activeCell="B1" sqref="B1"/>
      <selection pane="bottomLeft" activeCell="A9" sqref="A9"/>
      <selection pane="bottomRight" activeCell="D28" sqref="D28"/>
    </sheetView>
  </sheetViews>
  <sheetFormatPr defaultColWidth="8.85546875" defaultRowHeight="12.75" x14ac:dyDescent="0.25"/>
  <cols>
    <col min="1" max="1" width="57.140625" style="242" customWidth="1"/>
    <col min="2" max="2" width="22.42578125" style="242" customWidth="1"/>
    <col min="3" max="4" width="21.85546875" style="242" customWidth="1"/>
    <col min="5" max="5" width="21.140625" style="242" customWidth="1"/>
    <col min="6" max="16384" width="8.85546875" style="242"/>
  </cols>
  <sheetData>
    <row r="2" spans="1:5" ht="15.75" x14ac:dyDescent="0.25">
      <c r="A2" s="1850" t="s">
        <v>644</v>
      </c>
      <c r="B2" s="1850"/>
      <c r="C2" s="1850"/>
      <c r="D2" s="1850"/>
      <c r="E2" s="1850"/>
    </row>
    <row r="3" spans="1:5" ht="15.75" x14ac:dyDescent="0.25">
      <c r="A3" s="1851" t="str">
        <f>'Район  и  поселения'!E3</f>
        <v>ПО  СОСТОЯНИЮ  НА  1  ОКТЯБРЯ  2024  ГОДА</v>
      </c>
      <c r="B3" s="1851"/>
      <c r="C3" s="1851"/>
      <c r="D3" s="1851"/>
      <c r="E3" s="1851"/>
    </row>
    <row r="5" spans="1:5" x14ac:dyDescent="0.25">
      <c r="D5" s="242" t="s">
        <v>370</v>
      </c>
    </row>
    <row r="6" spans="1:5" ht="25.5" x14ac:dyDescent="0.25">
      <c r="A6" s="291" t="s">
        <v>356</v>
      </c>
      <c r="B6" s="238" t="s">
        <v>358</v>
      </c>
      <c r="C6" s="238" t="s">
        <v>363</v>
      </c>
      <c r="D6" s="238" t="s">
        <v>364</v>
      </c>
      <c r="E6" s="238" t="s">
        <v>372</v>
      </c>
    </row>
    <row r="7" spans="1:5" ht="15" x14ac:dyDescent="0.25">
      <c r="A7" s="399"/>
      <c r="B7" s="399"/>
      <c r="C7" s="397"/>
      <c r="D7" s="397"/>
      <c r="E7" s="397"/>
    </row>
    <row r="8" spans="1:5" ht="25.5" x14ac:dyDescent="0.25">
      <c r="A8" s="404" t="s">
        <v>645</v>
      </c>
      <c r="B8" s="405">
        <f>C8+Дотация!E15</f>
        <v>9093024161</v>
      </c>
      <c r="C8" s="406">
        <f>'[2]Исполнение  по  дотации'!$B$37*1000</f>
        <v>8554272630.8400002</v>
      </c>
      <c r="D8" s="406">
        <f>'[2]Исполнение  по  дотации'!$E$37*1000</f>
        <v>5707690878.3100004</v>
      </c>
      <c r="E8" s="405">
        <f>B8-C8</f>
        <v>538751530.15999985</v>
      </c>
    </row>
    <row r="9" spans="1:5" s="270" customFormat="1" ht="14.25" x14ac:dyDescent="0.25">
      <c r="A9" s="338" t="s">
        <v>375</v>
      </c>
      <c r="B9" s="407">
        <f>B8-B10-B11</f>
        <v>0</v>
      </c>
      <c r="C9" s="407">
        <f t="shared" ref="C9:E9" si="0">C8-C10-C11</f>
        <v>0</v>
      </c>
      <c r="D9" s="407">
        <f t="shared" si="0"/>
        <v>0</v>
      </c>
      <c r="E9" s="407">
        <f t="shared" si="0"/>
        <v>0</v>
      </c>
    </row>
    <row r="10" spans="1:5" s="270" customFormat="1" ht="25.5" x14ac:dyDescent="0.25">
      <c r="A10" s="338" t="s">
        <v>646</v>
      </c>
      <c r="B10" s="407">
        <f>C10</f>
        <v>3404309696.8400002</v>
      </c>
      <c r="C10" s="407">
        <f>'Проверочная  таблица'!F38</f>
        <v>3404309696.8400002</v>
      </c>
      <c r="D10" s="407">
        <f>'Проверочная  таблица'!G38</f>
        <v>2432032898.3099999</v>
      </c>
      <c r="E10" s="407">
        <f>B10-C10</f>
        <v>0</v>
      </c>
    </row>
    <row r="11" spans="1:5" ht="14.25" x14ac:dyDescent="0.25">
      <c r="A11" s="338" t="s">
        <v>647</v>
      </c>
      <c r="B11" s="407">
        <f>B8-B10</f>
        <v>5688714464.1599998</v>
      </c>
      <c r="C11" s="407">
        <f>C8-C10</f>
        <v>5149962934</v>
      </c>
      <c r="D11" s="407">
        <f>D8-D10</f>
        <v>3275657980.0000005</v>
      </c>
      <c r="E11" s="407">
        <f>E8-E10</f>
        <v>538751530.15999985</v>
      </c>
    </row>
    <row r="12" spans="1:5" ht="15" x14ac:dyDescent="0.25">
      <c r="A12" s="393"/>
      <c r="B12" s="397"/>
      <c r="C12" s="397"/>
      <c r="D12" s="397"/>
      <c r="E12" s="397"/>
    </row>
    <row r="13" spans="1:5" ht="25.5" x14ac:dyDescent="0.25">
      <c r="A13" s="404" t="s">
        <v>648</v>
      </c>
      <c r="B13" s="405">
        <f>C13+Субсидия!G513</f>
        <v>14481779337.679998</v>
      </c>
      <c r="C13" s="406">
        <f>'[2]Исполнение  по  субсидии'!$B$38*1000</f>
        <v>15474846750.99</v>
      </c>
      <c r="D13" s="406">
        <f>'[2]Исполнение  по  субсидии'!$C$38*1000</f>
        <v>9093594681.4999981</v>
      </c>
      <c r="E13" s="405">
        <f>B13-C13</f>
        <v>-993067413.31000137</v>
      </c>
    </row>
    <row r="14" spans="1:5" s="270" customFormat="1" ht="14.25" x14ac:dyDescent="0.25">
      <c r="A14" s="338" t="s">
        <v>375</v>
      </c>
      <c r="B14" s="407">
        <f>B13-B15-B16-B17</f>
        <v>-2126539346.3300028</v>
      </c>
      <c r="C14" s="407">
        <f t="shared" ref="C14:E14" si="1">C13-C15-C16-C17</f>
        <v>-2126539346.329999</v>
      </c>
      <c r="D14" s="407">
        <f t="shared" si="1"/>
        <v>0</v>
      </c>
      <c r="E14" s="407">
        <f t="shared" si="1"/>
        <v>-1.9073486328125E-6</v>
      </c>
    </row>
    <row r="15" spans="1:5" s="270" customFormat="1" ht="51" x14ac:dyDescent="0.25">
      <c r="A15" s="338" t="s">
        <v>649</v>
      </c>
      <c r="B15" s="407">
        <f>Субсидия!D514</f>
        <v>4504683345.3699999</v>
      </c>
      <c r="C15" s="407">
        <f>Субсидия!E514</f>
        <v>4707387473.670001</v>
      </c>
      <c r="D15" s="407">
        <f>Субсидия!F514</f>
        <v>2660339842.8499999</v>
      </c>
      <c r="E15" s="407">
        <f>B15-C15</f>
        <v>-202704128.30000114</v>
      </c>
    </row>
    <row r="16" spans="1:5" ht="38.25" x14ac:dyDescent="0.25">
      <c r="A16" s="338" t="s">
        <v>650</v>
      </c>
      <c r="B16" s="407">
        <f>Субсидия!D515</f>
        <v>5605661508.6400003</v>
      </c>
      <c r="C16" s="407">
        <f>Субсидия!E515</f>
        <v>4811221417.8899994</v>
      </c>
      <c r="D16" s="407">
        <f>Субсидия!F515</f>
        <v>2477566067.9000001</v>
      </c>
      <c r="E16" s="407">
        <f>B16-C16</f>
        <v>794440090.75000095</v>
      </c>
    </row>
    <row r="17" spans="1:5" ht="14.25" x14ac:dyDescent="0.25">
      <c r="A17" s="338" t="s">
        <v>651</v>
      </c>
      <c r="B17" s="407">
        <f>Субсидия!D516</f>
        <v>6497973830</v>
      </c>
      <c r="C17" s="407">
        <f>Субсидия!E516</f>
        <v>8082777205.7599993</v>
      </c>
      <c r="D17" s="407">
        <f>Субсидия!F516</f>
        <v>3955688770.75</v>
      </c>
      <c r="E17" s="407">
        <f>B17-C17</f>
        <v>-1584803375.7599993</v>
      </c>
    </row>
    <row r="18" spans="1:5" ht="15" x14ac:dyDescent="0.25">
      <c r="A18" s="393"/>
      <c r="B18" s="397"/>
      <c r="C18" s="397"/>
      <c r="D18" s="397"/>
      <c r="E18" s="397"/>
    </row>
    <row r="19" spans="1:5" ht="25.5" x14ac:dyDescent="0.25">
      <c r="A19" s="404" t="s">
        <v>652</v>
      </c>
      <c r="B19" s="405">
        <f>C19+Субвенция!G14</f>
        <v>17153369577.010002</v>
      </c>
      <c r="C19" s="406">
        <f>'[2]Исполнение  по  субвенции'!$B$38*1000</f>
        <v>17150133877.010002</v>
      </c>
      <c r="D19" s="406">
        <f>'[2]Исполнение  по  субвенции'!$G$38*1000</f>
        <v>12965830311.979998</v>
      </c>
      <c r="E19" s="405">
        <f>B19-C19</f>
        <v>3235700</v>
      </c>
    </row>
    <row r="20" spans="1:5" s="270" customFormat="1" ht="14.25" x14ac:dyDescent="0.25">
      <c r="A20" s="338" t="s">
        <v>375</v>
      </c>
      <c r="B20" s="407"/>
      <c r="C20" s="407"/>
      <c r="D20" s="407"/>
      <c r="E20" s="407"/>
    </row>
    <row r="21" spans="1:5" s="270" customFormat="1" ht="14.25" x14ac:dyDescent="0.25">
      <c r="A21" s="338" t="s">
        <v>653</v>
      </c>
      <c r="B21" s="407">
        <f>B19</f>
        <v>17153369577.010002</v>
      </c>
      <c r="C21" s="407">
        <f>C19</f>
        <v>17150133877.010002</v>
      </c>
      <c r="D21" s="407">
        <f>D19</f>
        <v>12965830311.979998</v>
      </c>
      <c r="E21" s="407">
        <f>E19</f>
        <v>3235700</v>
      </c>
    </row>
    <row r="22" spans="1:5" ht="15" x14ac:dyDescent="0.25">
      <c r="A22" s="393"/>
      <c r="B22" s="397"/>
      <c r="C22" s="397"/>
      <c r="D22" s="397"/>
      <c r="E22" s="397"/>
    </row>
    <row r="23" spans="1:5" ht="15" x14ac:dyDescent="0.25">
      <c r="A23" s="404" t="s">
        <v>654</v>
      </c>
      <c r="B23" s="405">
        <f>C23+'Иные  МБТ'!G54</f>
        <v>2801175817.0699997</v>
      </c>
      <c r="C23" s="406">
        <f>'[2]Исполнение  по  иным  МБТ'!$B$36*1000</f>
        <v>3297055812.6799998</v>
      </c>
      <c r="D23" s="406">
        <f>'[2]Исполнение  по  иным  МБТ'!$G$36*1000</f>
        <v>1893923093.2</v>
      </c>
      <c r="E23" s="405">
        <f>B23-C23</f>
        <v>-495879995.61000013</v>
      </c>
    </row>
    <row r="24" spans="1:5" s="270" customFormat="1" ht="14.25" x14ac:dyDescent="0.25">
      <c r="A24" s="338" t="s">
        <v>375</v>
      </c>
      <c r="B24" s="407"/>
      <c r="C24" s="407"/>
      <c r="D24" s="407"/>
      <c r="E24" s="407"/>
    </row>
    <row r="25" spans="1:5" s="270" customFormat="1" ht="14.25" x14ac:dyDescent="0.25">
      <c r="A25" s="338" t="s">
        <v>655</v>
      </c>
      <c r="B25" s="407">
        <f>B23</f>
        <v>2801175817.0699997</v>
      </c>
      <c r="C25" s="407">
        <f>C23</f>
        <v>3297055812.6799998</v>
      </c>
      <c r="D25" s="407">
        <f>D23</f>
        <v>1893923093.2</v>
      </c>
      <c r="E25" s="407">
        <f>E23</f>
        <v>-495879995.61000013</v>
      </c>
    </row>
    <row r="26" spans="1:5" ht="15" x14ac:dyDescent="0.25">
      <c r="A26" s="393"/>
      <c r="B26" s="397"/>
      <c r="C26" s="397"/>
      <c r="D26" s="397"/>
      <c r="E26" s="397"/>
    </row>
    <row r="27" spans="1:5" ht="15" x14ac:dyDescent="0.25">
      <c r="A27" s="408" t="s">
        <v>8</v>
      </c>
      <c r="B27" s="409">
        <f>B8+B13+B19+B23</f>
        <v>43529348892.760002</v>
      </c>
      <c r="C27" s="409">
        <f>C8+C13+C19+C23</f>
        <v>44476309071.520004</v>
      </c>
      <c r="D27" s="409">
        <f>D8+D13+D19+D23</f>
        <v>29661038964.989994</v>
      </c>
      <c r="E27" s="409">
        <f>E8+E13+E19+E23</f>
        <v>-946960178.76000166</v>
      </c>
    </row>
    <row r="28" spans="1:5" s="410" customFormat="1" x14ac:dyDescent="0.25">
      <c r="C28" s="286">
        <f>C27-'Проверочная  таблица'!B37</f>
        <v>-3193015172.3299942</v>
      </c>
      <c r="D28" s="286">
        <f>D27-'Проверочная  таблица'!C37</f>
        <v>-18919600.000003815</v>
      </c>
      <c r="E28" s="286">
        <f>E27-Дотация!E22</f>
        <v>0</v>
      </c>
    </row>
  </sheetData>
  <mergeCells count="2">
    <mergeCell ref="A2:E2"/>
    <mergeCell ref="A3:E3"/>
  </mergeCells>
  <pageMargins left="0.78740157480314965" right="0.39370078740157483" top="0.78740157480314965" bottom="0.78740157480314965" header="0.51181102362204722" footer="0.51181102362204722"/>
  <pageSetup paperSize="9" scale="92" orientation="landscape" r:id="rId1"/>
  <headerFooter alignWithMargins="0">
    <oddFooter>&amp;R&amp;Z&amp;F&amp;A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2"/>
  <sheetViews>
    <sheetView zoomScale="80" zoomScaleNormal="80" workbookViewId="0">
      <pane xSplit="1" ySplit="7" topLeftCell="B14" activePane="bottomRight" state="frozen"/>
      <selection pane="topRight" activeCell="B1" sqref="B1"/>
      <selection pane="bottomLeft" activeCell="A6" sqref="A6"/>
      <selection pane="bottomRight" activeCell="D28" sqref="D28"/>
    </sheetView>
  </sheetViews>
  <sheetFormatPr defaultColWidth="9.140625" defaultRowHeight="12.75" x14ac:dyDescent="0.2"/>
  <cols>
    <col min="1" max="1" width="54.7109375" style="390" customWidth="1"/>
    <col min="2" max="2" width="15.5703125" style="390" customWidth="1"/>
    <col min="3" max="4" width="22" style="390" bestFit="1" customWidth="1"/>
    <col min="5" max="5" width="22.85546875" style="390" customWidth="1"/>
    <col min="6" max="6" width="17.5703125" style="390" bestFit="1" customWidth="1"/>
    <col min="7" max="16384" width="9.140625" style="390"/>
  </cols>
  <sheetData>
    <row r="2" spans="1:6" ht="15" x14ac:dyDescent="0.25">
      <c r="A2" s="1856" t="s">
        <v>625</v>
      </c>
      <c r="B2" s="1856"/>
      <c r="C2" s="1856"/>
      <c r="D2" s="1856"/>
      <c r="E2" s="1856"/>
    </row>
    <row r="3" spans="1:6" ht="15" x14ac:dyDescent="0.25">
      <c r="A3" s="1846" t="str">
        <f>'Проверочная  таблица'!E3</f>
        <v>ПО  СОСТОЯНИЮ  НА  1  ОКТЯБРЯ  2024  ГОДА</v>
      </c>
      <c r="B3" s="1846"/>
      <c r="C3" s="1846"/>
      <c r="D3" s="1846"/>
      <c r="E3" s="1846"/>
    </row>
    <row r="4" spans="1:6" ht="15" x14ac:dyDescent="0.25">
      <c r="A4" s="1857" t="s">
        <v>626</v>
      </c>
      <c r="B4" s="1857"/>
      <c r="C4" s="1857"/>
      <c r="D4" s="1857"/>
      <c r="E4" s="1857"/>
    </row>
    <row r="6" spans="1:6" ht="15" x14ac:dyDescent="0.25">
      <c r="D6" s="391">
        <f>D8-'[1]Финансовая  помощь  (факт)'!$P$36*1000-'[1]Финансовая  помощь  (факт)'!$Q$36*1000</f>
        <v>-16500000.000000596</v>
      </c>
      <c r="E6" s="390" t="s">
        <v>370</v>
      </c>
    </row>
    <row r="7" spans="1:6" s="243" customFormat="1" ht="25.5" x14ac:dyDescent="0.25">
      <c r="A7" s="392" t="s">
        <v>356</v>
      </c>
      <c r="B7" s="392" t="s">
        <v>357</v>
      </c>
      <c r="C7" s="392" t="s">
        <v>358</v>
      </c>
      <c r="D7" s="392" t="s">
        <v>363</v>
      </c>
      <c r="E7" s="392" t="s">
        <v>372</v>
      </c>
    </row>
    <row r="8" spans="1:6" ht="127.5" x14ac:dyDescent="0.2">
      <c r="A8" s="393" t="s">
        <v>627</v>
      </c>
      <c r="B8" s="394" t="s">
        <v>628</v>
      </c>
      <c r="C8" s="395">
        <f>494261049.46+2022939494.7+500000000+1100000000+900000000</f>
        <v>5017200544.1599998</v>
      </c>
      <c r="D8" s="396">
        <f t="shared" ref="D8:D13" si="0">C8-E8</f>
        <v>4478449014</v>
      </c>
      <c r="E8" s="397">
        <f>'[1]Дотация  из  ОБ_факт'!F37</f>
        <v>538751530.15999985</v>
      </c>
      <c r="F8" s="398">
        <f>E8-'[1]Дотация  из  ОБ_факт'!$F$37</f>
        <v>0</v>
      </c>
    </row>
    <row r="9" spans="1:6" ht="153" x14ac:dyDescent="0.2">
      <c r="A9" s="393" t="s">
        <v>629</v>
      </c>
      <c r="B9" s="394" t="s">
        <v>630</v>
      </c>
      <c r="C9" s="395">
        <v>8500000</v>
      </c>
      <c r="D9" s="396">
        <f t="shared" si="0"/>
        <v>8500000</v>
      </c>
      <c r="E9" s="397">
        <f>'[1]Дотация  из  ОБ_факт'!F38</f>
        <v>0</v>
      </c>
    </row>
    <row r="10" spans="1:6" ht="165.75" x14ac:dyDescent="0.2">
      <c r="A10" s="393" t="s">
        <v>631</v>
      </c>
      <c r="B10" s="394" t="s">
        <v>632</v>
      </c>
      <c r="C10" s="395">
        <v>6000000</v>
      </c>
      <c r="D10" s="396">
        <f t="shared" si="0"/>
        <v>6000000</v>
      </c>
      <c r="E10" s="397">
        <f>'[1]Дотация  из  ОБ_факт'!F39</f>
        <v>0</v>
      </c>
    </row>
    <row r="11" spans="1:6" ht="153" x14ac:dyDescent="0.2">
      <c r="A11" s="393" t="s">
        <v>633</v>
      </c>
      <c r="B11" s="394" t="s">
        <v>634</v>
      </c>
      <c r="C11" s="395">
        <v>10000000</v>
      </c>
      <c r="D11" s="396">
        <f t="shared" si="0"/>
        <v>10000000</v>
      </c>
      <c r="E11" s="397">
        <f>'[1]Дотация  из  ОБ_факт'!F40</f>
        <v>0</v>
      </c>
    </row>
    <row r="12" spans="1:6" ht="153" x14ac:dyDescent="0.2">
      <c r="A12" s="393" t="s">
        <v>635</v>
      </c>
      <c r="B12" s="394" t="s">
        <v>636</v>
      </c>
      <c r="C12" s="395">
        <v>3000000</v>
      </c>
      <c r="D12" s="396">
        <f t="shared" si="0"/>
        <v>3000000</v>
      </c>
      <c r="E12" s="397">
        <f>'[1]Дотация  из  ОБ_факт'!F41</f>
        <v>0</v>
      </c>
    </row>
    <row r="13" spans="1:6" ht="165.75" x14ac:dyDescent="0.2">
      <c r="A13" s="393" t="s">
        <v>637</v>
      </c>
      <c r="B13" s="394" t="s">
        <v>638</v>
      </c>
      <c r="C13" s="395">
        <v>3000000</v>
      </c>
      <c r="D13" s="396">
        <f t="shared" si="0"/>
        <v>3000000</v>
      </c>
      <c r="E13" s="397">
        <f>'[1]Дотация  из  ОБ_факт'!F42</f>
        <v>0</v>
      </c>
    </row>
    <row r="14" spans="1:6" ht="15" x14ac:dyDescent="0.2">
      <c r="A14" s="399"/>
      <c r="B14" s="399"/>
      <c r="C14" s="395"/>
      <c r="D14" s="399"/>
      <c r="E14" s="400"/>
    </row>
    <row r="15" spans="1:6" s="401" customFormat="1" ht="15" x14ac:dyDescent="0.2">
      <c r="A15" s="291" t="s">
        <v>31</v>
      </c>
      <c r="B15" s="291"/>
      <c r="C15" s="283">
        <f>SUM(C8:C14)</f>
        <v>5047700544.1599998</v>
      </c>
      <c r="D15" s="283">
        <f>SUM(D8:D14)</f>
        <v>4508949014</v>
      </c>
      <c r="E15" s="283">
        <f>SUM(E8:E14)</f>
        <v>538751530.15999985</v>
      </c>
    </row>
    <row r="16" spans="1:6" x14ac:dyDescent="0.2">
      <c r="E16" s="402"/>
    </row>
    <row r="18" spans="1:5" x14ac:dyDescent="0.2">
      <c r="A18" s="401" t="s">
        <v>639</v>
      </c>
    </row>
    <row r="19" spans="1:5" ht="15" x14ac:dyDescent="0.2">
      <c r="A19" s="393" t="s">
        <v>640</v>
      </c>
      <c r="B19" s="394"/>
      <c r="C19" s="395"/>
      <c r="D19" s="396"/>
      <c r="E19" s="397">
        <f>Субсидия!G513</f>
        <v>-993067413.31000066</v>
      </c>
    </row>
    <row r="20" spans="1:5" ht="15" x14ac:dyDescent="0.2">
      <c r="A20" s="393" t="s">
        <v>641</v>
      </c>
      <c r="B20" s="394"/>
      <c r="C20" s="395"/>
      <c r="D20" s="396"/>
      <c r="E20" s="397">
        <f>Субвенция!G14</f>
        <v>3235700</v>
      </c>
    </row>
    <row r="21" spans="1:5" ht="15" x14ac:dyDescent="0.2">
      <c r="A21" s="393" t="s">
        <v>642</v>
      </c>
      <c r="B21" s="394"/>
      <c r="C21" s="395"/>
      <c r="D21" s="396"/>
      <c r="E21" s="397">
        <f>'Иные  МБТ'!G54</f>
        <v>-495879995.61000001</v>
      </c>
    </row>
    <row r="22" spans="1:5" ht="15" x14ac:dyDescent="0.2">
      <c r="A22" s="403" t="s">
        <v>643</v>
      </c>
      <c r="B22" s="399"/>
      <c r="C22" s="395"/>
      <c r="D22" s="399"/>
      <c r="E22" s="397">
        <f>SUM(E15:E21)</f>
        <v>-946960178.76000082</v>
      </c>
    </row>
  </sheetData>
  <mergeCells count="3">
    <mergeCell ref="A2:E2"/>
    <mergeCell ref="A3:E3"/>
    <mergeCell ref="A4:E4"/>
  </mergeCells>
  <pageMargins left="0.78740157480314965" right="0.39370078740157483" top="0.78740157480314965" bottom="0.78740157480314965" header="0.51181102362204722" footer="0.51181102362204722"/>
  <pageSetup paperSize="9" scale="64" orientation="portrait" r:id="rId1"/>
  <headerFooter alignWithMargins="0">
    <oddFooter>&amp;R&amp;Z&amp;F&amp;A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49"/>
  <sheetViews>
    <sheetView topLeftCell="A2" zoomScale="70" zoomScaleNormal="70" zoomScaleSheetLayoutView="70" workbookViewId="0">
      <pane xSplit="3" ySplit="6" topLeftCell="D492" activePane="bottomRight" state="frozen"/>
      <selection activeCell="A2" sqref="A2"/>
      <selection pane="topRight" activeCell="D2" sqref="D2"/>
      <selection pane="bottomLeft" activeCell="A8" sqref="A8"/>
      <selection pane="bottomRight" activeCell="B521" sqref="B521"/>
    </sheetView>
  </sheetViews>
  <sheetFormatPr defaultColWidth="9.140625" defaultRowHeight="15" x14ac:dyDescent="0.25"/>
  <cols>
    <col min="1" max="1" width="12.140625" style="301" customWidth="1"/>
    <col min="2" max="2" width="48.85546875" style="301" customWidth="1"/>
    <col min="3" max="3" width="19" style="301" customWidth="1"/>
    <col min="4" max="4" width="24" style="301" bestFit="1" customWidth="1"/>
    <col min="5" max="5" width="23.42578125" style="301" bestFit="1" customWidth="1"/>
    <col min="6" max="6" width="23.140625" style="301" customWidth="1"/>
    <col min="7" max="7" width="22.7109375" style="301" customWidth="1"/>
    <col min="8" max="8" width="9.42578125" style="299" customWidth="1"/>
    <col min="9" max="9" width="9.140625" style="299" customWidth="1"/>
    <col min="10" max="10" width="22" style="300" bestFit="1" customWidth="1"/>
    <col min="11" max="11" width="20.140625" style="1255" bestFit="1" customWidth="1"/>
    <col min="12" max="12" width="12.42578125" style="301" customWidth="1"/>
    <col min="13" max="13" width="17.85546875" style="301" bestFit="1" customWidth="1"/>
    <col min="14" max="15" width="9.140625" style="301"/>
    <col min="16" max="16" width="14.5703125" style="301" customWidth="1"/>
    <col min="17" max="17" width="14.85546875" style="301" customWidth="1"/>
    <col min="18" max="16384" width="9.140625" style="301"/>
  </cols>
  <sheetData>
    <row r="2" spans="1:11" x14ac:dyDescent="0.25">
      <c r="A2" s="1859" t="s">
        <v>424</v>
      </c>
      <c r="B2" s="1859"/>
      <c r="C2" s="1859"/>
      <c r="D2" s="1859"/>
      <c r="E2" s="1859"/>
      <c r="F2" s="1859"/>
      <c r="G2" s="1859"/>
    </row>
    <row r="3" spans="1:11" x14ac:dyDescent="0.25">
      <c r="A3" s="1860" t="str">
        <f>'Проверочная  таблица'!E3</f>
        <v>ПО  СОСТОЯНИЮ  НА  1  ОКТЯБРЯ  2024  ГОДА</v>
      </c>
      <c r="B3" s="1860"/>
      <c r="C3" s="1860"/>
      <c r="D3" s="1860"/>
      <c r="E3" s="1860"/>
      <c r="F3" s="1860"/>
      <c r="G3" s="1860"/>
    </row>
    <row r="4" spans="1:11" ht="54.95" customHeight="1" x14ac:dyDescent="0.25">
      <c r="A4" s="1861" t="s">
        <v>425</v>
      </c>
      <c r="B4" s="1861"/>
      <c r="C4" s="1861"/>
      <c r="D4" s="1861"/>
      <c r="E4" s="1861"/>
      <c r="F4" s="1861"/>
      <c r="G4" s="1861"/>
    </row>
    <row r="6" spans="1:11" x14ac:dyDescent="0.25">
      <c r="G6" s="301" t="s">
        <v>370</v>
      </c>
    </row>
    <row r="7" spans="1:11" s="303" customFormat="1" ht="25.5" x14ac:dyDescent="0.25">
      <c r="A7" s="238" t="s">
        <v>371</v>
      </c>
      <c r="B7" s="238" t="s">
        <v>356</v>
      </c>
      <c r="C7" s="238" t="s">
        <v>357</v>
      </c>
      <c r="D7" s="238" t="s">
        <v>358</v>
      </c>
      <c r="E7" s="238" t="s">
        <v>363</v>
      </c>
      <c r="F7" s="238" t="s">
        <v>364</v>
      </c>
      <c r="G7" s="238" t="s">
        <v>372</v>
      </c>
      <c r="H7" s="302"/>
      <c r="I7" s="302"/>
      <c r="J7" s="292"/>
      <c r="K7" s="1256"/>
    </row>
    <row r="8" spans="1:11" s="303" customFormat="1" x14ac:dyDescent="0.25">
      <c r="A8" s="245" t="s">
        <v>373</v>
      </c>
      <c r="B8" s="246" t="s">
        <v>426</v>
      </c>
      <c r="C8" s="247"/>
      <c r="D8" s="298">
        <f t="shared" ref="D8:G10" si="0">D27+D24+D12+D30+D15+D18+D21</f>
        <v>53637951.120000005</v>
      </c>
      <c r="E8" s="298">
        <f t="shared" si="0"/>
        <v>53637951.120000005</v>
      </c>
      <c r="F8" s="298">
        <f t="shared" si="0"/>
        <v>16423622.259999998</v>
      </c>
      <c r="G8" s="298">
        <f t="shared" si="0"/>
        <v>0</v>
      </c>
      <c r="H8" s="249">
        <f t="shared" ref="H8:H59" si="1">IF(F8&gt;E8,1,0)</f>
        <v>0</v>
      </c>
      <c r="I8" s="249">
        <f>IF(G8&lt;0,1,0)</f>
        <v>0</v>
      </c>
      <c r="J8" s="292"/>
      <c r="K8" s="1256"/>
    </row>
    <row r="9" spans="1:11" s="303" customFormat="1" x14ac:dyDescent="0.25">
      <c r="A9" s="304"/>
      <c r="B9" s="305" t="s">
        <v>427</v>
      </c>
      <c r="C9" s="306"/>
      <c r="D9" s="307">
        <f t="shared" si="0"/>
        <v>53637951.120000005</v>
      </c>
      <c r="E9" s="307">
        <f t="shared" si="0"/>
        <v>53637951.120000005</v>
      </c>
      <c r="F9" s="307">
        <f t="shared" si="0"/>
        <v>16423622.259999998</v>
      </c>
      <c r="G9" s="307">
        <f t="shared" si="0"/>
        <v>0</v>
      </c>
      <c r="H9" s="249">
        <f t="shared" si="1"/>
        <v>0</v>
      </c>
      <c r="I9" s="249">
        <f t="shared" ref="I9:I97" si="2">IF(G9&lt;0,1,0)</f>
        <v>0</v>
      </c>
      <c r="J9" s="292"/>
      <c r="K9" s="1256"/>
    </row>
    <row r="10" spans="1:11" s="303" customFormat="1" x14ac:dyDescent="0.25">
      <c r="A10" s="304"/>
      <c r="B10" s="305" t="s">
        <v>428</v>
      </c>
      <c r="C10" s="306"/>
      <c r="D10" s="307">
        <f t="shared" si="0"/>
        <v>0</v>
      </c>
      <c r="E10" s="307">
        <f t="shared" si="0"/>
        <v>0</v>
      </c>
      <c r="F10" s="307">
        <f t="shared" si="0"/>
        <v>0</v>
      </c>
      <c r="G10" s="307">
        <f t="shared" si="0"/>
        <v>0</v>
      </c>
      <c r="H10" s="249">
        <f t="shared" si="1"/>
        <v>0</v>
      </c>
      <c r="I10" s="249">
        <f t="shared" si="2"/>
        <v>0</v>
      </c>
      <c r="J10" s="292"/>
      <c r="K10" s="1256"/>
    </row>
    <row r="11" spans="1:11" s="303" customFormat="1" x14ac:dyDescent="0.25">
      <c r="A11" s="250"/>
      <c r="B11" s="238" t="s">
        <v>375</v>
      </c>
      <c r="C11" s="215"/>
      <c r="D11" s="260"/>
      <c r="E11" s="273"/>
      <c r="F11" s="273"/>
      <c r="G11" s="260"/>
      <c r="H11" s="249">
        <f t="shared" si="1"/>
        <v>0</v>
      </c>
      <c r="I11" s="249">
        <f t="shared" si="2"/>
        <v>0</v>
      </c>
      <c r="J11" s="292"/>
      <c r="K11" s="1256"/>
    </row>
    <row r="12" spans="1:11" s="303" customFormat="1" ht="140.25" hidden="1" x14ac:dyDescent="0.25">
      <c r="A12" s="308"/>
      <c r="B12" s="278" t="s">
        <v>429</v>
      </c>
      <c r="C12" s="254" t="s">
        <v>430</v>
      </c>
      <c r="D12" s="277"/>
      <c r="E12" s="256">
        <f>D12</f>
        <v>0</v>
      </c>
      <c r="F12" s="309"/>
      <c r="G12" s="257">
        <f>D12-E12</f>
        <v>0</v>
      </c>
      <c r="H12" s="249">
        <f t="shared" si="1"/>
        <v>0</v>
      </c>
      <c r="I12" s="249">
        <f t="shared" si="2"/>
        <v>0</v>
      </c>
      <c r="J12" s="292"/>
      <c r="K12" s="1256"/>
    </row>
    <row r="13" spans="1:11" s="303" customFormat="1" hidden="1" x14ac:dyDescent="0.25">
      <c r="A13" s="310"/>
      <c r="B13" s="311" t="s">
        <v>427</v>
      </c>
      <c r="C13" s="312"/>
      <c r="D13" s="313"/>
      <c r="E13" s="313"/>
      <c r="F13" s="313"/>
      <c r="G13" s="313">
        <f t="shared" ref="G13:G26" si="3">D13-E13</f>
        <v>0</v>
      </c>
      <c r="H13" s="249">
        <f t="shared" si="1"/>
        <v>0</v>
      </c>
      <c r="I13" s="249">
        <f t="shared" si="2"/>
        <v>0</v>
      </c>
      <c r="J13" s="292"/>
      <c r="K13" s="1256"/>
    </row>
    <row r="14" spans="1:11" s="303" customFormat="1" hidden="1" x14ac:dyDescent="0.25">
      <c r="A14" s="310"/>
      <c r="B14" s="311" t="s">
        <v>428</v>
      </c>
      <c r="C14" s="312"/>
      <c r="D14" s="314">
        <f>D12</f>
        <v>0</v>
      </c>
      <c r="E14" s="314">
        <f t="shared" ref="E14:F14" si="4">E12</f>
        <v>0</v>
      </c>
      <c r="F14" s="314">
        <f t="shared" si="4"/>
        <v>0</v>
      </c>
      <c r="G14" s="313">
        <f t="shared" si="3"/>
        <v>0</v>
      </c>
      <c r="H14" s="249">
        <f t="shared" si="1"/>
        <v>0</v>
      </c>
      <c r="I14" s="249">
        <f t="shared" si="2"/>
        <v>0</v>
      </c>
      <c r="J14" s="292"/>
      <c r="K14" s="1256"/>
    </row>
    <row r="15" spans="1:11" ht="165.75" x14ac:dyDescent="0.25">
      <c r="A15" s="252"/>
      <c r="B15" s="278" t="s">
        <v>431</v>
      </c>
      <c r="C15" s="254" t="s">
        <v>432</v>
      </c>
      <c r="D15" s="277">
        <f>20673210+4049541.12</f>
        <v>24722751.120000001</v>
      </c>
      <c r="E15" s="273">
        <f>'Прочая  субсидия_МР  и  ГО'!AZ43</f>
        <v>24722751.120000001</v>
      </c>
      <c r="F15" s="273">
        <f>'Прочая  субсидия_МР  и  ГО'!BA43</f>
        <v>4332379.34</v>
      </c>
      <c r="G15" s="257">
        <f t="shared" si="3"/>
        <v>0</v>
      </c>
      <c r="H15" s="249">
        <f t="shared" si="1"/>
        <v>0</v>
      </c>
      <c r="I15" s="249">
        <f t="shared" si="2"/>
        <v>0</v>
      </c>
    </row>
    <row r="16" spans="1:11" x14ac:dyDescent="0.25">
      <c r="A16" s="310"/>
      <c r="B16" s="311" t="s">
        <v>427</v>
      </c>
      <c r="C16" s="312"/>
      <c r="D16" s="313">
        <f>D15</f>
        <v>24722751.120000001</v>
      </c>
      <c r="E16" s="313">
        <f>E15</f>
        <v>24722751.120000001</v>
      </c>
      <c r="F16" s="313">
        <f>F15</f>
        <v>4332379.34</v>
      </c>
      <c r="G16" s="313">
        <f t="shared" si="3"/>
        <v>0</v>
      </c>
      <c r="H16" s="249">
        <f t="shared" si="1"/>
        <v>0</v>
      </c>
      <c r="I16" s="249">
        <f t="shared" si="2"/>
        <v>0</v>
      </c>
    </row>
    <row r="17" spans="1:10" x14ac:dyDescent="0.25">
      <c r="A17" s="310"/>
      <c r="B17" s="311" t="s">
        <v>428</v>
      </c>
      <c r="C17" s="312"/>
      <c r="D17" s="313"/>
      <c r="E17" s="313"/>
      <c r="F17" s="313"/>
      <c r="G17" s="313">
        <f t="shared" si="3"/>
        <v>0</v>
      </c>
      <c r="H17" s="249">
        <f t="shared" si="1"/>
        <v>0</v>
      </c>
      <c r="I17" s="249">
        <f t="shared" si="2"/>
        <v>0</v>
      </c>
    </row>
    <row r="18" spans="1:10" ht="114.75" x14ac:dyDescent="0.25">
      <c r="A18" s="252"/>
      <c r="B18" s="278" t="s">
        <v>433</v>
      </c>
      <c r="C18" s="254" t="s">
        <v>434</v>
      </c>
      <c r="D18" s="277">
        <f>3726790+10</f>
        <v>3726800</v>
      </c>
      <c r="E18" s="273">
        <f>'Проверочная  таблица'!KK38</f>
        <v>3726800</v>
      </c>
      <c r="F18" s="273">
        <f>'Проверочная  таблица'!KP38</f>
        <v>67321.759999999995</v>
      </c>
      <c r="G18" s="257">
        <f t="shared" si="3"/>
        <v>0</v>
      </c>
      <c r="H18" s="249">
        <f t="shared" si="1"/>
        <v>0</v>
      </c>
      <c r="I18" s="249">
        <f t="shared" si="2"/>
        <v>0</v>
      </c>
      <c r="J18" s="315">
        <f>D18+D21</f>
        <v>10251200</v>
      </c>
    </row>
    <row r="19" spans="1:10" x14ac:dyDescent="0.25">
      <c r="A19" s="310"/>
      <c r="B19" s="311" t="s">
        <v>427</v>
      </c>
      <c r="C19" s="312"/>
      <c r="D19" s="313">
        <f>D18-D20</f>
        <v>3726800</v>
      </c>
      <c r="E19" s="313">
        <f t="shared" ref="E19:G19" si="5">E18-E20</f>
        <v>3726800</v>
      </c>
      <c r="F19" s="313">
        <f t="shared" si="5"/>
        <v>67321.759999999995</v>
      </c>
      <c r="G19" s="313">
        <f t="shared" si="5"/>
        <v>0</v>
      </c>
      <c r="H19" s="249">
        <f t="shared" si="1"/>
        <v>0</v>
      </c>
      <c r="I19" s="249">
        <f t="shared" si="2"/>
        <v>0</v>
      </c>
    </row>
    <row r="20" spans="1:10" x14ac:dyDescent="0.25">
      <c r="A20" s="310"/>
      <c r="B20" s="311" t="s">
        <v>428</v>
      </c>
      <c r="C20" s="312"/>
      <c r="D20" s="313"/>
      <c r="E20" s="313"/>
      <c r="F20" s="313"/>
      <c r="G20" s="313"/>
      <c r="H20" s="249">
        <f t="shared" si="1"/>
        <v>0</v>
      </c>
      <c r="I20" s="249">
        <f t="shared" si="2"/>
        <v>0</v>
      </c>
    </row>
    <row r="21" spans="1:10" x14ac:dyDescent="0.25">
      <c r="A21" s="280"/>
      <c r="B21" s="264" t="s">
        <v>396</v>
      </c>
      <c r="C21" s="281" t="s">
        <v>434</v>
      </c>
      <c r="D21" s="316">
        <f>6524400</f>
        <v>6524400</v>
      </c>
      <c r="E21" s="267">
        <f>'Проверочная  таблица'!KL38</f>
        <v>6524400</v>
      </c>
      <c r="F21" s="267">
        <f>'Проверочная  таблица'!KQ38</f>
        <v>117858.24000000001</v>
      </c>
      <c r="G21" s="268">
        <f t="shared" ref="G21" si="6">D21-E21</f>
        <v>0</v>
      </c>
      <c r="H21" s="249">
        <f t="shared" si="1"/>
        <v>0</v>
      </c>
      <c r="I21" s="249">
        <f t="shared" si="2"/>
        <v>0</v>
      </c>
    </row>
    <row r="22" spans="1:10" x14ac:dyDescent="0.25">
      <c r="A22" s="280"/>
      <c r="B22" s="317" t="s">
        <v>427</v>
      </c>
      <c r="C22" s="318"/>
      <c r="D22" s="268">
        <f>D21-D23</f>
        <v>6524400</v>
      </c>
      <c r="E22" s="268">
        <f t="shared" ref="E22:G22" si="7">E21-E23</f>
        <v>6524400</v>
      </c>
      <c r="F22" s="268">
        <f t="shared" si="7"/>
        <v>117858.24000000001</v>
      </c>
      <c r="G22" s="268">
        <f t="shared" si="7"/>
        <v>0</v>
      </c>
      <c r="H22" s="249">
        <f t="shared" si="1"/>
        <v>0</v>
      </c>
      <c r="I22" s="249">
        <f t="shared" si="2"/>
        <v>0</v>
      </c>
    </row>
    <row r="23" spans="1:10" x14ac:dyDescent="0.25">
      <c r="A23" s="280"/>
      <c r="B23" s="317" t="s">
        <v>428</v>
      </c>
      <c r="C23" s="318"/>
      <c r="D23" s="268"/>
      <c r="E23" s="268"/>
      <c r="F23" s="268"/>
      <c r="G23" s="268"/>
      <c r="H23" s="249">
        <f t="shared" si="1"/>
        <v>0</v>
      </c>
      <c r="I23" s="249">
        <f t="shared" si="2"/>
        <v>0</v>
      </c>
    </row>
    <row r="24" spans="1:10" ht="140.25" x14ac:dyDescent="0.25">
      <c r="A24" s="252"/>
      <c r="B24" s="278" t="s">
        <v>435</v>
      </c>
      <c r="C24" s="254" t="s">
        <v>436</v>
      </c>
      <c r="D24" s="277">
        <v>15364000</v>
      </c>
      <c r="E24" s="273">
        <f>'Прочая  субсидия_МР  и  ГО'!BB43</f>
        <v>15364000.000000002</v>
      </c>
      <c r="F24" s="273">
        <f>'Прочая  субсидия_МР  и  ГО'!BC43</f>
        <v>10180358.599999998</v>
      </c>
      <c r="G24" s="257">
        <f t="shared" si="3"/>
        <v>0</v>
      </c>
      <c r="H24" s="249">
        <f t="shared" si="1"/>
        <v>0</v>
      </c>
      <c r="I24" s="249">
        <f t="shared" si="2"/>
        <v>0</v>
      </c>
    </row>
    <row r="25" spans="1:10" x14ac:dyDescent="0.25">
      <c r="A25" s="310"/>
      <c r="B25" s="311" t="s">
        <v>427</v>
      </c>
      <c r="C25" s="312"/>
      <c r="D25" s="313">
        <f>D24</f>
        <v>15364000</v>
      </c>
      <c r="E25" s="313">
        <f>E24</f>
        <v>15364000.000000002</v>
      </c>
      <c r="F25" s="313">
        <f>F24</f>
        <v>10180358.599999998</v>
      </c>
      <c r="G25" s="313">
        <f t="shared" si="3"/>
        <v>0</v>
      </c>
      <c r="H25" s="249">
        <f t="shared" si="1"/>
        <v>0</v>
      </c>
      <c r="I25" s="249">
        <f t="shared" si="2"/>
        <v>0</v>
      </c>
    </row>
    <row r="26" spans="1:10" x14ac:dyDescent="0.25">
      <c r="A26" s="310"/>
      <c r="B26" s="311" t="s">
        <v>428</v>
      </c>
      <c r="C26" s="312"/>
      <c r="D26" s="313"/>
      <c r="E26" s="313"/>
      <c r="F26" s="313"/>
      <c r="G26" s="313">
        <f t="shared" si="3"/>
        <v>0</v>
      </c>
      <c r="H26" s="249">
        <f t="shared" si="1"/>
        <v>0</v>
      </c>
      <c r="I26" s="249">
        <f t="shared" si="2"/>
        <v>0</v>
      </c>
    </row>
    <row r="27" spans="1:10" ht="114.75" x14ac:dyDescent="0.25">
      <c r="A27" s="252"/>
      <c r="B27" s="278" t="s">
        <v>437</v>
      </c>
      <c r="C27" s="254" t="s">
        <v>438</v>
      </c>
      <c r="D27" s="277">
        <v>2000000</v>
      </c>
      <c r="E27" s="273">
        <f>'Прочая  субсидия_МР  и  ГО'!BD43</f>
        <v>2000000</v>
      </c>
      <c r="F27" s="273">
        <f>'Прочая  субсидия_МР  и  ГО'!BE43</f>
        <v>1172533.69</v>
      </c>
      <c r="G27" s="257">
        <f>D27-E27</f>
        <v>0</v>
      </c>
      <c r="H27" s="249">
        <f>IF(F27&gt;E27,1,0)</f>
        <v>0</v>
      </c>
      <c r="I27" s="249">
        <f>IF(G27&lt;0,1,0)</f>
        <v>0</v>
      </c>
    </row>
    <row r="28" spans="1:10" x14ac:dyDescent="0.25">
      <c r="A28" s="310"/>
      <c r="B28" s="311" t="s">
        <v>427</v>
      </c>
      <c r="C28" s="312"/>
      <c r="D28" s="313">
        <f>D27</f>
        <v>2000000</v>
      </c>
      <c r="E28" s="313">
        <f>E27</f>
        <v>2000000</v>
      </c>
      <c r="F28" s="313">
        <f>F27</f>
        <v>1172533.69</v>
      </c>
      <c r="G28" s="313">
        <f>D28-E28</f>
        <v>0</v>
      </c>
      <c r="H28" s="249">
        <f>IF(F28&gt;E28,1,0)</f>
        <v>0</v>
      </c>
      <c r="I28" s="249">
        <f>IF(G28&lt;0,1,0)</f>
        <v>0</v>
      </c>
    </row>
    <row r="29" spans="1:10" x14ac:dyDescent="0.25">
      <c r="A29" s="310"/>
      <c r="B29" s="311" t="s">
        <v>428</v>
      </c>
      <c r="C29" s="312"/>
      <c r="D29" s="313"/>
      <c r="E29" s="313"/>
      <c r="F29" s="313"/>
      <c r="G29" s="313">
        <f>D29-E29</f>
        <v>0</v>
      </c>
      <c r="H29" s="249">
        <f>IF(F29&gt;E29,1,0)</f>
        <v>0</v>
      </c>
      <c r="I29" s="249">
        <f>IF(G29&lt;0,1,0)</f>
        <v>0</v>
      </c>
    </row>
    <row r="30" spans="1:10" ht="191.25" x14ac:dyDescent="0.25">
      <c r="A30" s="252"/>
      <c r="B30" s="278" t="s">
        <v>439</v>
      </c>
      <c r="C30" s="254" t="s">
        <v>440</v>
      </c>
      <c r="D30" s="277">
        <v>1300000</v>
      </c>
      <c r="E30" s="273">
        <f>'Прочая  субсидия_МР  и  ГО'!BH43</f>
        <v>1300000</v>
      </c>
      <c r="F30" s="273">
        <f>'Прочая  субсидия_МР  и  ГО'!BI43</f>
        <v>553170.63</v>
      </c>
      <c r="G30" s="257">
        <f t="shared" ref="G30:G32" si="8">D30-E30</f>
        <v>0</v>
      </c>
      <c r="H30" s="249">
        <f t="shared" ref="H30:H32" si="9">IF(F30&gt;E30,1,0)</f>
        <v>0</v>
      </c>
      <c r="I30" s="249">
        <f t="shared" ref="I30:I32" si="10">IF(G30&lt;0,1,0)</f>
        <v>0</v>
      </c>
    </row>
    <row r="31" spans="1:10" x14ac:dyDescent="0.25">
      <c r="A31" s="310"/>
      <c r="B31" s="311" t="s">
        <v>427</v>
      </c>
      <c r="C31" s="312"/>
      <c r="D31" s="313">
        <f>D30</f>
        <v>1300000</v>
      </c>
      <c r="E31" s="313">
        <f>E30</f>
        <v>1300000</v>
      </c>
      <c r="F31" s="313">
        <f>F30</f>
        <v>553170.63</v>
      </c>
      <c r="G31" s="313">
        <f t="shared" si="8"/>
        <v>0</v>
      </c>
      <c r="H31" s="249">
        <f t="shared" si="9"/>
        <v>0</v>
      </c>
      <c r="I31" s="249">
        <f t="shared" si="10"/>
        <v>0</v>
      </c>
    </row>
    <row r="32" spans="1:10" x14ac:dyDescent="0.25">
      <c r="A32" s="310"/>
      <c r="B32" s="311" t="s">
        <v>428</v>
      </c>
      <c r="C32" s="312"/>
      <c r="D32" s="313"/>
      <c r="E32" s="313"/>
      <c r="F32" s="313"/>
      <c r="G32" s="313">
        <f t="shared" si="8"/>
        <v>0</v>
      </c>
      <c r="H32" s="249">
        <f t="shared" si="9"/>
        <v>0</v>
      </c>
      <c r="I32" s="249">
        <f t="shared" si="10"/>
        <v>0</v>
      </c>
    </row>
    <row r="33" spans="1:11" x14ac:dyDescent="0.25">
      <c r="A33" s="252"/>
      <c r="B33" s="278"/>
      <c r="C33" s="276"/>
      <c r="D33" s="277"/>
      <c r="E33" s="273"/>
      <c r="F33" s="273"/>
      <c r="G33" s="257"/>
      <c r="H33" s="249">
        <f t="shared" si="1"/>
        <v>0</v>
      </c>
      <c r="I33" s="249">
        <f t="shared" si="2"/>
        <v>0</v>
      </c>
    </row>
    <row r="34" spans="1:11" x14ac:dyDescent="0.25">
      <c r="A34" s="245" t="s">
        <v>441</v>
      </c>
      <c r="B34" s="246" t="s">
        <v>442</v>
      </c>
      <c r="C34" s="274"/>
      <c r="D34" s="275">
        <f>D37+D40</f>
        <v>162837.84</v>
      </c>
      <c r="E34" s="275">
        <f t="shared" ref="E34:G36" si="11">E37+E40</f>
        <v>36312418.829999998</v>
      </c>
      <c r="F34" s="275">
        <f t="shared" si="11"/>
        <v>0</v>
      </c>
      <c r="G34" s="275">
        <f t="shared" si="11"/>
        <v>-36149580.990000002</v>
      </c>
      <c r="H34" s="249">
        <f t="shared" si="1"/>
        <v>0</v>
      </c>
      <c r="I34" s="249">
        <f t="shared" si="2"/>
        <v>1</v>
      </c>
    </row>
    <row r="35" spans="1:11" x14ac:dyDescent="0.25">
      <c r="A35" s="304"/>
      <c r="B35" s="305" t="s">
        <v>427</v>
      </c>
      <c r="C35" s="306"/>
      <c r="D35" s="319">
        <f>D38+D41</f>
        <v>162837.84</v>
      </c>
      <c r="E35" s="319">
        <f t="shared" si="11"/>
        <v>36312418.829999998</v>
      </c>
      <c r="F35" s="319">
        <f t="shared" si="11"/>
        <v>0</v>
      </c>
      <c r="G35" s="319">
        <f t="shared" si="11"/>
        <v>-36149580.990000002</v>
      </c>
      <c r="H35" s="249">
        <f t="shared" si="1"/>
        <v>0</v>
      </c>
      <c r="I35" s="249">
        <f t="shared" si="2"/>
        <v>1</v>
      </c>
    </row>
    <row r="36" spans="1:11" x14ac:dyDescent="0.25">
      <c r="A36" s="304"/>
      <c r="B36" s="305" t="s">
        <v>428</v>
      </c>
      <c r="C36" s="306"/>
      <c r="D36" s="319">
        <f>D39+D42</f>
        <v>0</v>
      </c>
      <c r="E36" s="319">
        <f t="shared" si="11"/>
        <v>0</v>
      </c>
      <c r="F36" s="319">
        <f t="shared" si="11"/>
        <v>0</v>
      </c>
      <c r="G36" s="319">
        <f t="shared" si="11"/>
        <v>0</v>
      </c>
      <c r="H36" s="249">
        <f t="shared" si="1"/>
        <v>0</v>
      </c>
      <c r="I36" s="249">
        <f t="shared" si="2"/>
        <v>0</v>
      </c>
    </row>
    <row r="37" spans="1:11" ht="153" x14ac:dyDescent="0.25">
      <c r="A37" s="252"/>
      <c r="B37" s="278" t="s">
        <v>1386</v>
      </c>
      <c r="C37" s="254" t="s">
        <v>443</v>
      </c>
      <c r="D37" s="277">
        <v>42337.84</v>
      </c>
      <c r="E37" s="273">
        <f>'Проверочная  таблица'!KI38</f>
        <v>27256531.120000001</v>
      </c>
      <c r="F37" s="273">
        <f>'Проверочная  таблица'!KN38</f>
        <v>0</v>
      </c>
      <c r="G37" s="257">
        <f t="shared" ref="G37:G40" si="12">D37-E37</f>
        <v>-27214193.280000001</v>
      </c>
      <c r="H37" s="249">
        <f t="shared" si="1"/>
        <v>0</v>
      </c>
      <c r="I37" s="249">
        <f t="shared" si="2"/>
        <v>1</v>
      </c>
      <c r="J37" s="315">
        <f>D37+D40</f>
        <v>162837.84</v>
      </c>
      <c r="K37" s="1254">
        <f>G37+G40</f>
        <v>-36149580.990000002</v>
      </c>
    </row>
    <row r="38" spans="1:11" x14ac:dyDescent="0.25">
      <c r="A38" s="310"/>
      <c r="B38" s="311" t="s">
        <v>427</v>
      </c>
      <c r="C38" s="312"/>
      <c r="D38" s="313">
        <f>D37-D39</f>
        <v>42337.84</v>
      </c>
      <c r="E38" s="313">
        <f t="shared" ref="E38:G38" si="13">E37-E39</f>
        <v>27256531.120000001</v>
      </c>
      <c r="F38" s="313">
        <f t="shared" si="13"/>
        <v>0</v>
      </c>
      <c r="G38" s="313">
        <f t="shared" si="13"/>
        <v>-27214193.280000001</v>
      </c>
      <c r="H38" s="249">
        <f t="shared" si="1"/>
        <v>0</v>
      </c>
      <c r="I38" s="249">
        <f t="shared" si="2"/>
        <v>1</v>
      </c>
    </row>
    <row r="39" spans="1:11" x14ac:dyDescent="0.25">
      <c r="A39" s="310"/>
      <c r="B39" s="311" t="s">
        <v>428</v>
      </c>
      <c r="C39" s="312"/>
      <c r="D39" s="313"/>
      <c r="E39" s="313"/>
      <c r="F39" s="313"/>
      <c r="G39" s="313"/>
      <c r="H39" s="249">
        <f t="shared" si="1"/>
        <v>0</v>
      </c>
      <c r="I39" s="249">
        <f t="shared" si="2"/>
        <v>0</v>
      </c>
    </row>
    <row r="40" spans="1:11" x14ac:dyDescent="0.25">
      <c r="A40" s="280"/>
      <c r="B40" s="264" t="s">
        <v>396</v>
      </c>
      <c r="C40" s="281" t="s">
        <v>443</v>
      </c>
      <c r="D40" s="316">
        <v>120500</v>
      </c>
      <c r="E40" s="267">
        <f>'Проверочная  таблица'!KJ38</f>
        <v>9055887.7100000009</v>
      </c>
      <c r="F40" s="267">
        <f>'Проверочная  таблица'!KO38</f>
        <v>0</v>
      </c>
      <c r="G40" s="268">
        <f t="shared" si="12"/>
        <v>-8935387.7100000009</v>
      </c>
      <c r="H40" s="249">
        <f t="shared" si="1"/>
        <v>0</v>
      </c>
      <c r="I40" s="249">
        <f t="shared" si="2"/>
        <v>1</v>
      </c>
    </row>
    <row r="41" spans="1:11" x14ac:dyDescent="0.25">
      <c r="A41" s="280"/>
      <c r="B41" s="317" t="s">
        <v>427</v>
      </c>
      <c r="C41" s="318"/>
      <c r="D41" s="268">
        <f>D40-D42</f>
        <v>120500</v>
      </c>
      <c r="E41" s="268">
        <f t="shared" ref="E41:G41" si="14">E40-E42</f>
        <v>9055887.7100000009</v>
      </c>
      <c r="F41" s="268">
        <f t="shared" si="14"/>
        <v>0</v>
      </c>
      <c r="G41" s="268">
        <f t="shared" si="14"/>
        <v>-8935387.7100000009</v>
      </c>
      <c r="H41" s="249">
        <f t="shared" si="1"/>
        <v>0</v>
      </c>
      <c r="I41" s="249">
        <f t="shared" si="2"/>
        <v>1</v>
      </c>
    </row>
    <row r="42" spans="1:11" x14ac:dyDescent="0.25">
      <c r="A42" s="280"/>
      <c r="B42" s="317" t="s">
        <v>428</v>
      </c>
      <c r="C42" s="318"/>
      <c r="D42" s="268"/>
      <c r="E42" s="268"/>
      <c r="F42" s="268"/>
      <c r="G42" s="268"/>
      <c r="H42" s="249">
        <f t="shared" si="1"/>
        <v>0</v>
      </c>
      <c r="I42" s="249">
        <f t="shared" si="2"/>
        <v>0</v>
      </c>
    </row>
    <row r="43" spans="1:11" x14ac:dyDescent="0.25">
      <c r="A43" s="252"/>
      <c r="B43" s="278"/>
      <c r="C43" s="276"/>
      <c r="D43" s="277"/>
      <c r="E43" s="273"/>
      <c r="F43" s="273"/>
      <c r="G43" s="257"/>
      <c r="H43" s="249"/>
      <c r="I43" s="249"/>
    </row>
    <row r="44" spans="1:11" x14ac:dyDescent="0.25">
      <c r="A44" s="245" t="s">
        <v>381</v>
      </c>
      <c r="B44" s="246" t="s">
        <v>382</v>
      </c>
      <c r="C44" s="274"/>
      <c r="D44" s="275">
        <f>D48+D52+D56</f>
        <v>1478672773.1399999</v>
      </c>
      <c r="E44" s="275">
        <f t="shared" ref="E44:G46" si="15">E48+E52+E56</f>
        <v>1530298331.28</v>
      </c>
      <c r="F44" s="275">
        <f t="shared" si="15"/>
        <v>753671645.66999996</v>
      </c>
      <c r="G44" s="275">
        <f t="shared" si="15"/>
        <v>-51625558.140000015</v>
      </c>
      <c r="H44" s="249">
        <f t="shared" si="1"/>
        <v>0</v>
      </c>
      <c r="I44" s="249">
        <f t="shared" ref="I44:I59" si="16">IF(G44&lt;0,1,0)</f>
        <v>1</v>
      </c>
    </row>
    <row r="45" spans="1:11" x14ac:dyDescent="0.25">
      <c r="A45" s="304"/>
      <c r="B45" s="305" t="s">
        <v>427</v>
      </c>
      <c r="C45" s="306"/>
      <c r="D45" s="319">
        <f>D49+D53+D57</f>
        <v>0</v>
      </c>
      <c r="E45" s="319">
        <f t="shared" si="15"/>
        <v>0</v>
      </c>
      <c r="F45" s="319">
        <f t="shared" si="15"/>
        <v>0</v>
      </c>
      <c r="G45" s="319">
        <f t="shared" si="15"/>
        <v>0</v>
      </c>
      <c r="H45" s="249">
        <f t="shared" si="1"/>
        <v>0</v>
      </c>
      <c r="I45" s="249">
        <f t="shared" si="16"/>
        <v>0</v>
      </c>
    </row>
    <row r="46" spans="1:11" x14ac:dyDescent="0.25">
      <c r="A46" s="304"/>
      <c r="B46" s="305" t="s">
        <v>428</v>
      </c>
      <c r="C46" s="306"/>
      <c r="D46" s="319">
        <f>D50+D54+D58</f>
        <v>0</v>
      </c>
      <c r="E46" s="319">
        <f t="shared" si="15"/>
        <v>0</v>
      </c>
      <c r="F46" s="319">
        <f t="shared" si="15"/>
        <v>0</v>
      </c>
      <c r="G46" s="319">
        <f t="shared" si="15"/>
        <v>0</v>
      </c>
      <c r="H46" s="249">
        <f t="shared" si="1"/>
        <v>0</v>
      </c>
      <c r="I46" s="249">
        <f t="shared" si="16"/>
        <v>0</v>
      </c>
    </row>
    <row r="47" spans="1:11" x14ac:dyDescent="0.25">
      <c r="A47" s="304"/>
      <c r="B47" s="305" t="s">
        <v>444</v>
      </c>
      <c r="C47" s="306"/>
      <c r="D47" s="319">
        <f>D44-D45-D46</f>
        <v>1478672773.1399999</v>
      </c>
      <c r="E47" s="319">
        <f t="shared" ref="E47:G47" si="17">E44-E45-E46</f>
        <v>1530298331.28</v>
      </c>
      <c r="F47" s="319">
        <f t="shared" si="17"/>
        <v>753671645.66999996</v>
      </c>
      <c r="G47" s="319">
        <f t="shared" si="17"/>
        <v>-51625558.140000015</v>
      </c>
      <c r="H47" s="249">
        <f t="shared" si="1"/>
        <v>0</v>
      </c>
      <c r="I47" s="249">
        <f t="shared" si="16"/>
        <v>1</v>
      </c>
    </row>
    <row r="48" spans="1:11" ht="153" hidden="1" x14ac:dyDescent="0.25">
      <c r="A48" s="308"/>
      <c r="B48" s="278" t="s">
        <v>445</v>
      </c>
      <c r="C48" s="254" t="s">
        <v>446</v>
      </c>
      <c r="D48" s="277"/>
      <c r="E48" s="273">
        <f>'Проверочная  таблица'!DO37</f>
        <v>0</v>
      </c>
      <c r="F48" s="273">
        <f>'Проверочная  таблица'!DS37</f>
        <v>0</v>
      </c>
      <c r="G48" s="257">
        <f>D48-E48</f>
        <v>0</v>
      </c>
      <c r="H48" s="249">
        <f t="shared" si="1"/>
        <v>0</v>
      </c>
      <c r="I48" s="249">
        <f t="shared" si="16"/>
        <v>0</v>
      </c>
      <c r="J48" s="315">
        <f>D48</f>
        <v>0</v>
      </c>
    </row>
    <row r="49" spans="1:10" hidden="1" x14ac:dyDescent="0.25">
      <c r="A49" s="310"/>
      <c r="B49" s="311" t="s">
        <v>427</v>
      </c>
      <c r="C49" s="312"/>
      <c r="D49" s="313"/>
      <c r="E49" s="313"/>
      <c r="F49" s="313"/>
      <c r="G49" s="313">
        <f>D49-E49</f>
        <v>0</v>
      </c>
      <c r="H49" s="249">
        <f t="shared" si="1"/>
        <v>0</v>
      </c>
      <c r="I49" s="249">
        <f t="shared" si="16"/>
        <v>0</v>
      </c>
    </row>
    <row r="50" spans="1:10" hidden="1" x14ac:dyDescent="0.25">
      <c r="A50" s="310"/>
      <c r="B50" s="311" t="s">
        <v>428</v>
      </c>
      <c r="C50" s="312"/>
      <c r="D50" s="313"/>
      <c r="E50" s="313"/>
      <c r="F50" s="313"/>
      <c r="G50" s="313">
        <f>D50-E50</f>
        <v>0</v>
      </c>
      <c r="H50" s="249">
        <f t="shared" si="1"/>
        <v>0</v>
      </c>
      <c r="I50" s="249">
        <f t="shared" si="16"/>
        <v>0</v>
      </c>
    </row>
    <row r="51" spans="1:10" hidden="1" x14ac:dyDescent="0.25">
      <c r="A51" s="310"/>
      <c r="B51" s="311" t="s">
        <v>447</v>
      </c>
      <c r="C51" s="312"/>
      <c r="D51" s="314">
        <f>D48</f>
        <v>0</v>
      </c>
      <c r="E51" s="314">
        <f t="shared" ref="E51:F51" si="18">E48</f>
        <v>0</v>
      </c>
      <c r="F51" s="314">
        <f t="shared" si="18"/>
        <v>0</v>
      </c>
      <c r="G51" s="313">
        <f>D51-E51</f>
        <v>0</v>
      </c>
      <c r="H51" s="249">
        <f t="shared" si="1"/>
        <v>0</v>
      </c>
      <c r="I51" s="249">
        <f t="shared" si="16"/>
        <v>0</v>
      </c>
    </row>
    <row r="52" spans="1:10" ht="191.25" x14ac:dyDescent="0.25">
      <c r="A52" s="252"/>
      <c r="B52" s="278" t="s">
        <v>448</v>
      </c>
      <c r="C52" s="254" t="s">
        <v>449</v>
      </c>
      <c r="D52" s="277">
        <v>73933652.629999995</v>
      </c>
      <c r="E52" s="273">
        <f>'Проверочная  таблица'!HE37</f>
        <v>125559210.77000001</v>
      </c>
      <c r="F52" s="273">
        <f>'Проверочная  таблица'!HH37</f>
        <v>37683589.409999996</v>
      </c>
      <c r="G52" s="257">
        <f t="shared" ref="G52:G59" si="19">D52-E52</f>
        <v>-51625558.140000015</v>
      </c>
      <c r="H52" s="249">
        <f t="shared" si="1"/>
        <v>0</v>
      </c>
      <c r="I52" s="249">
        <f t="shared" si="16"/>
        <v>1</v>
      </c>
      <c r="J52" s="315">
        <f>D52+D56</f>
        <v>1478672773.1399999</v>
      </c>
    </row>
    <row r="53" spans="1:10" x14ac:dyDescent="0.25">
      <c r="A53" s="310"/>
      <c r="B53" s="311" t="s">
        <v>427</v>
      </c>
      <c r="C53" s="312"/>
      <c r="D53" s="313"/>
      <c r="E53" s="313"/>
      <c r="F53" s="313"/>
      <c r="G53" s="313">
        <f t="shared" si="19"/>
        <v>0</v>
      </c>
      <c r="H53" s="249">
        <f t="shared" si="1"/>
        <v>0</v>
      </c>
      <c r="I53" s="249">
        <f t="shared" si="16"/>
        <v>0</v>
      </c>
    </row>
    <row r="54" spans="1:10" x14ac:dyDescent="0.25">
      <c r="A54" s="310"/>
      <c r="B54" s="311" t="s">
        <v>428</v>
      </c>
      <c r="C54" s="312"/>
      <c r="D54" s="313"/>
      <c r="E54" s="313"/>
      <c r="F54" s="313"/>
      <c r="G54" s="313">
        <f t="shared" si="19"/>
        <v>0</v>
      </c>
      <c r="H54" s="249">
        <f t="shared" si="1"/>
        <v>0</v>
      </c>
      <c r="I54" s="249">
        <f t="shared" si="16"/>
        <v>0</v>
      </c>
    </row>
    <row r="55" spans="1:10" x14ac:dyDescent="0.25">
      <c r="A55" s="310"/>
      <c r="B55" s="311" t="s">
        <v>444</v>
      </c>
      <c r="C55" s="312"/>
      <c r="D55" s="313">
        <f>D52</f>
        <v>73933652.629999995</v>
      </c>
      <c r="E55" s="313">
        <f t="shared" ref="E55:F55" si="20">E52</f>
        <v>125559210.77000001</v>
      </c>
      <c r="F55" s="313">
        <f t="shared" si="20"/>
        <v>37683589.409999996</v>
      </c>
      <c r="G55" s="313">
        <f t="shared" si="19"/>
        <v>-51625558.140000015</v>
      </c>
      <c r="H55" s="249">
        <f t="shared" si="1"/>
        <v>0</v>
      </c>
      <c r="I55" s="249">
        <f t="shared" si="16"/>
        <v>1</v>
      </c>
    </row>
    <row r="56" spans="1:10" x14ac:dyDescent="0.25">
      <c r="A56" s="280"/>
      <c r="B56" s="264" t="s">
        <v>396</v>
      </c>
      <c r="C56" s="281" t="s">
        <v>449</v>
      </c>
      <c r="D56" s="316">
        <v>1404739120.51</v>
      </c>
      <c r="E56" s="267">
        <f>'Проверочная  таблица'!HF37</f>
        <v>1404739120.51</v>
      </c>
      <c r="F56" s="267">
        <f>'Проверочная  таблица'!HI37</f>
        <v>715988056.25999999</v>
      </c>
      <c r="G56" s="268">
        <f t="shared" si="19"/>
        <v>0</v>
      </c>
      <c r="H56" s="249">
        <f t="shared" si="1"/>
        <v>0</v>
      </c>
      <c r="I56" s="249">
        <f t="shared" si="16"/>
        <v>0</v>
      </c>
    </row>
    <row r="57" spans="1:10" x14ac:dyDescent="0.25">
      <c r="A57" s="280"/>
      <c r="B57" s="317" t="s">
        <v>427</v>
      </c>
      <c r="C57" s="318"/>
      <c r="D57" s="268"/>
      <c r="E57" s="268"/>
      <c r="F57" s="268"/>
      <c r="G57" s="268">
        <f t="shared" si="19"/>
        <v>0</v>
      </c>
      <c r="H57" s="249">
        <f t="shared" si="1"/>
        <v>0</v>
      </c>
      <c r="I57" s="249">
        <f t="shared" si="16"/>
        <v>0</v>
      </c>
    </row>
    <row r="58" spans="1:10" x14ac:dyDescent="0.25">
      <c r="A58" s="280"/>
      <c r="B58" s="317" t="s">
        <v>428</v>
      </c>
      <c r="C58" s="318"/>
      <c r="D58" s="268"/>
      <c r="E58" s="268"/>
      <c r="F58" s="268"/>
      <c r="G58" s="268">
        <f t="shared" si="19"/>
        <v>0</v>
      </c>
      <c r="H58" s="249">
        <f t="shared" si="1"/>
        <v>0</v>
      </c>
      <c r="I58" s="249">
        <f t="shared" si="16"/>
        <v>0</v>
      </c>
    </row>
    <row r="59" spans="1:10" x14ac:dyDescent="0.25">
      <c r="A59" s="280"/>
      <c r="B59" s="317" t="s">
        <v>444</v>
      </c>
      <c r="C59" s="318"/>
      <c r="D59" s="268">
        <f>D56</f>
        <v>1404739120.51</v>
      </c>
      <c r="E59" s="268">
        <f t="shared" ref="E59:F59" si="21">E56</f>
        <v>1404739120.51</v>
      </c>
      <c r="F59" s="268">
        <f t="shared" si="21"/>
        <v>715988056.25999999</v>
      </c>
      <c r="G59" s="268">
        <f t="shared" si="19"/>
        <v>0</v>
      </c>
      <c r="H59" s="249">
        <f t="shared" si="1"/>
        <v>0</v>
      </c>
      <c r="I59" s="249">
        <f t="shared" si="16"/>
        <v>0</v>
      </c>
    </row>
    <row r="60" spans="1:10" x14ac:dyDescent="0.25">
      <c r="A60" s="252"/>
      <c r="B60" s="278"/>
      <c r="C60" s="276"/>
      <c r="D60" s="277"/>
      <c r="E60" s="273"/>
      <c r="F60" s="273"/>
      <c r="G60" s="257"/>
      <c r="H60" s="249"/>
      <c r="I60" s="249"/>
    </row>
    <row r="61" spans="1:10" x14ac:dyDescent="0.25">
      <c r="A61" s="245" t="s">
        <v>450</v>
      </c>
      <c r="B61" s="246" t="s">
        <v>451</v>
      </c>
      <c r="C61" s="274"/>
      <c r="D61" s="275">
        <f t="shared" ref="D61:G63" si="22">D82+D85+D88+D79+D92+D95+D73+D76+D65+D69</f>
        <v>5304628310.4399996</v>
      </c>
      <c r="E61" s="275">
        <f t="shared" si="22"/>
        <v>4875812898.8299999</v>
      </c>
      <c r="F61" s="275">
        <f t="shared" si="22"/>
        <v>2857181037.9000001</v>
      </c>
      <c r="G61" s="275">
        <f t="shared" si="22"/>
        <v>428815411.60999954</v>
      </c>
      <c r="H61" s="249">
        <f t="shared" ref="H61:H124" si="23">IF(F61&gt;E61,1,0)</f>
        <v>0</v>
      </c>
      <c r="I61" s="249">
        <f t="shared" si="2"/>
        <v>0</v>
      </c>
    </row>
    <row r="62" spans="1:10" x14ac:dyDescent="0.25">
      <c r="A62" s="304"/>
      <c r="B62" s="305" t="s">
        <v>427</v>
      </c>
      <c r="C62" s="306"/>
      <c r="D62" s="320">
        <f t="shared" si="22"/>
        <v>2281376499.7800002</v>
      </c>
      <c r="E62" s="320">
        <f t="shared" si="22"/>
        <v>2447708821.5300007</v>
      </c>
      <c r="F62" s="320">
        <f t="shared" si="22"/>
        <v>1525088460.0699999</v>
      </c>
      <c r="G62" s="320">
        <f t="shared" si="22"/>
        <v>-166332321.75000036</v>
      </c>
      <c r="H62" s="249">
        <f t="shared" si="23"/>
        <v>0</v>
      </c>
      <c r="I62" s="249">
        <f t="shared" si="2"/>
        <v>1</v>
      </c>
    </row>
    <row r="63" spans="1:10" x14ac:dyDescent="0.25">
      <c r="A63" s="304"/>
      <c r="B63" s="305" t="s">
        <v>428</v>
      </c>
      <c r="C63" s="306"/>
      <c r="D63" s="320">
        <f t="shared" si="22"/>
        <v>2608519789.6599998</v>
      </c>
      <c r="E63" s="320">
        <f t="shared" si="22"/>
        <v>1990539548.4099998</v>
      </c>
      <c r="F63" s="320">
        <f t="shared" si="22"/>
        <v>942751868.28999996</v>
      </c>
      <c r="G63" s="320">
        <f t="shared" si="22"/>
        <v>617980241.24999988</v>
      </c>
      <c r="H63" s="249">
        <f t="shared" si="23"/>
        <v>0</v>
      </c>
      <c r="I63" s="249">
        <f t="shared" si="2"/>
        <v>0</v>
      </c>
    </row>
    <row r="64" spans="1:10" x14ac:dyDescent="0.25">
      <c r="A64" s="304"/>
      <c r="B64" s="305" t="s">
        <v>444</v>
      </c>
      <c r="C64" s="306"/>
      <c r="D64" s="320">
        <f>D61-D62-D63</f>
        <v>414732020.99999952</v>
      </c>
      <c r="E64" s="320">
        <f t="shared" ref="E64:G64" si="24">E61-E62-E63</f>
        <v>437564528.88999939</v>
      </c>
      <c r="F64" s="320">
        <f t="shared" si="24"/>
        <v>389340709.5400002</v>
      </c>
      <c r="G64" s="320">
        <f t="shared" si="24"/>
        <v>-22832507.889999986</v>
      </c>
      <c r="H64" s="249"/>
      <c r="I64" s="249"/>
    </row>
    <row r="65" spans="1:11" ht="140.25" x14ac:dyDescent="0.25">
      <c r="A65" s="252"/>
      <c r="B65" s="278" t="s">
        <v>452</v>
      </c>
      <c r="C65" s="254" t="s">
        <v>453</v>
      </c>
      <c r="D65" s="277">
        <f>440720+18826101</f>
        <v>19266821</v>
      </c>
      <c r="E65" s="273">
        <f>'Проверочная  таблица'!FY38</f>
        <v>53433148.659999982</v>
      </c>
      <c r="F65" s="273">
        <f>'Проверочная  таблица'!GB38</f>
        <v>17520034.399999999</v>
      </c>
      <c r="G65" s="257">
        <f t="shared" ref="G65:G82" si="25">D65-E65</f>
        <v>-34166327.659999982</v>
      </c>
      <c r="H65" s="249">
        <f t="shared" ref="H65:H84" si="26">IF(F65&gt;E65,1,0)</f>
        <v>0</v>
      </c>
      <c r="I65" s="249">
        <f t="shared" ref="I65:I90" si="27">IF(G65&lt;0,1,0)</f>
        <v>1</v>
      </c>
      <c r="J65" s="315">
        <f>D65+D69</f>
        <v>264732021</v>
      </c>
      <c r="K65" s="1254">
        <f>G65+G69</f>
        <v>-22832507.889999971</v>
      </c>
    </row>
    <row r="66" spans="1:11" x14ac:dyDescent="0.25">
      <c r="A66" s="310"/>
      <c r="B66" s="311" t="s">
        <v>427</v>
      </c>
      <c r="C66" s="312"/>
      <c r="D66" s="313"/>
      <c r="E66" s="313"/>
      <c r="F66" s="313"/>
      <c r="G66" s="313">
        <f t="shared" si="25"/>
        <v>0</v>
      </c>
      <c r="H66" s="249">
        <f t="shared" si="26"/>
        <v>0</v>
      </c>
      <c r="I66" s="249">
        <f t="shared" si="27"/>
        <v>0</v>
      </c>
    </row>
    <row r="67" spans="1:11" x14ac:dyDescent="0.25">
      <c r="A67" s="310"/>
      <c r="B67" s="311" t="s">
        <v>428</v>
      </c>
      <c r="C67" s="312"/>
      <c r="D67" s="313"/>
      <c r="E67" s="313"/>
      <c r="F67" s="313"/>
      <c r="G67" s="313">
        <f t="shared" si="25"/>
        <v>0</v>
      </c>
      <c r="H67" s="249">
        <f t="shared" si="26"/>
        <v>0</v>
      </c>
      <c r="I67" s="249">
        <f t="shared" si="27"/>
        <v>0</v>
      </c>
    </row>
    <row r="68" spans="1:11" x14ac:dyDescent="0.25">
      <c r="A68" s="310"/>
      <c r="B68" s="311" t="s">
        <v>444</v>
      </c>
      <c r="C68" s="312"/>
      <c r="D68" s="313">
        <f>D65</f>
        <v>19266821</v>
      </c>
      <c r="E68" s="313">
        <f t="shared" ref="E68:F68" si="28">E65</f>
        <v>53433148.659999982</v>
      </c>
      <c r="F68" s="313">
        <f t="shared" si="28"/>
        <v>17520034.399999999</v>
      </c>
      <c r="G68" s="313">
        <f t="shared" si="25"/>
        <v>-34166327.659999982</v>
      </c>
      <c r="H68" s="249">
        <f t="shared" si="26"/>
        <v>0</v>
      </c>
      <c r="I68" s="249">
        <f t="shared" si="27"/>
        <v>1</v>
      </c>
      <c r="K68" s="315"/>
    </row>
    <row r="69" spans="1:11" x14ac:dyDescent="0.25">
      <c r="A69" s="280"/>
      <c r="B69" s="264" t="s">
        <v>396</v>
      </c>
      <c r="C69" s="281" t="s">
        <v>453</v>
      </c>
      <c r="D69" s="316">
        <f>8373700+237091500</f>
        <v>245465200</v>
      </c>
      <c r="E69" s="267">
        <f>'Проверочная  таблица'!FZ38</f>
        <v>234131380.22999999</v>
      </c>
      <c r="F69" s="267">
        <f>'Проверочная  таблица'!GC38</f>
        <v>225612167.53</v>
      </c>
      <c r="G69" s="268">
        <f t="shared" si="25"/>
        <v>11333819.770000011</v>
      </c>
      <c r="H69" s="249">
        <f t="shared" si="26"/>
        <v>0</v>
      </c>
      <c r="I69" s="249">
        <f t="shared" si="27"/>
        <v>0</v>
      </c>
      <c r="K69" s="315"/>
    </row>
    <row r="70" spans="1:11" x14ac:dyDescent="0.25">
      <c r="A70" s="280"/>
      <c r="B70" s="317" t="s">
        <v>427</v>
      </c>
      <c r="C70" s="318"/>
      <c r="D70" s="268"/>
      <c r="E70" s="268"/>
      <c r="F70" s="268"/>
      <c r="G70" s="268">
        <f t="shared" si="25"/>
        <v>0</v>
      </c>
      <c r="H70" s="249">
        <f t="shared" si="26"/>
        <v>0</v>
      </c>
      <c r="I70" s="249">
        <f t="shared" si="27"/>
        <v>0</v>
      </c>
    </row>
    <row r="71" spans="1:11" x14ac:dyDescent="0.25">
      <c r="A71" s="280"/>
      <c r="B71" s="317" t="s">
        <v>428</v>
      </c>
      <c r="C71" s="318"/>
      <c r="D71" s="268"/>
      <c r="E71" s="268"/>
      <c r="F71" s="268"/>
      <c r="G71" s="268">
        <f t="shared" si="25"/>
        <v>0</v>
      </c>
      <c r="H71" s="249">
        <f t="shared" si="26"/>
        <v>0</v>
      </c>
      <c r="I71" s="249">
        <f t="shared" si="27"/>
        <v>0</v>
      </c>
    </row>
    <row r="72" spans="1:11" x14ac:dyDescent="0.25">
      <c r="A72" s="280"/>
      <c r="B72" s="317" t="s">
        <v>444</v>
      </c>
      <c r="C72" s="318"/>
      <c r="D72" s="268">
        <f>D69</f>
        <v>245465200</v>
      </c>
      <c r="E72" s="268">
        <f t="shared" ref="E72:F72" si="29">E69</f>
        <v>234131380.22999999</v>
      </c>
      <c r="F72" s="268">
        <f t="shared" si="29"/>
        <v>225612167.53</v>
      </c>
      <c r="G72" s="268">
        <f t="shared" si="25"/>
        <v>11333819.770000011</v>
      </c>
      <c r="H72" s="249">
        <f t="shared" si="26"/>
        <v>0</v>
      </c>
      <c r="I72" s="249">
        <f t="shared" si="27"/>
        <v>0</v>
      </c>
    </row>
    <row r="73" spans="1:11" ht="114.75" x14ac:dyDescent="0.25">
      <c r="A73" s="252"/>
      <c r="B73" s="278" t="s">
        <v>454</v>
      </c>
      <c r="C73" s="254" t="s">
        <v>455</v>
      </c>
      <c r="D73" s="277">
        <f>19680000-5994040.61</f>
        <v>13685959.390000001</v>
      </c>
      <c r="E73" s="273">
        <f>'Проверочная  таблица'!GO37</f>
        <v>13685959.390000001</v>
      </c>
      <c r="F73" s="273">
        <f>'Проверочная  таблица'!GS37</f>
        <v>9553788.7300000004</v>
      </c>
      <c r="G73" s="257">
        <f t="shared" si="25"/>
        <v>0</v>
      </c>
      <c r="H73" s="249">
        <f t="shared" si="26"/>
        <v>0</v>
      </c>
      <c r="I73" s="249">
        <f t="shared" si="27"/>
        <v>0</v>
      </c>
      <c r="J73" s="297">
        <f>D73+D76</f>
        <v>273719187.75999999</v>
      </c>
    </row>
    <row r="74" spans="1:11" x14ac:dyDescent="0.25">
      <c r="A74" s="310"/>
      <c r="B74" s="321" t="s">
        <v>427</v>
      </c>
      <c r="C74" s="312"/>
      <c r="D74" s="322">
        <f>D73-D75</f>
        <v>13685959.390000001</v>
      </c>
      <c r="E74" s="322">
        <f t="shared" ref="E74:F74" si="30">E73-E75</f>
        <v>13685959.390000001</v>
      </c>
      <c r="F74" s="322">
        <f t="shared" si="30"/>
        <v>9553788.7300000004</v>
      </c>
      <c r="G74" s="322">
        <f t="shared" si="25"/>
        <v>0</v>
      </c>
      <c r="H74" s="249">
        <f t="shared" si="26"/>
        <v>0</v>
      </c>
      <c r="I74" s="249">
        <f t="shared" si="27"/>
        <v>0</v>
      </c>
      <c r="J74" s="289"/>
    </row>
    <row r="75" spans="1:11" x14ac:dyDescent="0.25">
      <c r="A75" s="310"/>
      <c r="B75" s="321" t="s">
        <v>428</v>
      </c>
      <c r="C75" s="312"/>
      <c r="D75" s="323"/>
      <c r="E75" s="323"/>
      <c r="F75" s="323"/>
      <c r="G75" s="322">
        <f t="shared" si="25"/>
        <v>0</v>
      </c>
      <c r="H75" s="249">
        <f t="shared" si="26"/>
        <v>0</v>
      </c>
      <c r="I75" s="249">
        <f t="shared" si="27"/>
        <v>0</v>
      </c>
      <c r="J75" s="289" t="s">
        <v>366</v>
      </c>
    </row>
    <row r="76" spans="1:11" x14ac:dyDescent="0.25">
      <c r="A76" s="280"/>
      <c r="B76" s="324" t="s">
        <v>396</v>
      </c>
      <c r="C76" s="281" t="s">
        <v>455</v>
      </c>
      <c r="D76" s="325">
        <f>373920000-113886771.63</f>
        <v>260033228.37</v>
      </c>
      <c r="E76" s="326">
        <f>'Проверочная  таблица'!GP37</f>
        <v>335298439.97000003</v>
      </c>
      <c r="F76" s="326">
        <f>'Проверочная  таблица'!GT37</f>
        <v>181521985.75</v>
      </c>
      <c r="G76" s="327">
        <f t="shared" si="25"/>
        <v>-75265211.600000024</v>
      </c>
      <c r="H76" s="249">
        <f t="shared" si="26"/>
        <v>0</v>
      </c>
      <c r="I76" s="249">
        <f t="shared" si="27"/>
        <v>1</v>
      </c>
      <c r="J76" s="289"/>
    </row>
    <row r="77" spans="1:11" x14ac:dyDescent="0.25">
      <c r="A77" s="280"/>
      <c r="B77" s="328" t="s">
        <v>427</v>
      </c>
      <c r="C77" s="318"/>
      <c r="D77" s="327">
        <f>D76-D78</f>
        <v>260033228.37</v>
      </c>
      <c r="E77" s="327">
        <f t="shared" ref="E77:F77" si="31">E76-E78</f>
        <v>335298439.97000003</v>
      </c>
      <c r="F77" s="327">
        <f t="shared" si="31"/>
        <v>181521985.75</v>
      </c>
      <c r="G77" s="327">
        <f t="shared" si="25"/>
        <v>-75265211.600000024</v>
      </c>
      <c r="H77" s="249">
        <f t="shared" si="26"/>
        <v>0</v>
      </c>
      <c r="I77" s="249">
        <f t="shared" si="27"/>
        <v>1</v>
      </c>
      <c r="J77" s="289"/>
    </row>
    <row r="78" spans="1:11" x14ac:dyDescent="0.25">
      <c r="A78" s="280"/>
      <c r="B78" s="328" t="s">
        <v>428</v>
      </c>
      <c r="C78" s="318"/>
      <c r="D78" s="282"/>
      <c r="E78" s="282"/>
      <c r="F78" s="282"/>
      <c r="G78" s="327">
        <f t="shared" si="25"/>
        <v>0</v>
      </c>
      <c r="H78" s="249">
        <f t="shared" si="26"/>
        <v>0</v>
      </c>
      <c r="I78" s="249">
        <f t="shared" si="27"/>
        <v>0</v>
      </c>
      <c r="J78" s="289" t="s">
        <v>366</v>
      </c>
    </row>
    <row r="79" spans="1:11" ht="216.75" x14ac:dyDescent="0.25">
      <c r="A79" s="329"/>
      <c r="B79" s="229" t="s">
        <v>456</v>
      </c>
      <c r="C79" s="254" t="s">
        <v>457</v>
      </c>
      <c r="D79" s="330">
        <f>1153187312.02+540017964.04-84646327.93</f>
        <v>1608558948.1299999</v>
      </c>
      <c r="E79" s="273">
        <f>'Проверочная  таблица'!GQ38</f>
        <v>1755961736.5300002</v>
      </c>
      <c r="F79" s="273">
        <f>'Проверочная  таблица'!GU38</f>
        <v>1106594768.9499998</v>
      </c>
      <c r="G79" s="257">
        <f t="shared" si="25"/>
        <v>-147402788.40000033</v>
      </c>
      <c r="H79" s="249">
        <f t="shared" si="26"/>
        <v>0</v>
      </c>
      <c r="I79" s="249">
        <f t="shared" si="27"/>
        <v>1</v>
      </c>
    </row>
    <row r="80" spans="1:11" x14ac:dyDescent="0.25">
      <c r="A80" s="310"/>
      <c r="B80" s="311" t="s">
        <v>427</v>
      </c>
      <c r="C80" s="312"/>
      <c r="D80" s="314">
        <f>D79-D81</f>
        <v>1153187312.02</v>
      </c>
      <c r="E80" s="314">
        <f t="shared" ref="E80:F80" si="32">E79-E81</f>
        <v>1300590100.4200003</v>
      </c>
      <c r="F80" s="314">
        <f t="shared" si="32"/>
        <v>764725704.8599999</v>
      </c>
      <c r="G80" s="313">
        <f t="shared" si="25"/>
        <v>-147402788.40000033</v>
      </c>
      <c r="H80" s="249">
        <f t="shared" si="26"/>
        <v>0</v>
      </c>
      <c r="I80" s="249">
        <f t="shared" si="27"/>
        <v>1</v>
      </c>
    </row>
    <row r="81" spans="1:11" x14ac:dyDescent="0.25">
      <c r="A81" s="310"/>
      <c r="B81" s="311" t="s">
        <v>428</v>
      </c>
      <c r="C81" s="312"/>
      <c r="D81" s="331">
        <f>540017964.04-84646327.93</f>
        <v>455371636.10999995</v>
      </c>
      <c r="E81" s="1222">
        <f>D81</f>
        <v>455371636.10999995</v>
      </c>
      <c r="F81" s="331">
        <v>341869064.08999997</v>
      </c>
      <c r="G81" s="313">
        <f t="shared" si="25"/>
        <v>0</v>
      </c>
      <c r="H81" s="249">
        <f t="shared" si="26"/>
        <v>0</v>
      </c>
      <c r="I81" s="249">
        <f t="shared" si="27"/>
        <v>0</v>
      </c>
      <c r="J81" s="300" t="s">
        <v>366</v>
      </c>
    </row>
    <row r="82" spans="1:11" ht="229.5" x14ac:dyDescent="0.25">
      <c r="A82" s="329"/>
      <c r="B82" s="229" t="s">
        <v>458</v>
      </c>
      <c r="C82" s="254" t="s">
        <v>459</v>
      </c>
      <c r="D82" s="330">
        <f>222668000+748568125.63+84646327.93</f>
        <v>1055882453.5599999</v>
      </c>
      <c r="E82" s="273">
        <f>'Проверочная  таблица'!BA38</f>
        <v>467583221.19999999</v>
      </c>
      <c r="F82" s="273">
        <f>'Проверочная  таблица'!BC38</f>
        <v>202741328.08999997</v>
      </c>
      <c r="G82" s="257">
        <f t="shared" si="25"/>
        <v>588299232.3599999</v>
      </c>
      <c r="H82" s="249">
        <f t="shared" si="26"/>
        <v>0</v>
      </c>
      <c r="I82" s="249">
        <f t="shared" si="27"/>
        <v>0</v>
      </c>
    </row>
    <row r="83" spans="1:11" x14ac:dyDescent="0.25">
      <c r="A83" s="310"/>
      <c r="B83" s="311" t="s">
        <v>427</v>
      </c>
      <c r="C83" s="312"/>
      <c r="D83" s="313"/>
      <c r="E83" s="313"/>
      <c r="F83" s="313"/>
      <c r="G83" s="313">
        <v>0</v>
      </c>
      <c r="H83" s="249">
        <f t="shared" si="26"/>
        <v>0</v>
      </c>
      <c r="I83" s="249">
        <f t="shared" si="27"/>
        <v>0</v>
      </c>
    </row>
    <row r="84" spans="1:11" x14ac:dyDescent="0.25">
      <c r="A84" s="310"/>
      <c r="B84" s="311" t="s">
        <v>428</v>
      </c>
      <c r="C84" s="312"/>
      <c r="D84" s="313">
        <f>D82-D83</f>
        <v>1055882453.5599999</v>
      </c>
      <c r="E84" s="313">
        <f>E82-E83</f>
        <v>467583221.19999999</v>
      </c>
      <c r="F84" s="313">
        <f>F82-F83</f>
        <v>202741328.08999997</v>
      </c>
      <c r="G84" s="313">
        <f>G82-G83</f>
        <v>588299232.3599999</v>
      </c>
      <c r="H84" s="249">
        <f t="shared" si="26"/>
        <v>0</v>
      </c>
      <c r="I84" s="249">
        <f t="shared" si="27"/>
        <v>0</v>
      </c>
      <c r="K84" s="1254"/>
    </row>
    <row r="85" spans="1:11" ht="178.5" x14ac:dyDescent="0.25">
      <c r="A85" s="329"/>
      <c r="B85" s="229" t="s">
        <v>460</v>
      </c>
      <c r="C85" s="254" t="s">
        <v>461</v>
      </c>
      <c r="D85" s="330">
        <f>526746500+27723500+300000000</f>
        <v>854470000</v>
      </c>
      <c r="E85" s="273">
        <f>'Прочая  субсидия_МР  и  ГО'!AD43</f>
        <v>798134321.75</v>
      </c>
      <c r="F85" s="273">
        <f>'Прочая  субсидия_МР  и  ГО'!AE43</f>
        <v>569286980.73000002</v>
      </c>
      <c r="G85" s="257">
        <f t="shared" ref="G85:G97" si="33">D85-E85</f>
        <v>56335678.25</v>
      </c>
      <c r="H85" s="249">
        <f>IF(F85&gt;E85,1,0)</f>
        <v>0</v>
      </c>
      <c r="I85" s="249">
        <f t="shared" si="27"/>
        <v>0</v>
      </c>
      <c r="K85" s="1254"/>
    </row>
    <row r="86" spans="1:11" x14ac:dyDescent="0.25">
      <c r="A86" s="310"/>
      <c r="B86" s="311" t="s">
        <v>427</v>
      </c>
      <c r="C86" s="312"/>
      <c r="D86" s="313">
        <f>D85</f>
        <v>854470000</v>
      </c>
      <c r="E86" s="313">
        <f>E85</f>
        <v>798134321.75</v>
      </c>
      <c r="F86" s="313">
        <f>F85</f>
        <v>569286980.73000002</v>
      </c>
      <c r="G86" s="313">
        <f t="shared" si="33"/>
        <v>56335678.25</v>
      </c>
      <c r="H86" s="249">
        <f>IF(F86&gt;E86,1,0)</f>
        <v>0</v>
      </c>
      <c r="I86" s="249">
        <f t="shared" si="27"/>
        <v>0</v>
      </c>
    </row>
    <row r="87" spans="1:11" x14ac:dyDescent="0.25">
      <c r="A87" s="310"/>
      <c r="B87" s="311" t="s">
        <v>428</v>
      </c>
      <c r="C87" s="312"/>
      <c r="D87" s="313"/>
      <c r="E87" s="313"/>
      <c r="F87" s="313"/>
      <c r="G87" s="313">
        <f t="shared" si="33"/>
        <v>0</v>
      </c>
      <c r="H87" s="249">
        <f>IF(F87&gt;E87,1,0)</f>
        <v>0</v>
      </c>
      <c r="I87" s="249">
        <f t="shared" si="27"/>
        <v>0</v>
      </c>
    </row>
    <row r="88" spans="1:11" ht="178.5" x14ac:dyDescent="0.25">
      <c r="A88" s="329"/>
      <c r="B88" s="229" t="s">
        <v>462</v>
      </c>
      <c r="C88" s="254" t="s">
        <v>463</v>
      </c>
      <c r="D88" s="330">
        <v>150000000</v>
      </c>
      <c r="E88" s="273">
        <f>'Прочая  субсидия_МР  и  ГО'!AF43</f>
        <v>150000000</v>
      </c>
      <c r="F88" s="273">
        <f>'Прочая  субсидия_МР  и  ГО'!AG43</f>
        <v>146208507.61000001</v>
      </c>
      <c r="G88" s="257">
        <f t="shared" si="33"/>
        <v>0</v>
      </c>
      <c r="H88" s="249">
        <f t="shared" ref="H88:H90" si="34">IF(F88&gt;E88,1,0)</f>
        <v>0</v>
      </c>
      <c r="I88" s="249">
        <f t="shared" si="27"/>
        <v>0</v>
      </c>
    </row>
    <row r="89" spans="1:11" x14ac:dyDescent="0.25">
      <c r="A89" s="310"/>
      <c r="B89" s="311" t="s">
        <v>427</v>
      </c>
      <c r="C89" s="312"/>
      <c r="D89" s="313"/>
      <c r="E89" s="313"/>
      <c r="F89" s="313"/>
      <c r="G89" s="313">
        <f t="shared" si="33"/>
        <v>0</v>
      </c>
      <c r="H89" s="249">
        <f t="shared" si="34"/>
        <v>0</v>
      </c>
      <c r="I89" s="249">
        <f t="shared" si="27"/>
        <v>0</v>
      </c>
    </row>
    <row r="90" spans="1:11" x14ac:dyDescent="0.25">
      <c r="A90" s="310"/>
      <c r="B90" s="311" t="s">
        <v>428</v>
      </c>
      <c r="C90" s="312"/>
      <c r="D90" s="313"/>
      <c r="E90" s="313"/>
      <c r="F90" s="313"/>
      <c r="G90" s="313">
        <f t="shared" si="33"/>
        <v>0</v>
      </c>
      <c r="H90" s="249">
        <f t="shared" si="34"/>
        <v>0</v>
      </c>
      <c r="I90" s="249">
        <f t="shared" si="27"/>
        <v>0</v>
      </c>
    </row>
    <row r="91" spans="1:11" x14ac:dyDescent="0.25">
      <c r="A91" s="310"/>
      <c r="B91" s="311" t="s">
        <v>444</v>
      </c>
      <c r="C91" s="312"/>
      <c r="D91" s="313">
        <f>D88</f>
        <v>150000000</v>
      </c>
      <c r="E91" s="313">
        <f t="shared" ref="E91:F91" si="35">E88</f>
        <v>150000000</v>
      </c>
      <c r="F91" s="313">
        <f t="shared" si="35"/>
        <v>146208507.61000001</v>
      </c>
      <c r="G91" s="313">
        <f t="shared" si="33"/>
        <v>0</v>
      </c>
      <c r="H91" s="249"/>
      <c r="I91" s="249"/>
    </row>
    <row r="92" spans="1:11" ht="127.5" x14ac:dyDescent="0.25">
      <c r="A92" s="252"/>
      <c r="B92" s="278" t="s">
        <v>464</v>
      </c>
      <c r="C92" s="254" t="s">
        <v>465</v>
      </c>
      <c r="D92" s="277">
        <f>3729042.1+10734163.19+13315800+57946394.7</f>
        <v>85725399.99000001</v>
      </c>
      <c r="E92" s="273">
        <f>'Проверочная  таблица'!CQ38</f>
        <v>56044391.100000001</v>
      </c>
      <c r="F92" s="273">
        <f>'Проверочная  таблица'!CX38</f>
        <v>20534577.66</v>
      </c>
      <c r="G92" s="257">
        <f t="shared" si="33"/>
        <v>29681008.890000008</v>
      </c>
      <c r="H92" s="249">
        <f t="shared" si="23"/>
        <v>0</v>
      </c>
      <c r="I92" s="249">
        <f t="shared" si="2"/>
        <v>0</v>
      </c>
      <c r="J92" s="315">
        <f>D92+D95</f>
        <v>1097265699.99</v>
      </c>
    </row>
    <row r="93" spans="1:11" x14ac:dyDescent="0.25">
      <c r="A93" s="310"/>
      <c r="B93" s="311" t="s">
        <v>427</v>
      </c>
      <c r="C93" s="312"/>
      <c r="D93" s="313"/>
      <c r="E93" s="313"/>
      <c r="F93" s="313"/>
      <c r="G93" s="313">
        <f t="shared" si="33"/>
        <v>0</v>
      </c>
      <c r="H93" s="249">
        <f t="shared" si="23"/>
        <v>0</v>
      </c>
      <c r="I93" s="249">
        <f t="shared" si="2"/>
        <v>0</v>
      </c>
    </row>
    <row r="94" spans="1:11" x14ac:dyDescent="0.25">
      <c r="A94" s="310"/>
      <c r="B94" s="311" t="s">
        <v>428</v>
      </c>
      <c r="C94" s="312"/>
      <c r="D94" s="313">
        <f>D92-D93</f>
        <v>85725399.99000001</v>
      </c>
      <c r="E94" s="313">
        <f>E92-E93</f>
        <v>56044391.100000001</v>
      </c>
      <c r="F94" s="313">
        <f>F92-F93</f>
        <v>20534577.66</v>
      </c>
      <c r="G94" s="313">
        <f t="shared" si="33"/>
        <v>29681008.890000008</v>
      </c>
      <c r="H94" s="249">
        <f t="shared" si="23"/>
        <v>0</v>
      </c>
      <c r="I94" s="249">
        <f t="shared" si="2"/>
        <v>0</v>
      </c>
      <c r="J94" s="333"/>
    </row>
    <row r="95" spans="1:11" x14ac:dyDescent="0.25">
      <c r="A95" s="280"/>
      <c r="B95" s="264" t="s">
        <v>396</v>
      </c>
      <c r="C95" s="281" t="s">
        <v>465</v>
      </c>
      <c r="D95" s="316">
        <f>15838100+203949100.38+253000000+449536799.62+89216300</f>
        <v>1011540300</v>
      </c>
      <c r="E95" s="267">
        <f>'Проверочная  таблица'!CR38</f>
        <v>1011540300</v>
      </c>
      <c r="F95" s="267">
        <f>'Проверочная  таблица'!CY38</f>
        <v>377606898.44999999</v>
      </c>
      <c r="G95" s="268">
        <f t="shared" si="33"/>
        <v>0</v>
      </c>
      <c r="H95" s="249">
        <f t="shared" si="23"/>
        <v>0</v>
      </c>
      <c r="I95" s="249">
        <f t="shared" si="2"/>
        <v>0</v>
      </c>
      <c r="J95" s="333"/>
    </row>
    <row r="96" spans="1:11" x14ac:dyDescent="0.25">
      <c r="A96" s="280"/>
      <c r="B96" s="317" t="s">
        <v>427</v>
      </c>
      <c r="C96" s="318"/>
      <c r="D96" s="268"/>
      <c r="E96" s="268"/>
      <c r="F96" s="268"/>
      <c r="G96" s="268">
        <f t="shared" si="33"/>
        <v>0</v>
      </c>
      <c r="H96" s="249">
        <f t="shared" si="23"/>
        <v>0</v>
      </c>
      <c r="I96" s="249">
        <f t="shared" si="2"/>
        <v>0</v>
      </c>
    </row>
    <row r="97" spans="1:10" x14ac:dyDescent="0.25">
      <c r="A97" s="280"/>
      <c r="B97" s="317" t="s">
        <v>428</v>
      </c>
      <c r="C97" s="318"/>
      <c r="D97" s="268">
        <f>D95-D96</f>
        <v>1011540300</v>
      </c>
      <c r="E97" s="268">
        <f>E95-E96</f>
        <v>1011540300</v>
      </c>
      <c r="F97" s="268">
        <f>F95-F96</f>
        <v>377606898.44999999</v>
      </c>
      <c r="G97" s="268">
        <f t="shared" si="33"/>
        <v>0</v>
      </c>
      <c r="H97" s="249">
        <f t="shared" si="23"/>
        <v>0</v>
      </c>
      <c r="I97" s="249">
        <f t="shared" si="2"/>
        <v>0</v>
      </c>
    </row>
    <row r="98" spans="1:10" x14ac:dyDescent="0.25">
      <c r="A98" s="252"/>
      <c r="B98" s="278"/>
      <c r="C98" s="276"/>
      <c r="D98" s="277"/>
      <c r="E98" s="273"/>
      <c r="F98" s="273"/>
      <c r="G98" s="257"/>
      <c r="H98" s="249">
        <f t="shared" si="23"/>
        <v>0</v>
      </c>
      <c r="I98" s="249">
        <f t="shared" ref="I98:I171" si="36">IF(G98&lt;0,1,0)</f>
        <v>0</v>
      </c>
    </row>
    <row r="99" spans="1:10" ht="25.5" x14ac:dyDescent="0.25">
      <c r="A99" s="245" t="s">
        <v>466</v>
      </c>
      <c r="B99" s="246" t="s">
        <v>467</v>
      </c>
      <c r="C99" s="274"/>
      <c r="D99" s="275">
        <f>D108+D111+D104</f>
        <v>34380600</v>
      </c>
      <c r="E99" s="275">
        <f t="shared" ref="E99:G101" si="37">E108+E111+E104</f>
        <v>34380599.999999993</v>
      </c>
      <c r="F99" s="275">
        <f t="shared" si="37"/>
        <v>24058005.210000001</v>
      </c>
      <c r="G99" s="275">
        <f t="shared" si="37"/>
        <v>0</v>
      </c>
      <c r="H99" s="249">
        <f t="shared" si="23"/>
        <v>0</v>
      </c>
      <c r="I99" s="249">
        <f t="shared" si="36"/>
        <v>0</v>
      </c>
    </row>
    <row r="100" spans="1:10" x14ac:dyDescent="0.25">
      <c r="A100" s="304"/>
      <c r="B100" s="305" t="s">
        <v>427</v>
      </c>
      <c r="C100" s="306"/>
      <c r="D100" s="319">
        <f>D109+D112+D105</f>
        <v>34380600</v>
      </c>
      <c r="E100" s="319">
        <f t="shared" si="37"/>
        <v>34380599.999999993</v>
      </c>
      <c r="F100" s="319">
        <f t="shared" si="37"/>
        <v>24058005.210000001</v>
      </c>
      <c r="G100" s="319">
        <f t="shared" si="37"/>
        <v>0</v>
      </c>
      <c r="H100" s="249">
        <f t="shared" si="23"/>
        <v>0</v>
      </c>
      <c r="I100" s="249">
        <f t="shared" si="36"/>
        <v>0</v>
      </c>
    </row>
    <row r="101" spans="1:10" x14ac:dyDescent="0.25">
      <c r="A101" s="304"/>
      <c r="B101" s="305" t="s">
        <v>428</v>
      </c>
      <c r="C101" s="306"/>
      <c r="D101" s="319">
        <f>D110+D113+D106</f>
        <v>0</v>
      </c>
      <c r="E101" s="319">
        <f t="shared" si="37"/>
        <v>0</v>
      </c>
      <c r="F101" s="319">
        <f t="shared" si="37"/>
        <v>0</v>
      </c>
      <c r="G101" s="319">
        <f t="shared" si="37"/>
        <v>0</v>
      </c>
      <c r="H101" s="249">
        <f t="shared" si="23"/>
        <v>0</v>
      </c>
      <c r="I101" s="249">
        <f t="shared" si="36"/>
        <v>0</v>
      </c>
    </row>
    <row r="102" spans="1:10" x14ac:dyDescent="0.25">
      <c r="A102" s="304"/>
      <c r="B102" s="305" t="s">
        <v>444</v>
      </c>
      <c r="C102" s="306"/>
      <c r="D102" s="319">
        <f>D99-D100-D101</f>
        <v>0</v>
      </c>
      <c r="E102" s="319">
        <f t="shared" ref="E102:G102" si="38">E99-E100-E101</f>
        <v>0</v>
      </c>
      <c r="F102" s="319">
        <f t="shared" si="38"/>
        <v>0</v>
      </c>
      <c r="G102" s="319">
        <f t="shared" si="38"/>
        <v>0</v>
      </c>
      <c r="H102" s="249">
        <f t="shared" si="23"/>
        <v>0</v>
      </c>
      <c r="I102" s="249">
        <f t="shared" si="36"/>
        <v>0</v>
      </c>
    </row>
    <row r="103" spans="1:10" x14ac:dyDescent="0.25">
      <c r="A103" s="252"/>
      <c r="B103" s="238" t="s">
        <v>375</v>
      </c>
      <c r="C103" s="276"/>
      <c r="D103" s="277"/>
      <c r="E103" s="273"/>
      <c r="F103" s="273"/>
      <c r="G103" s="257"/>
      <c r="H103" s="249">
        <f t="shared" si="23"/>
        <v>0</v>
      </c>
      <c r="I103" s="249">
        <f t="shared" si="36"/>
        <v>0</v>
      </c>
    </row>
    <row r="104" spans="1:10" ht="216.75" hidden="1" x14ac:dyDescent="0.25">
      <c r="A104" s="334"/>
      <c r="B104" s="229" t="s">
        <v>468</v>
      </c>
      <c r="C104" s="254" t="s">
        <v>469</v>
      </c>
      <c r="D104" s="277"/>
      <c r="E104" s="273">
        <f>'Прочая  субсидия_МР  и  ГО'!AH43</f>
        <v>0</v>
      </c>
      <c r="F104" s="273">
        <f>'Прочая  субсидия_МР  и  ГО'!AI43</f>
        <v>0</v>
      </c>
      <c r="G104" s="257">
        <f t="shared" ref="G104:G110" si="39">D104-E104</f>
        <v>0</v>
      </c>
      <c r="H104" s="249">
        <f t="shared" si="23"/>
        <v>0</v>
      </c>
      <c r="I104" s="249">
        <f t="shared" si="36"/>
        <v>0</v>
      </c>
    </row>
    <row r="105" spans="1:10" hidden="1" x14ac:dyDescent="0.25">
      <c r="A105" s="310"/>
      <c r="B105" s="311" t="s">
        <v>427</v>
      </c>
      <c r="C105" s="312"/>
      <c r="D105" s="314"/>
      <c r="E105" s="314"/>
      <c r="F105" s="314"/>
      <c r="G105" s="313">
        <f t="shared" si="39"/>
        <v>0</v>
      </c>
      <c r="H105" s="249">
        <f t="shared" si="23"/>
        <v>0</v>
      </c>
      <c r="I105" s="249">
        <f t="shared" si="36"/>
        <v>0</v>
      </c>
    </row>
    <row r="106" spans="1:10" hidden="1" x14ac:dyDescent="0.25">
      <c r="A106" s="310"/>
      <c r="B106" s="311" t="s">
        <v>428</v>
      </c>
      <c r="C106" s="312"/>
      <c r="D106" s="313">
        <f>D104-D107</f>
        <v>0</v>
      </c>
      <c r="E106" s="313">
        <f t="shared" ref="E106:F106" si="40">E104-E107</f>
        <v>0</v>
      </c>
      <c r="F106" s="313">
        <f t="shared" si="40"/>
        <v>0</v>
      </c>
      <c r="G106" s="313">
        <f t="shared" si="39"/>
        <v>0</v>
      </c>
      <c r="H106" s="249">
        <f t="shared" si="23"/>
        <v>0</v>
      </c>
      <c r="I106" s="249">
        <f t="shared" si="36"/>
        <v>0</v>
      </c>
    </row>
    <row r="107" spans="1:10" hidden="1" x14ac:dyDescent="0.25">
      <c r="A107" s="335"/>
      <c r="B107" s="311" t="s">
        <v>444</v>
      </c>
      <c r="C107" s="312"/>
      <c r="D107" s="331"/>
      <c r="E107" s="336">
        <f>D107</f>
        <v>0</v>
      </c>
      <c r="F107" s="331"/>
      <c r="G107" s="313">
        <f t="shared" si="39"/>
        <v>0</v>
      </c>
      <c r="H107" s="249">
        <f t="shared" si="23"/>
        <v>0</v>
      </c>
      <c r="I107" s="249">
        <f t="shared" si="36"/>
        <v>0</v>
      </c>
      <c r="J107" s="300" t="s">
        <v>366</v>
      </c>
    </row>
    <row r="108" spans="1:10" ht="165.75" x14ac:dyDescent="0.25">
      <c r="A108" s="252"/>
      <c r="B108" s="278" t="s">
        <v>470</v>
      </c>
      <c r="C108" s="254" t="s">
        <v>471</v>
      </c>
      <c r="D108" s="277">
        <v>19680600</v>
      </c>
      <c r="E108" s="273">
        <f>'Прочая  субсидия_МР  и  ГО'!AV43</f>
        <v>19680599.999999996</v>
      </c>
      <c r="F108" s="273">
        <f>'Прочая  субсидия_МР  и  ГО'!AW43</f>
        <v>14329000.880000003</v>
      </c>
      <c r="G108" s="257">
        <f t="shared" si="39"/>
        <v>0</v>
      </c>
      <c r="H108" s="249">
        <f t="shared" si="23"/>
        <v>0</v>
      </c>
      <c r="I108" s="249">
        <f t="shared" si="36"/>
        <v>0</v>
      </c>
    </row>
    <row r="109" spans="1:10" x14ac:dyDescent="0.25">
      <c r="A109" s="310"/>
      <c r="B109" s="311" t="s">
        <v>427</v>
      </c>
      <c r="C109" s="312"/>
      <c r="D109" s="313">
        <f>D108</f>
        <v>19680600</v>
      </c>
      <c r="E109" s="313">
        <f>E108</f>
        <v>19680599.999999996</v>
      </c>
      <c r="F109" s="313">
        <f>F108</f>
        <v>14329000.880000003</v>
      </c>
      <c r="G109" s="313">
        <f t="shared" si="39"/>
        <v>0</v>
      </c>
      <c r="H109" s="249">
        <f t="shared" si="23"/>
        <v>0</v>
      </c>
      <c r="I109" s="249">
        <f t="shared" si="36"/>
        <v>0</v>
      </c>
    </row>
    <row r="110" spans="1:10" x14ac:dyDescent="0.25">
      <c r="A110" s="310"/>
      <c r="B110" s="311" t="s">
        <v>428</v>
      </c>
      <c r="C110" s="312"/>
      <c r="D110" s="313"/>
      <c r="E110" s="313"/>
      <c r="F110" s="313"/>
      <c r="G110" s="313">
        <f t="shared" si="39"/>
        <v>0</v>
      </c>
      <c r="H110" s="249">
        <f t="shared" si="23"/>
        <v>0</v>
      </c>
      <c r="I110" s="249">
        <f t="shared" si="36"/>
        <v>0</v>
      </c>
    </row>
    <row r="111" spans="1:10" ht="153" x14ac:dyDescent="0.25">
      <c r="A111" s="252"/>
      <c r="B111" s="278" t="s">
        <v>472</v>
      </c>
      <c r="C111" s="276" t="s">
        <v>473</v>
      </c>
      <c r="D111" s="277">
        <v>14700000</v>
      </c>
      <c r="E111" s="273">
        <f>'Прочая  субсидия_МР  и  ГО'!AX43</f>
        <v>14699999.999999998</v>
      </c>
      <c r="F111" s="273">
        <f>'Прочая  субсидия_МР  и  ГО'!AY43</f>
        <v>9729004.3300000001</v>
      </c>
      <c r="G111" s="257">
        <f>D111-E111</f>
        <v>0</v>
      </c>
      <c r="H111" s="249">
        <f>IF(F111&gt;E111,1,0)</f>
        <v>0</v>
      </c>
      <c r="I111" s="249">
        <f>IF(G111&lt;0,1,0)</f>
        <v>0</v>
      </c>
    </row>
    <row r="112" spans="1:10" x14ac:dyDescent="0.25">
      <c r="A112" s="310"/>
      <c r="B112" s="311" t="s">
        <v>427</v>
      </c>
      <c r="C112" s="312"/>
      <c r="D112" s="313">
        <f>D111</f>
        <v>14700000</v>
      </c>
      <c r="E112" s="313">
        <f>E111</f>
        <v>14699999.999999998</v>
      </c>
      <c r="F112" s="313">
        <f>F111</f>
        <v>9729004.3300000001</v>
      </c>
      <c r="G112" s="313">
        <f>D112-E112</f>
        <v>0</v>
      </c>
      <c r="H112" s="249">
        <f>IF(F112&gt;E112,1,0)</f>
        <v>0</v>
      </c>
      <c r="I112" s="249">
        <f>IF(G112&lt;0,1,0)</f>
        <v>0</v>
      </c>
    </row>
    <row r="113" spans="1:13" x14ac:dyDescent="0.25">
      <c r="A113" s="310"/>
      <c r="B113" s="311" t="s">
        <v>428</v>
      </c>
      <c r="C113" s="312"/>
      <c r="D113" s="313"/>
      <c r="E113" s="313"/>
      <c r="F113" s="313"/>
      <c r="G113" s="313">
        <f>D113-E113</f>
        <v>0</v>
      </c>
      <c r="H113" s="249">
        <f>IF(F113&gt;E113,1,0)</f>
        <v>0</v>
      </c>
      <c r="I113" s="249">
        <f>IF(G113&lt;0,1,0)</f>
        <v>0</v>
      </c>
    </row>
    <row r="114" spans="1:13" x14ac:dyDescent="0.25">
      <c r="A114" s="252"/>
      <c r="B114" s="278"/>
      <c r="C114" s="276"/>
      <c r="D114" s="277"/>
      <c r="E114" s="273"/>
      <c r="F114" s="273"/>
      <c r="G114" s="257"/>
      <c r="H114" s="249">
        <f t="shared" si="23"/>
        <v>0</v>
      </c>
      <c r="I114" s="249">
        <f t="shared" si="36"/>
        <v>0</v>
      </c>
    </row>
    <row r="115" spans="1:13" x14ac:dyDescent="0.25">
      <c r="A115" s="245" t="s">
        <v>474</v>
      </c>
      <c r="B115" s="246" t="s">
        <v>475</v>
      </c>
      <c r="C115" s="274"/>
      <c r="D115" s="275">
        <f>D119+D122+D125+D128+D131+D134</f>
        <v>316120631.56999999</v>
      </c>
      <c r="E115" s="275">
        <f t="shared" ref="E115:G115" si="41">E119+E122+E125+E128+E131+E134</f>
        <v>226536666.77999997</v>
      </c>
      <c r="F115" s="275">
        <f t="shared" si="41"/>
        <v>115120529.7</v>
      </c>
      <c r="G115" s="275">
        <f t="shared" si="41"/>
        <v>89583964.790000007</v>
      </c>
      <c r="H115" s="249">
        <f t="shared" si="23"/>
        <v>0</v>
      </c>
      <c r="I115" s="249">
        <f t="shared" si="36"/>
        <v>0</v>
      </c>
    </row>
    <row r="116" spans="1:13" x14ac:dyDescent="0.25">
      <c r="A116" s="304"/>
      <c r="B116" s="305" t="s">
        <v>427</v>
      </c>
      <c r="C116" s="306"/>
      <c r="D116" s="319">
        <f>D120+D123+D126+D129+D132+D135</f>
        <v>0</v>
      </c>
      <c r="E116" s="319">
        <f t="shared" ref="E116:G116" si="42">E120+E123+E126+E129+E132+E135</f>
        <v>0</v>
      </c>
      <c r="F116" s="319">
        <f t="shared" si="42"/>
        <v>0</v>
      </c>
      <c r="G116" s="319">
        <f t="shared" si="42"/>
        <v>0</v>
      </c>
      <c r="H116" s="249">
        <f t="shared" si="23"/>
        <v>0</v>
      </c>
      <c r="I116" s="249">
        <f t="shared" si="36"/>
        <v>0</v>
      </c>
    </row>
    <row r="117" spans="1:13" x14ac:dyDescent="0.25">
      <c r="A117" s="304"/>
      <c r="B117" s="305" t="s">
        <v>428</v>
      </c>
      <c r="C117" s="306"/>
      <c r="D117" s="319">
        <f>D121+D124+D127+D130+D133+D136</f>
        <v>316120631.56999999</v>
      </c>
      <c r="E117" s="319">
        <f t="shared" ref="E117:G117" si="43">E121+E124+E127+E130+E133+E136</f>
        <v>226536666.77999997</v>
      </c>
      <c r="F117" s="319">
        <f t="shared" si="43"/>
        <v>115120529.7</v>
      </c>
      <c r="G117" s="319">
        <f t="shared" si="43"/>
        <v>89583964.790000007</v>
      </c>
      <c r="H117" s="249">
        <f t="shared" si="23"/>
        <v>0</v>
      </c>
      <c r="I117" s="249">
        <f t="shared" si="36"/>
        <v>0</v>
      </c>
    </row>
    <row r="118" spans="1:13" x14ac:dyDescent="0.25">
      <c r="A118" s="252"/>
      <c r="B118" s="238" t="s">
        <v>375</v>
      </c>
      <c r="C118" s="276"/>
      <c r="D118" s="277"/>
      <c r="E118" s="273"/>
      <c r="F118" s="273"/>
      <c r="G118" s="257"/>
      <c r="H118" s="249">
        <f t="shared" si="23"/>
        <v>0</v>
      </c>
      <c r="I118" s="249">
        <f t="shared" si="36"/>
        <v>0</v>
      </c>
    </row>
    <row r="119" spans="1:13" ht="216.75" hidden="1" x14ac:dyDescent="0.25">
      <c r="A119" s="334"/>
      <c r="B119" s="253" t="s">
        <v>476</v>
      </c>
      <c r="C119" s="254" t="s">
        <v>477</v>
      </c>
      <c r="D119" s="330"/>
      <c r="E119" s="273">
        <f>'Проверочная  таблица'!BL38</f>
        <v>0</v>
      </c>
      <c r="F119" s="273">
        <f>'Проверочная  таблица'!BM38</f>
        <v>0</v>
      </c>
      <c r="G119" s="257">
        <f t="shared" ref="G119:G124" si="44">D119-E119</f>
        <v>0</v>
      </c>
      <c r="H119" s="249">
        <f t="shared" si="23"/>
        <v>0</v>
      </c>
      <c r="I119" s="249">
        <f t="shared" si="36"/>
        <v>0</v>
      </c>
    </row>
    <row r="120" spans="1:13" hidden="1" x14ac:dyDescent="0.25">
      <c r="A120" s="310"/>
      <c r="B120" s="311" t="s">
        <v>427</v>
      </c>
      <c r="C120" s="312"/>
      <c r="D120" s="337">
        <v>0</v>
      </c>
      <c r="E120" s="337">
        <v>0</v>
      </c>
      <c r="F120" s="337">
        <v>0</v>
      </c>
      <c r="G120" s="313">
        <f t="shared" si="44"/>
        <v>0</v>
      </c>
      <c r="H120" s="249">
        <f t="shared" si="23"/>
        <v>0</v>
      </c>
      <c r="I120" s="249">
        <f t="shared" si="36"/>
        <v>0</v>
      </c>
    </row>
    <row r="121" spans="1:13" hidden="1" x14ac:dyDescent="0.25">
      <c r="A121" s="310"/>
      <c r="B121" s="311" t="s">
        <v>428</v>
      </c>
      <c r="C121" s="312"/>
      <c r="D121" s="313">
        <f>D119-D120</f>
        <v>0</v>
      </c>
      <c r="E121" s="313">
        <f>E119-E120</f>
        <v>0</v>
      </c>
      <c r="F121" s="313">
        <f>F119-F120</f>
        <v>0</v>
      </c>
      <c r="G121" s="313">
        <f t="shared" si="44"/>
        <v>0</v>
      </c>
      <c r="H121" s="249">
        <f t="shared" si="23"/>
        <v>0</v>
      </c>
      <c r="I121" s="249">
        <f t="shared" si="36"/>
        <v>0</v>
      </c>
    </row>
    <row r="122" spans="1:13" ht="153" hidden="1" x14ac:dyDescent="0.25">
      <c r="A122" s="334"/>
      <c r="B122" s="278" t="s">
        <v>478</v>
      </c>
      <c r="C122" s="254" t="s">
        <v>479</v>
      </c>
      <c r="D122" s="330"/>
      <c r="E122" s="273">
        <f>'Проверочная  таблица'!BZ38</f>
        <v>0</v>
      </c>
      <c r="F122" s="273">
        <f>'Проверочная  таблица'!CA38</f>
        <v>0</v>
      </c>
      <c r="G122" s="257">
        <f t="shared" si="44"/>
        <v>0</v>
      </c>
      <c r="H122" s="249">
        <f t="shared" si="23"/>
        <v>0</v>
      </c>
      <c r="I122" s="249">
        <f t="shared" si="36"/>
        <v>0</v>
      </c>
    </row>
    <row r="123" spans="1:13" hidden="1" x14ac:dyDescent="0.25">
      <c r="A123" s="310"/>
      <c r="B123" s="311" t="s">
        <v>427</v>
      </c>
      <c r="C123" s="312"/>
      <c r="D123" s="337"/>
      <c r="E123" s="337"/>
      <c r="F123" s="337"/>
      <c r="G123" s="313">
        <f t="shared" si="44"/>
        <v>0</v>
      </c>
      <c r="H123" s="249">
        <f t="shared" si="23"/>
        <v>0</v>
      </c>
      <c r="I123" s="249">
        <f t="shared" si="36"/>
        <v>0</v>
      </c>
    </row>
    <row r="124" spans="1:13" hidden="1" x14ac:dyDescent="0.25">
      <c r="A124" s="310"/>
      <c r="B124" s="311" t="s">
        <v>428</v>
      </c>
      <c r="C124" s="312"/>
      <c r="D124" s="313">
        <f>D122-D123</f>
        <v>0</v>
      </c>
      <c r="E124" s="313">
        <f>E122-E123</f>
        <v>0</v>
      </c>
      <c r="F124" s="313">
        <f>F122-F123</f>
        <v>0</v>
      </c>
      <c r="G124" s="313">
        <f t="shared" si="44"/>
        <v>0</v>
      </c>
      <c r="H124" s="249">
        <f t="shared" si="23"/>
        <v>0</v>
      </c>
      <c r="I124" s="249">
        <f t="shared" si="36"/>
        <v>0</v>
      </c>
    </row>
    <row r="125" spans="1:13" ht="280.5" x14ac:dyDescent="0.25">
      <c r="A125" s="252"/>
      <c r="B125" s="278" t="s">
        <v>480</v>
      </c>
      <c r="C125" s="254" t="s">
        <v>481</v>
      </c>
      <c r="D125" s="277">
        <f>11552557.89</f>
        <v>11552557.890000001</v>
      </c>
      <c r="E125" s="273">
        <f>'Проверочная  таблица'!SQ38</f>
        <v>11156131.579999994</v>
      </c>
      <c r="F125" s="273">
        <f>'Проверочная  таблица'!SX38</f>
        <v>5756026.4500000002</v>
      </c>
      <c r="G125" s="257">
        <f>D125-E125</f>
        <v>396426.31000000611</v>
      </c>
      <c r="H125" s="249">
        <f t="shared" ref="H125:H130" si="45">IF(F125&gt;E125,1,0)</f>
        <v>0</v>
      </c>
      <c r="I125" s="249">
        <f t="shared" si="36"/>
        <v>0</v>
      </c>
      <c r="J125" s="315">
        <f>D125+D128</f>
        <v>231051157.88999999</v>
      </c>
      <c r="K125" s="1254">
        <f>G125+G128</f>
        <v>7928526.3100000061</v>
      </c>
      <c r="M125" s="332"/>
    </row>
    <row r="126" spans="1:13" x14ac:dyDescent="0.25">
      <c r="A126" s="310"/>
      <c r="B126" s="311" t="s">
        <v>427</v>
      </c>
      <c r="C126" s="312"/>
      <c r="D126" s="313"/>
      <c r="E126" s="313"/>
      <c r="F126" s="313"/>
      <c r="G126" s="313">
        <f>D126-E126</f>
        <v>0</v>
      </c>
      <c r="H126" s="249">
        <f t="shared" si="45"/>
        <v>0</v>
      </c>
      <c r="I126" s="249">
        <f t="shared" si="36"/>
        <v>0</v>
      </c>
    </row>
    <row r="127" spans="1:13" x14ac:dyDescent="0.25">
      <c r="A127" s="310"/>
      <c r="B127" s="311" t="s">
        <v>428</v>
      </c>
      <c r="C127" s="312"/>
      <c r="D127" s="313">
        <f>D125</f>
        <v>11552557.890000001</v>
      </c>
      <c r="E127" s="313">
        <f t="shared" ref="E127:F127" si="46">E125</f>
        <v>11156131.579999994</v>
      </c>
      <c r="F127" s="313">
        <f t="shared" si="46"/>
        <v>5756026.4500000002</v>
      </c>
      <c r="G127" s="313">
        <f>D127-E127</f>
        <v>396426.31000000611</v>
      </c>
      <c r="H127" s="249">
        <f t="shared" si="45"/>
        <v>0</v>
      </c>
      <c r="I127" s="249">
        <f t="shared" si="36"/>
        <v>0</v>
      </c>
    </row>
    <row r="128" spans="1:13" x14ac:dyDescent="0.25">
      <c r="A128" s="280"/>
      <c r="B128" s="264" t="s">
        <v>396</v>
      </c>
      <c r="C128" s="281" t="s">
        <v>481</v>
      </c>
      <c r="D128" s="316">
        <v>219498600</v>
      </c>
      <c r="E128" s="267">
        <f>'Проверочная  таблица'!SR38</f>
        <v>211966500</v>
      </c>
      <c r="F128" s="267">
        <f>'Проверочная  таблица'!SY38</f>
        <v>109364503.25</v>
      </c>
      <c r="G128" s="268">
        <f>D128-E128</f>
        <v>7532100</v>
      </c>
      <c r="H128" s="249">
        <f t="shared" si="45"/>
        <v>0</v>
      </c>
      <c r="I128" s="249">
        <f t="shared" si="36"/>
        <v>0</v>
      </c>
    </row>
    <row r="129" spans="1:11" x14ac:dyDescent="0.25">
      <c r="A129" s="280"/>
      <c r="B129" s="317" t="s">
        <v>427</v>
      </c>
      <c r="C129" s="318"/>
      <c r="D129" s="268"/>
      <c r="E129" s="268"/>
      <c r="F129" s="268"/>
      <c r="G129" s="268">
        <f>D129-E129</f>
        <v>0</v>
      </c>
      <c r="H129" s="249">
        <f t="shared" si="45"/>
        <v>0</v>
      </c>
      <c r="I129" s="249">
        <f t="shared" si="36"/>
        <v>0</v>
      </c>
    </row>
    <row r="130" spans="1:11" x14ac:dyDescent="0.25">
      <c r="A130" s="280"/>
      <c r="B130" s="317" t="s">
        <v>428</v>
      </c>
      <c r="C130" s="318"/>
      <c r="D130" s="268">
        <f>D128</f>
        <v>219498600</v>
      </c>
      <c r="E130" s="268">
        <f t="shared" ref="E130:G130" si="47">E128</f>
        <v>211966500</v>
      </c>
      <c r="F130" s="268">
        <f t="shared" si="47"/>
        <v>109364503.25</v>
      </c>
      <c r="G130" s="268">
        <f t="shared" si="47"/>
        <v>7532100</v>
      </c>
      <c r="H130" s="249">
        <f t="shared" si="45"/>
        <v>0</v>
      </c>
      <c r="I130" s="249">
        <f t="shared" si="36"/>
        <v>0</v>
      </c>
    </row>
    <row r="131" spans="1:11" ht="204" x14ac:dyDescent="0.25">
      <c r="A131" s="1120"/>
      <c r="B131" s="278" t="s">
        <v>1369</v>
      </c>
      <c r="C131" s="276" t="s">
        <v>1368</v>
      </c>
      <c r="D131" s="330">
        <v>4253473.68</v>
      </c>
      <c r="E131" s="273">
        <f>'Проверочная  таблица'!SS38</f>
        <v>170701.76000000024</v>
      </c>
      <c r="F131" s="273">
        <f>'Проверочная  таблица'!SZ38</f>
        <v>0</v>
      </c>
      <c r="G131" s="257">
        <f t="shared" ref="G131" si="48">D131-E131</f>
        <v>4082771.9199999995</v>
      </c>
      <c r="H131" s="249">
        <f t="shared" ref="H131:H136" si="49">IF(F131&gt;E131,1,0)</f>
        <v>0</v>
      </c>
      <c r="I131" s="249">
        <f t="shared" ref="I131:I136" si="50">IF(G131&lt;0,1,0)</f>
        <v>0</v>
      </c>
      <c r="J131" s="315">
        <f>D131+D134</f>
        <v>85069473.680000007</v>
      </c>
      <c r="K131" s="1254">
        <f>G131+G134</f>
        <v>81655438.480000004</v>
      </c>
    </row>
    <row r="132" spans="1:11" x14ac:dyDescent="0.25">
      <c r="A132" s="310"/>
      <c r="B132" s="311" t="s">
        <v>427</v>
      </c>
      <c r="C132" s="312"/>
      <c r="D132" s="314"/>
      <c r="E132" s="314"/>
      <c r="F132" s="314"/>
      <c r="G132" s="314"/>
      <c r="H132" s="249">
        <f t="shared" si="49"/>
        <v>0</v>
      </c>
      <c r="I132" s="249">
        <f t="shared" si="50"/>
        <v>0</v>
      </c>
    </row>
    <row r="133" spans="1:11" x14ac:dyDescent="0.25">
      <c r="A133" s="310"/>
      <c r="B133" s="311" t="s">
        <v>428</v>
      </c>
      <c r="C133" s="312"/>
      <c r="D133" s="313">
        <f>D131</f>
        <v>4253473.68</v>
      </c>
      <c r="E133" s="313">
        <f t="shared" ref="E133:G133" si="51">E131</f>
        <v>170701.76000000024</v>
      </c>
      <c r="F133" s="313">
        <f t="shared" si="51"/>
        <v>0</v>
      </c>
      <c r="G133" s="313">
        <f t="shared" si="51"/>
        <v>4082771.9199999995</v>
      </c>
      <c r="H133" s="249">
        <f t="shared" si="49"/>
        <v>0</v>
      </c>
      <c r="I133" s="249">
        <f t="shared" si="50"/>
        <v>0</v>
      </c>
    </row>
    <row r="134" spans="1:11" x14ac:dyDescent="0.25">
      <c r="A134" s="280"/>
      <c r="B134" s="264" t="s">
        <v>396</v>
      </c>
      <c r="C134" s="349" t="s">
        <v>1368</v>
      </c>
      <c r="D134" s="316">
        <v>80816000</v>
      </c>
      <c r="E134" s="267">
        <f>'Проверочная  таблица'!ST38</f>
        <v>3243333.44</v>
      </c>
      <c r="F134" s="267">
        <f>'Проверочная  таблица'!TA38</f>
        <v>0</v>
      </c>
      <c r="G134" s="268">
        <f t="shared" ref="G134" si="52">D134-E134</f>
        <v>77572666.560000002</v>
      </c>
      <c r="H134" s="249">
        <f t="shared" si="49"/>
        <v>0</v>
      </c>
      <c r="I134" s="249">
        <f t="shared" si="50"/>
        <v>0</v>
      </c>
    </row>
    <row r="135" spans="1:11" x14ac:dyDescent="0.25">
      <c r="A135" s="280"/>
      <c r="B135" s="317" t="s">
        <v>427</v>
      </c>
      <c r="C135" s="318"/>
      <c r="D135" s="267"/>
      <c r="E135" s="267"/>
      <c r="F135" s="267"/>
      <c r="G135" s="267"/>
      <c r="H135" s="249">
        <f t="shared" si="49"/>
        <v>0</v>
      </c>
      <c r="I135" s="249">
        <f t="shared" si="50"/>
        <v>0</v>
      </c>
    </row>
    <row r="136" spans="1:11" x14ac:dyDescent="0.25">
      <c r="A136" s="280"/>
      <c r="B136" s="317" t="s">
        <v>428</v>
      </c>
      <c r="C136" s="318"/>
      <c r="D136" s="268">
        <f>D134</f>
        <v>80816000</v>
      </c>
      <c r="E136" s="268">
        <f t="shared" ref="E136:G136" si="53">E134</f>
        <v>3243333.44</v>
      </c>
      <c r="F136" s="268">
        <f t="shared" si="53"/>
        <v>0</v>
      </c>
      <c r="G136" s="268">
        <f t="shared" si="53"/>
        <v>77572666.560000002</v>
      </c>
      <c r="H136" s="249">
        <f t="shared" si="49"/>
        <v>0</v>
      </c>
      <c r="I136" s="249">
        <f t="shared" si="50"/>
        <v>0</v>
      </c>
    </row>
    <row r="137" spans="1:11" x14ac:dyDescent="0.25">
      <c r="A137" s="252"/>
      <c r="B137" s="338"/>
      <c r="C137" s="339"/>
      <c r="D137" s="340"/>
      <c r="E137" s="340"/>
      <c r="F137" s="340"/>
      <c r="G137" s="340"/>
      <c r="H137" s="249"/>
      <c r="I137" s="249">
        <f t="shared" si="36"/>
        <v>0</v>
      </c>
    </row>
    <row r="138" spans="1:11" x14ac:dyDescent="0.25">
      <c r="A138" s="245" t="s">
        <v>482</v>
      </c>
      <c r="B138" s="246" t="s">
        <v>483</v>
      </c>
      <c r="C138" s="274"/>
      <c r="D138" s="275">
        <f>D184+D187+D169+D143+D146+D196+D199+D180+D165+D190+D193+D157+D161+D153+D176+D172+D149</f>
        <v>3802374938.8899999</v>
      </c>
      <c r="E138" s="275">
        <f>E184+E187+E169+E143+E146+E196+E199+E180+E165+E190+E193+E157+E161+E153+E176+E172+E149</f>
        <v>4800631312.2700005</v>
      </c>
      <c r="F138" s="275">
        <f>F184+F187+F169+F143+F146+F196+F199+F180+F165+F190+F193+F157+F161+F153+F176+F172+F149</f>
        <v>1831435696.1800001</v>
      </c>
      <c r="G138" s="275">
        <f>G184+G187+G169+G143+G146+G196+G199+G180+G165+G190+G193+G157+G161+G153+G176+G172+G149</f>
        <v>-998256373.38000011</v>
      </c>
      <c r="H138" s="249">
        <f t="shared" ref="H138:H182" si="54">IF(F138&gt;E138,1,0)</f>
        <v>0</v>
      </c>
      <c r="I138" s="249">
        <f t="shared" si="36"/>
        <v>1</v>
      </c>
    </row>
    <row r="139" spans="1:11" x14ac:dyDescent="0.25">
      <c r="A139" s="304"/>
      <c r="B139" s="305" t="s">
        <v>427</v>
      </c>
      <c r="C139" s="306"/>
      <c r="D139" s="319">
        <f t="shared" ref="D139:G140" si="55">D170+D200+D197+D144+D185+D188+D147+D181+D166+D191+D194+D158+D162+D154+D177+D173+D150</f>
        <v>0</v>
      </c>
      <c r="E139" s="319">
        <f t="shared" si="55"/>
        <v>0</v>
      </c>
      <c r="F139" s="319">
        <f t="shared" si="55"/>
        <v>0</v>
      </c>
      <c r="G139" s="319">
        <f t="shared" si="55"/>
        <v>0</v>
      </c>
      <c r="H139" s="249">
        <f t="shared" si="54"/>
        <v>0</v>
      </c>
      <c r="I139" s="249">
        <f t="shared" si="36"/>
        <v>0</v>
      </c>
    </row>
    <row r="140" spans="1:11" x14ac:dyDescent="0.25">
      <c r="A140" s="304"/>
      <c r="B140" s="305" t="s">
        <v>428</v>
      </c>
      <c r="C140" s="306"/>
      <c r="D140" s="319">
        <f t="shared" si="55"/>
        <v>1413860687.46</v>
      </c>
      <c r="E140" s="319">
        <f t="shared" si="55"/>
        <v>1326987820.96</v>
      </c>
      <c r="F140" s="319">
        <f t="shared" si="55"/>
        <v>489204532.27999997</v>
      </c>
      <c r="G140" s="319">
        <f t="shared" si="55"/>
        <v>86872866.5</v>
      </c>
      <c r="H140" s="249">
        <f t="shared" si="54"/>
        <v>0</v>
      </c>
      <c r="I140" s="249">
        <f t="shared" si="36"/>
        <v>0</v>
      </c>
    </row>
    <row r="141" spans="1:11" x14ac:dyDescent="0.25">
      <c r="A141" s="304"/>
      <c r="B141" s="341" t="s">
        <v>444</v>
      </c>
      <c r="C141" s="306"/>
      <c r="D141" s="319">
        <f>D138-D139-D140</f>
        <v>2388514251.4299998</v>
      </c>
      <c r="E141" s="319">
        <f t="shared" ref="E141:G141" si="56">E138-E139-E140</f>
        <v>3473643491.3100004</v>
      </c>
      <c r="F141" s="319">
        <f t="shared" si="56"/>
        <v>1342231163.9000001</v>
      </c>
      <c r="G141" s="319">
        <f t="shared" si="56"/>
        <v>-1085129239.8800001</v>
      </c>
      <c r="H141" s="249">
        <f t="shared" si="54"/>
        <v>0</v>
      </c>
      <c r="I141" s="249">
        <f t="shared" si="36"/>
        <v>1</v>
      </c>
    </row>
    <row r="142" spans="1:11" x14ac:dyDescent="0.25">
      <c r="A142" s="252"/>
      <c r="B142" s="238" t="s">
        <v>375</v>
      </c>
      <c r="C142" s="276"/>
      <c r="D142" s="277"/>
      <c r="E142" s="273"/>
      <c r="F142" s="273"/>
      <c r="G142" s="257"/>
      <c r="H142" s="249">
        <f t="shared" si="54"/>
        <v>0</v>
      </c>
      <c r="I142" s="249">
        <f t="shared" si="36"/>
        <v>0</v>
      </c>
    </row>
    <row r="143" spans="1:11" ht="153" x14ac:dyDescent="0.25">
      <c r="A143" s="252"/>
      <c r="B143" s="278" t="s">
        <v>484</v>
      </c>
      <c r="C143" s="254" t="s">
        <v>485</v>
      </c>
      <c r="D143" s="277">
        <v>6058780</v>
      </c>
      <c r="E143" s="273">
        <f>'Проверочная  таблица'!EO37</f>
        <v>6058780</v>
      </c>
      <c r="F143" s="273">
        <f>'Проверочная  таблица'!ER37</f>
        <v>5480944.0999999996</v>
      </c>
      <c r="G143" s="257">
        <f t="shared" ref="G143:G153" si="57">D143-E143</f>
        <v>0</v>
      </c>
      <c r="H143" s="249">
        <f t="shared" si="54"/>
        <v>0</v>
      </c>
      <c r="I143" s="249">
        <f t="shared" si="36"/>
        <v>0</v>
      </c>
      <c r="J143" s="315">
        <f>D143+D146</f>
        <v>121175580</v>
      </c>
    </row>
    <row r="144" spans="1:11" x14ac:dyDescent="0.25">
      <c r="A144" s="310"/>
      <c r="B144" s="311" t="s">
        <v>427</v>
      </c>
      <c r="C144" s="312"/>
      <c r="D144" s="313"/>
      <c r="E144" s="313"/>
      <c r="F144" s="313"/>
      <c r="G144" s="313">
        <f t="shared" si="57"/>
        <v>0</v>
      </c>
      <c r="H144" s="249">
        <f t="shared" si="54"/>
        <v>0</v>
      </c>
      <c r="I144" s="249">
        <f t="shared" si="36"/>
        <v>0</v>
      </c>
    </row>
    <row r="145" spans="1:10" x14ac:dyDescent="0.25">
      <c r="A145" s="310"/>
      <c r="B145" s="311" t="s">
        <v>428</v>
      </c>
      <c r="C145" s="312"/>
      <c r="D145" s="313">
        <f>D143-D144</f>
        <v>6058780</v>
      </c>
      <c r="E145" s="313">
        <f>E143-E144</f>
        <v>6058780</v>
      </c>
      <c r="F145" s="313">
        <f>F143-F144</f>
        <v>5480944.0999999996</v>
      </c>
      <c r="G145" s="313">
        <f t="shared" si="57"/>
        <v>0</v>
      </c>
      <c r="H145" s="249">
        <f t="shared" si="54"/>
        <v>0</v>
      </c>
      <c r="I145" s="249">
        <f t="shared" si="36"/>
        <v>0</v>
      </c>
    </row>
    <row r="146" spans="1:10" x14ac:dyDescent="0.25">
      <c r="A146" s="280"/>
      <c r="B146" s="264" t="s">
        <v>396</v>
      </c>
      <c r="C146" s="281" t="s">
        <v>485</v>
      </c>
      <c r="D146" s="316">
        <v>115116800</v>
      </c>
      <c r="E146" s="267">
        <f>'Проверочная  таблица'!EP37</f>
        <v>197611636.71000001</v>
      </c>
      <c r="F146" s="267">
        <f>'Проверочная  таблица'!ES37</f>
        <v>104137919.87</v>
      </c>
      <c r="G146" s="268">
        <f t="shared" si="57"/>
        <v>-82494836.710000008</v>
      </c>
      <c r="H146" s="249">
        <f t="shared" si="54"/>
        <v>0</v>
      </c>
      <c r="I146" s="249">
        <f t="shared" si="36"/>
        <v>1</v>
      </c>
    </row>
    <row r="147" spans="1:10" x14ac:dyDescent="0.25">
      <c r="A147" s="280"/>
      <c r="B147" s="317" t="s">
        <v>427</v>
      </c>
      <c r="C147" s="318"/>
      <c r="D147" s="268"/>
      <c r="E147" s="268"/>
      <c r="F147" s="268"/>
      <c r="G147" s="268">
        <f t="shared" si="57"/>
        <v>0</v>
      </c>
      <c r="H147" s="249">
        <f t="shared" si="54"/>
        <v>0</v>
      </c>
      <c r="I147" s="249">
        <f t="shared" si="36"/>
        <v>0</v>
      </c>
    </row>
    <row r="148" spans="1:10" x14ac:dyDescent="0.25">
      <c r="A148" s="280"/>
      <c r="B148" s="317" t="s">
        <v>428</v>
      </c>
      <c r="C148" s="318"/>
      <c r="D148" s="268">
        <f>D146-D147</f>
        <v>115116800</v>
      </c>
      <c r="E148" s="268">
        <f>E146-E147</f>
        <v>197611636.71000001</v>
      </c>
      <c r="F148" s="268">
        <f>F146-F147</f>
        <v>104137919.87</v>
      </c>
      <c r="G148" s="268">
        <f t="shared" si="57"/>
        <v>-82494836.710000008</v>
      </c>
      <c r="H148" s="249">
        <f t="shared" si="54"/>
        <v>0</v>
      </c>
      <c r="I148" s="249">
        <f t="shared" si="36"/>
        <v>1</v>
      </c>
    </row>
    <row r="149" spans="1:10" ht="178.5" x14ac:dyDescent="0.25">
      <c r="A149" s="1160"/>
      <c r="B149" s="1182" t="s">
        <v>1277</v>
      </c>
      <c r="C149" s="254" t="s">
        <v>1275</v>
      </c>
      <c r="D149" s="277">
        <v>37759000</v>
      </c>
      <c r="E149" s="273">
        <f>'Проверочная  таблица'!BU37</f>
        <v>903434729.78000009</v>
      </c>
      <c r="F149" s="273">
        <f>'Проверочная  таблица'!BX37</f>
        <v>0</v>
      </c>
      <c r="G149" s="257">
        <f t="shared" ref="G149" si="58">D149-E149</f>
        <v>-865675729.78000009</v>
      </c>
      <c r="H149" s="249">
        <f t="shared" ref="H149:H152" si="59">IF(F149&gt;E149,1,0)</f>
        <v>0</v>
      </c>
      <c r="I149" s="249">
        <f t="shared" ref="I149:I152" si="60">IF(G149&lt;0,1,0)</f>
        <v>1</v>
      </c>
      <c r="J149" s="301"/>
    </row>
    <row r="150" spans="1:10" x14ac:dyDescent="0.25">
      <c r="A150" s="310"/>
      <c r="B150" s="311" t="s">
        <v>427</v>
      </c>
      <c r="C150" s="312"/>
      <c r="D150" s="313"/>
      <c r="E150" s="313"/>
      <c r="F150" s="313"/>
      <c r="G150" s="313"/>
      <c r="H150" s="249">
        <f t="shared" si="59"/>
        <v>0</v>
      </c>
      <c r="I150" s="249">
        <f t="shared" si="60"/>
        <v>0</v>
      </c>
      <c r="J150" s="301"/>
    </row>
    <row r="151" spans="1:10" x14ac:dyDescent="0.25">
      <c r="A151" s="310"/>
      <c r="B151" s="311" t="s">
        <v>428</v>
      </c>
      <c r="C151" s="312"/>
      <c r="D151" s="313"/>
      <c r="E151" s="313"/>
      <c r="F151" s="313"/>
      <c r="G151" s="313"/>
      <c r="H151" s="249">
        <f t="shared" si="59"/>
        <v>0</v>
      </c>
      <c r="I151" s="249">
        <f t="shared" si="60"/>
        <v>0</v>
      </c>
      <c r="J151" s="301"/>
    </row>
    <row r="152" spans="1:10" x14ac:dyDescent="0.25">
      <c r="A152" s="310"/>
      <c r="B152" s="311" t="s">
        <v>444</v>
      </c>
      <c r="C152" s="312"/>
      <c r="D152" s="313">
        <f>D149</f>
        <v>37759000</v>
      </c>
      <c r="E152" s="313">
        <f t="shared" ref="E152:G152" si="61">E149</f>
        <v>903434729.78000009</v>
      </c>
      <c r="F152" s="313">
        <f t="shared" si="61"/>
        <v>0</v>
      </c>
      <c r="G152" s="313">
        <f t="shared" si="61"/>
        <v>-865675729.78000009</v>
      </c>
      <c r="H152" s="249">
        <f t="shared" si="59"/>
        <v>0</v>
      </c>
      <c r="I152" s="249">
        <f t="shared" si="60"/>
        <v>1</v>
      </c>
      <c r="J152" s="301"/>
    </row>
    <row r="153" spans="1:10" ht="178.5" x14ac:dyDescent="0.25">
      <c r="A153" s="252"/>
      <c r="B153" s="278" t="s">
        <v>486</v>
      </c>
      <c r="C153" s="254" t="s">
        <v>487</v>
      </c>
      <c r="D153" s="277">
        <f>335941000-20265000</f>
        <v>315676000</v>
      </c>
      <c r="E153" s="273">
        <f>'Проверочная  таблица'!BV37</f>
        <v>315676000</v>
      </c>
      <c r="F153" s="273">
        <f>'Проверочная  таблица'!BY37</f>
        <v>37574331.689999998</v>
      </c>
      <c r="G153" s="257">
        <f t="shared" si="57"/>
        <v>0</v>
      </c>
      <c r="H153" s="249">
        <f t="shared" si="54"/>
        <v>0</v>
      </c>
      <c r="I153" s="249">
        <f t="shared" si="36"/>
        <v>0</v>
      </c>
      <c r="J153" s="301"/>
    </row>
    <row r="154" spans="1:10" x14ac:dyDescent="0.25">
      <c r="A154" s="310"/>
      <c r="B154" s="311" t="s">
        <v>427</v>
      </c>
      <c r="C154" s="312"/>
      <c r="D154" s="313"/>
      <c r="E154" s="313"/>
      <c r="F154" s="313"/>
      <c r="G154" s="313"/>
      <c r="H154" s="249">
        <f t="shared" si="54"/>
        <v>0</v>
      </c>
      <c r="I154" s="249">
        <f t="shared" si="36"/>
        <v>0</v>
      </c>
      <c r="J154" s="301"/>
    </row>
    <row r="155" spans="1:10" x14ac:dyDescent="0.25">
      <c r="A155" s="310"/>
      <c r="B155" s="311" t="s">
        <v>428</v>
      </c>
      <c r="C155" s="312"/>
      <c r="D155" s="313"/>
      <c r="E155" s="313"/>
      <c r="F155" s="313"/>
      <c r="G155" s="313"/>
      <c r="H155" s="249">
        <f t="shared" si="54"/>
        <v>0</v>
      </c>
      <c r="I155" s="249">
        <f t="shared" si="36"/>
        <v>0</v>
      </c>
      <c r="J155" s="301"/>
    </row>
    <row r="156" spans="1:10" x14ac:dyDescent="0.25">
      <c r="A156" s="310"/>
      <c r="B156" s="311" t="s">
        <v>444</v>
      </c>
      <c r="C156" s="312"/>
      <c r="D156" s="313">
        <f>D153</f>
        <v>315676000</v>
      </c>
      <c r="E156" s="313">
        <f t="shared" ref="E156:G156" si="62">E153</f>
        <v>315676000</v>
      </c>
      <c r="F156" s="313">
        <f t="shared" si="62"/>
        <v>37574331.689999998</v>
      </c>
      <c r="G156" s="313">
        <f t="shared" si="62"/>
        <v>0</v>
      </c>
      <c r="H156" s="249">
        <f t="shared" si="54"/>
        <v>0</v>
      </c>
      <c r="I156" s="249">
        <f t="shared" si="36"/>
        <v>0</v>
      </c>
      <c r="J156" s="301"/>
    </row>
    <row r="157" spans="1:10" ht="153" x14ac:dyDescent="0.25">
      <c r="A157" s="329"/>
      <c r="B157" s="229" t="s">
        <v>488</v>
      </c>
      <c r="C157" s="254" t="s">
        <v>489</v>
      </c>
      <c r="D157" s="277">
        <v>25590065.600000001</v>
      </c>
      <c r="E157" s="273">
        <f>'Проверочная  таблица'!CI37</f>
        <v>251003026.90000001</v>
      </c>
      <c r="F157" s="273">
        <f>'Проверочная  таблица'!CL37</f>
        <v>0</v>
      </c>
      <c r="G157" s="257">
        <f t="shared" ref="G157" si="63">D157-E157</f>
        <v>-225412961.30000001</v>
      </c>
      <c r="H157" s="249">
        <f t="shared" si="54"/>
        <v>0</v>
      </c>
      <c r="I157" s="249">
        <f t="shared" si="36"/>
        <v>1</v>
      </c>
      <c r="J157" s="289"/>
    </row>
    <row r="158" spans="1:10" x14ac:dyDescent="0.25">
      <c r="A158" s="310"/>
      <c r="B158" s="321" t="s">
        <v>427</v>
      </c>
      <c r="C158" s="312"/>
      <c r="D158" s="342"/>
      <c r="E158" s="342"/>
      <c r="F158" s="342"/>
      <c r="G158" s="322">
        <f>D158-E158</f>
        <v>0</v>
      </c>
      <c r="H158" s="249">
        <f t="shared" si="54"/>
        <v>0</v>
      </c>
      <c r="I158" s="249">
        <f t="shared" si="36"/>
        <v>0</v>
      </c>
      <c r="J158" s="289"/>
    </row>
    <row r="159" spans="1:10" x14ac:dyDescent="0.25">
      <c r="A159" s="310"/>
      <c r="B159" s="321" t="s">
        <v>428</v>
      </c>
      <c r="C159" s="312"/>
      <c r="D159" s="322"/>
      <c r="E159" s="322"/>
      <c r="F159" s="322"/>
      <c r="G159" s="322">
        <f>D159-E159</f>
        <v>0</v>
      </c>
      <c r="H159" s="249">
        <f t="shared" si="54"/>
        <v>0</v>
      </c>
      <c r="I159" s="249">
        <f t="shared" si="36"/>
        <v>0</v>
      </c>
      <c r="J159" s="289"/>
    </row>
    <row r="160" spans="1:10" x14ac:dyDescent="0.25">
      <c r="A160" s="310"/>
      <c r="B160" s="321" t="s">
        <v>444</v>
      </c>
      <c r="C160" s="312"/>
      <c r="D160" s="322">
        <f>D157</f>
        <v>25590065.600000001</v>
      </c>
      <c r="E160" s="322">
        <f t="shared" ref="E160:F160" si="64">E157</f>
        <v>251003026.90000001</v>
      </c>
      <c r="F160" s="322">
        <f t="shared" si="64"/>
        <v>0</v>
      </c>
      <c r="G160" s="322">
        <f>D160-E160</f>
        <v>-225412961.30000001</v>
      </c>
      <c r="H160" s="249">
        <f t="shared" si="54"/>
        <v>0</v>
      </c>
      <c r="I160" s="249">
        <f t="shared" si="36"/>
        <v>1</v>
      </c>
      <c r="J160" s="289"/>
    </row>
    <row r="161" spans="1:10" ht="153" x14ac:dyDescent="0.25">
      <c r="A161" s="329"/>
      <c r="B161" s="229" t="s">
        <v>490</v>
      </c>
      <c r="C161" s="254" t="s">
        <v>491</v>
      </c>
      <c r="D161" s="277">
        <f>220534686.45-16685866</f>
        <v>203848820.44999999</v>
      </c>
      <c r="E161" s="273">
        <f>'Проверочная  таблица'!CJ37</f>
        <v>197889369.26000002</v>
      </c>
      <c r="F161" s="273">
        <f>'Проверочная  таблица'!CM37</f>
        <v>24139750.189999998</v>
      </c>
      <c r="G161" s="257">
        <f t="shared" ref="G161:G176" si="65">D161-E161</f>
        <v>5959451.1899999678</v>
      </c>
      <c r="H161" s="249">
        <f t="shared" si="54"/>
        <v>0</v>
      </c>
      <c r="I161" s="249">
        <f t="shared" si="36"/>
        <v>0</v>
      </c>
      <c r="J161" s="289"/>
    </row>
    <row r="162" spans="1:10" x14ac:dyDescent="0.25">
      <c r="A162" s="310"/>
      <c r="B162" s="321" t="s">
        <v>427</v>
      </c>
      <c r="C162" s="312"/>
      <c r="D162" s="342"/>
      <c r="E162" s="342"/>
      <c r="F162" s="342"/>
      <c r="G162" s="322">
        <f t="shared" si="65"/>
        <v>0</v>
      </c>
      <c r="H162" s="249">
        <f t="shared" si="54"/>
        <v>0</v>
      </c>
      <c r="I162" s="249">
        <f t="shared" si="36"/>
        <v>0</v>
      </c>
      <c r="J162" s="289"/>
    </row>
    <row r="163" spans="1:10" x14ac:dyDescent="0.25">
      <c r="A163" s="310"/>
      <c r="B163" s="321" t="s">
        <v>428</v>
      </c>
      <c r="C163" s="312"/>
      <c r="D163" s="322"/>
      <c r="E163" s="322"/>
      <c r="F163" s="322"/>
      <c r="G163" s="322">
        <f t="shared" si="65"/>
        <v>0</v>
      </c>
      <c r="H163" s="249">
        <f t="shared" si="54"/>
        <v>0</v>
      </c>
      <c r="I163" s="249">
        <f t="shared" si="36"/>
        <v>0</v>
      </c>
      <c r="J163" s="289"/>
    </row>
    <row r="164" spans="1:10" x14ac:dyDescent="0.25">
      <c r="A164" s="335"/>
      <c r="B164" s="321" t="s">
        <v>444</v>
      </c>
      <c r="C164" s="312"/>
      <c r="D164" s="322">
        <f>D161</f>
        <v>203848820.44999999</v>
      </c>
      <c r="E164" s="322">
        <f t="shared" ref="E164:F164" si="66">E161</f>
        <v>197889369.26000002</v>
      </c>
      <c r="F164" s="322">
        <f t="shared" si="66"/>
        <v>24139750.189999998</v>
      </c>
      <c r="G164" s="322">
        <f t="shared" si="65"/>
        <v>5959451.1899999678</v>
      </c>
      <c r="H164" s="249">
        <f t="shared" si="54"/>
        <v>0</v>
      </c>
      <c r="I164" s="249">
        <f t="shared" si="36"/>
        <v>0</v>
      </c>
      <c r="J164" s="289"/>
    </row>
    <row r="165" spans="1:10" ht="153" x14ac:dyDescent="0.25">
      <c r="A165" s="329"/>
      <c r="B165" s="229" t="s">
        <v>492</v>
      </c>
      <c r="C165" s="254" t="s">
        <v>493</v>
      </c>
      <c r="D165" s="277">
        <f>48483674.7+73238796.01+19000000+7572507.34</f>
        <v>148294978.05000001</v>
      </c>
      <c r="E165" s="273">
        <f>'Прочая  субсидия_МР  и  ГО'!V43</f>
        <v>148294978.05000001</v>
      </c>
      <c r="F165" s="273">
        <f>'Прочая  субсидия_МР  и  ГО'!W43</f>
        <v>77514154.359999999</v>
      </c>
      <c r="G165" s="257">
        <f t="shared" si="65"/>
        <v>0</v>
      </c>
      <c r="H165" s="249">
        <f t="shared" si="54"/>
        <v>0</v>
      </c>
      <c r="I165" s="249">
        <f t="shared" si="36"/>
        <v>0</v>
      </c>
      <c r="J165" s="289"/>
    </row>
    <row r="166" spans="1:10" x14ac:dyDescent="0.25">
      <c r="A166" s="310"/>
      <c r="B166" s="321" t="s">
        <v>427</v>
      </c>
      <c r="C166" s="312"/>
      <c r="D166" s="342"/>
      <c r="E166" s="342"/>
      <c r="F166" s="342"/>
      <c r="G166" s="322">
        <f t="shared" si="65"/>
        <v>0</v>
      </c>
      <c r="H166" s="249">
        <f t="shared" si="54"/>
        <v>0</v>
      </c>
      <c r="I166" s="249">
        <f t="shared" si="36"/>
        <v>0</v>
      </c>
      <c r="J166" s="289"/>
    </row>
    <row r="167" spans="1:10" x14ac:dyDescent="0.25">
      <c r="A167" s="310"/>
      <c r="B167" s="321" t="s">
        <v>428</v>
      </c>
      <c r="C167" s="312"/>
      <c r="D167" s="322"/>
      <c r="E167" s="322"/>
      <c r="F167" s="322"/>
      <c r="G167" s="322">
        <f t="shared" si="65"/>
        <v>0</v>
      </c>
      <c r="H167" s="249">
        <f t="shared" si="54"/>
        <v>0</v>
      </c>
      <c r="I167" s="249">
        <f t="shared" si="36"/>
        <v>0</v>
      </c>
      <c r="J167" s="289"/>
    </row>
    <row r="168" spans="1:10" x14ac:dyDescent="0.25">
      <c r="A168" s="310"/>
      <c r="B168" s="321" t="s">
        <v>444</v>
      </c>
      <c r="C168" s="312"/>
      <c r="D168" s="322">
        <f>D165</f>
        <v>148294978.05000001</v>
      </c>
      <c r="E168" s="322">
        <f t="shared" ref="E168:F168" si="67">E165</f>
        <v>148294978.05000001</v>
      </c>
      <c r="F168" s="322">
        <f t="shared" si="67"/>
        <v>77514154.359999999</v>
      </c>
      <c r="G168" s="322">
        <f t="shared" si="65"/>
        <v>0</v>
      </c>
      <c r="H168" s="249">
        <f t="shared" si="54"/>
        <v>0</v>
      </c>
      <c r="I168" s="249">
        <f t="shared" si="36"/>
        <v>0</v>
      </c>
      <c r="J168" s="289"/>
    </row>
    <row r="169" spans="1:10" ht="178.5" x14ac:dyDescent="0.25">
      <c r="A169" s="252"/>
      <c r="B169" s="278" t="s">
        <v>494</v>
      </c>
      <c r="C169" s="254" t="s">
        <v>495</v>
      </c>
      <c r="D169" s="277">
        <f>746047146.43+119628583.35+71340000+56076923.58+299000</f>
        <v>993391653.36000001</v>
      </c>
      <c r="E169" s="273">
        <f>'Проверочная  таблица'!AQ37</f>
        <v>993376703.36000001</v>
      </c>
      <c r="F169" s="273">
        <f>'Проверочная  таблица'!AT37</f>
        <v>303157465.58999997</v>
      </c>
      <c r="G169" s="257">
        <f t="shared" si="65"/>
        <v>14950</v>
      </c>
      <c r="H169" s="249">
        <f t="shared" si="54"/>
        <v>0</v>
      </c>
      <c r="I169" s="249">
        <f t="shared" si="36"/>
        <v>0</v>
      </c>
      <c r="J169" s="315"/>
    </row>
    <row r="170" spans="1:10" x14ac:dyDescent="0.25">
      <c r="A170" s="310"/>
      <c r="B170" s="311" t="s">
        <v>427</v>
      </c>
      <c r="C170" s="312"/>
      <c r="D170" s="313"/>
      <c r="E170" s="313"/>
      <c r="F170" s="313"/>
      <c r="G170" s="313">
        <f t="shared" si="65"/>
        <v>0</v>
      </c>
      <c r="H170" s="249">
        <f t="shared" si="54"/>
        <v>0</v>
      </c>
      <c r="I170" s="249">
        <f t="shared" si="36"/>
        <v>0</v>
      </c>
    </row>
    <row r="171" spans="1:10" x14ac:dyDescent="0.25">
      <c r="A171" s="310"/>
      <c r="B171" s="311" t="s">
        <v>428</v>
      </c>
      <c r="C171" s="312"/>
      <c r="D171" s="313">
        <f>D169-D170</f>
        <v>993391653.36000001</v>
      </c>
      <c r="E171" s="313">
        <f>E169-E170</f>
        <v>993376703.36000001</v>
      </c>
      <c r="F171" s="313">
        <f>F169-F170</f>
        <v>303157465.58999997</v>
      </c>
      <c r="G171" s="313">
        <f t="shared" si="65"/>
        <v>14950</v>
      </c>
      <c r="H171" s="249">
        <f t="shared" si="54"/>
        <v>0</v>
      </c>
      <c r="I171" s="249">
        <f t="shared" si="36"/>
        <v>0</v>
      </c>
    </row>
    <row r="172" spans="1:10" ht="178.5" x14ac:dyDescent="0.25">
      <c r="A172" s="1116"/>
      <c r="B172" s="343" t="s">
        <v>1261</v>
      </c>
      <c r="C172" s="254" t="s">
        <v>1260</v>
      </c>
      <c r="D172" s="277">
        <v>360000000</v>
      </c>
      <c r="E172" s="1119">
        <f>'Прочая  субсидия_МР  и  ГО'!X33</f>
        <v>360000000</v>
      </c>
      <c r="F172" s="1119">
        <f>'Прочая  субсидия_МР  и  ГО'!Y33</f>
        <v>305562281.93000001</v>
      </c>
      <c r="G172" s="257">
        <f t="shared" ref="G172" si="68">D172-E172</f>
        <v>0</v>
      </c>
      <c r="H172" s="249">
        <f t="shared" ref="H172:H174" si="69">IF(F172&gt;E172,1,0)</f>
        <v>0</v>
      </c>
      <c r="I172" s="249">
        <f t="shared" ref="I172:I174" si="70">IF(G172&lt;0,1,0)</f>
        <v>0</v>
      </c>
    </row>
    <row r="173" spans="1:10" x14ac:dyDescent="0.25">
      <c r="A173" s="310"/>
      <c r="B173" s="311" t="s">
        <v>427</v>
      </c>
      <c r="C173" s="312"/>
      <c r="D173" s="313"/>
      <c r="E173" s="313"/>
      <c r="F173" s="313"/>
      <c r="G173" s="313"/>
      <c r="H173" s="249">
        <f t="shared" si="69"/>
        <v>0</v>
      </c>
      <c r="I173" s="249">
        <f t="shared" si="70"/>
        <v>0</v>
      </c>
    </row>
    <row r="174" spans="1:10" x14ac:dyDescent="0.25">
      <c r="A174" s="310"/>
      <c r="B174" s="311" t="s">
        <v>428</v>
      </c>
      <c r="C174" s="312"/>
      <c r="D174" s="313"/>
      <c r="E174" s="313"/>
      <c r="F174" s="313"/>
      <c r="G174" s="313"/>
      <c r="H174" s="249">
        <f t="shared" si="69"/>
        <v>0</v>
      </c>
      <c r="I174" s="249">
        <f t="shared" si="70"/>
        <v>0</v>
      </c>
    </row>
    <row r="175" spans="1:10" x14ac:dyDescent="0.25">
      <c r="A175" s="335"/>
      <c r="B175" s="311" t="s">
        <v>444</v>
      </c>
      <c r="C175" s="312"/>
      <c r="D175" s="313">
        <f>D172</f>
        <v>360000000</v>
      </c>
      <c r="E175" s="313">
        <f t="shared" ref="E175:G175" si="71">E172</f>
        <v>360000000</v>
      </c>
      <c r="F175" s="313">
        <f t="shared" si="71"/>
        <v>305562281.93000001</v>
      </c>
      <c r="G175" s="313">
        <f t="shared" si="71"/>
        <v>0</v>
      </c>
      <c r="H175" s="249"/>
      <c r="I175" s="249"/>
    </row>
    <row r="176" spans="1:10" ht="191.25" x14ac:dyDescent="0.25">
      <c r="A176" s="252"/>
      <c r="B176" s="343" t="s">
        <v>496</v>
      </c>
      <c r="C176" s="254" t="s">
        <v>497</v>
      </c>
      <c r="D176" s="277">
        <f>225412961.3+440147472.1</f>
        <v>665560433.4000001</v>
      </c>
      <c r="E176" s="273">
        <f>'Прочая  субсидия_МР  и  ГО'!Z43</f>
        <v>665560433.4000001</v>
      </c>
      <c r="F176" s="273">
        <f>'Прочая  субсидия_МР  и  ГО'!AA43</f>
        <v>495646272.91999996</v>
      </c>
      <c r="G176" s="257">
        <f t="shared" si="65"/>
        <v>0</v>
      </c>
      <c r="H176" s="249">
        <f t="shared" si="54"/>
        <v>0</v>
      </c>
      <c r="I176" s="249">
        <f t="shared" ref="I176:I178" si="72">IF(G176&lt;0,1,0)</f>
        <v>0</v>
      </c>
    </row>
    <row r="177" spans="1:11" x14ac:dyDescent="0.25">
      <c r="A177" s="310"/>
      <c r="B177" s="311" t="s">
        <v>427</v>
      </c>
      <c r="C177" s="312"/>
      <c r="D177" s="313"/>
      <c r="E177" s="313"/>
      <c r="F177" s="313"/>
      <c r="G177" s="313"/>
      <c r="H177" s="249">
        <f t="shared" si="54"/>
        <v>0</v>
      </c>
      <c r="I177" s="249">
        <f t="shared" si="72"/>
        <v>0</v>
      </c>
    </row>
    <row r="178" spans="1:11" x14ac:dyDescent="0.25">
      <c r="A178" s="310"/>
      <c r="B178" s="311" t="s">
        <v>428</v>
      </c>
      <c r="C178" s="312"/>
      <c r="D178" s="313"/>
      <c r="E178" s="313"/>
      <c r="F178" s="313"/>
      <c r="G178" s="313"/>
      <c r="H178" s="249">
        <f t="shared" si="54"/>
        <v>0</v>
      </c>
      <c r="I178" s="249">
        <f t="shared" si="72"/>
        <v>0</v>
      </c>
    </row>
    <row r="179" spans="1:11" x14ac:dyDescent="0.25">
      <c r="A179" s="335"/>
      <c r="B179" s="311" t="s">
        <v>444</v>
      </c>
      <c r="C179" s="312"/>
      <c r="D179" s="313">
        <f>D176</f>
        <v>665560433.4000001</v>
      </c>
      <c r="E179" s="313">
        <f t="shared" ref="E179:G179" si="73">E176</f>
        <v>665560433.4000001</v>
      </c>
      <c r="F179" s="313">
        <f t="shared" si="73"/>
        <v>495646272.91999996</v>
      </c>
      <c r="G179" s="313">
        <f t="shared" si="73"/>
        <v>0</v>
      </c>
      <c r="H179" s="249"/>
      <c r="I179" s="249"/>
    </row>
    <row r="180" spans="1:11" ht="191.25" x14ac:dyDescent="0.25">
      <c r="A180" s="252"/>
      <c r="B180" s="278" t="s">
        <v>498</v>
      </c>
      <c r="C180" s="254" t="s">
        <v>499</v>
      </c>
      <c r="D180" s="277">
        <f>533752125.3+80770000+2730000</f>
        <v>617252125.29999995</v>
      </c>
      <c r="E180" s="273">
        <f>'Прочая  субсидия_МР  и  ГО'!AB43</f>
        <v>617252125.28999996</v>
      </c>
      <c r="F180" s="273">
        <f>'Прочая  субсидия_МР  и  ГО'!AC43</f>
        <v>397361522.48000002</v>
      </c>
      <c r="G180" s="257">
        <f t="shared" ref="G180" si="74">D180-E180</f>
        <v>9.9999904632568359E-3</v>
      </c>
      <c r="H180" s="249">
        <f t="shared" si="54"/>
        <v>0</v>
      </c>
      <c r="I180" s="249">
        <f t="shared" ref="I180:I182" si="75">IF(G180&lt;0,1,0)</f>
        <v>0</v>
      </c>
    </row>
    <row r="181" spans="1:11" x14ac:dyDescent="0.25">
      <c r="A181" s="310"/>
      <c r="B181" s="311" t="s">
        <v>427</v>
      </c>
      <c r="C181" s="312"/>
      <c r="D181" s="313"/>
      <c r="E181" s="313"/>
      <c r="F181" s="313"/>
      <c r="G181" s="313"/>
      <c r="H181" s="249">
        <f t="shared" si="54"/>
        <v>0</v>
      </c>
      <c r="I181" s="249">
        <f t="shared" si="75"/>
        <v>0</v>
      </c>
    </row>
    <row r="182" spans="1:11" x14ac:dyDescent="0.25">
      <c r="A182" s="310"/>
      <c r="B182" s="311" t="s">
        <v>428</v>
      </c>
      <c r="C182" s="312"/>
      <c r="D182" s="313"/>
      <c r="E182" s="313"/>
      <c r="F182" s="313"/>
      <c r="G182" s="313"/>
      <c r="H182" s="249">
        <f t="shared" si="54"/>
        <v>0</v>
      </c>
      <c r="I182" s="249">
        <f t="shared" si="75"/>
        <v>0</v>
      </c>
    </row>
    <row r="183" spans="1:11" x14ac:dyDescent="0.25">
      <c r="A183" s="335"/>
      <c r="B183" s="311" t="s">
        <v>444</v>
      </c>
      <c r="C183" s="312"/>
      <c r="D183" s="313">
        <f>D180</f>
        <v>617252125.29999995</v>
      </c>
      <c r="E183" s="313">
        <f t="shared" ref="E183:G183" si="76">E180</f>
        <v>617252125.28999996</v>
      </c>
      <c r="F183" s="313">
        <f t="shared" si="76"/>
        <v>397361522.48000002</v>
      </c>
      <c r="G183" s="313">
        <f t="shared" si="76"/>
        <v>9.9999904632568359E-3</v>
      </c>
      <c r="H183" s="249"/>
      <c r="I183" s="249"/>
    </row>
    <row r="184" spans="1:11" ht="165.75" x14ac:dyDescent="0.25">
      <c r="A184" s="252"/>
      <c r="B184" s="278" t="s">
        <v>500</v>
      </c>
      <c r="C184" s="254" t="s">
        <v>501</v>
      </c>
      <c r="D184" s="277">
        <f>742629.11+59676891.1+2326139.15-3652521.1</f>
        <v>59093138.259999998</v>
      </c>
      <c r="E184" s="273">
        <f>'Проверочная  таблица'!CO37</f>
        <v>1888529.1099999999</v>
      </c>
      <c r="F184" s="273">
        <f>'Проверочная  таблица'!CV37</f>
        <v>333023.57999999996</v>
      </c>
      <c r="G184" s="257">
        <f t="shared" ref="G184:G202" si="77">D184-E184</f>
        <v>57204609.149999999</v>
      </c>
      <c r="H184" s="249">
        <f t="shared" ref="H184:H202" si="78">IF(F184&gt;E184,1,0)</f>
        <v>0</v>
      </c>
      <c r="I184" s="249">
        <f t="shared" ref="I184:I208" si="79">IF(G184&lt;0,1,0)</f>
        <v>0</v>
      </c>
      <c r="J184" s="315">
        <f>D184+D187</f>
        <v>125304130.20999998</v>
      </c>
      <c r="K184" s="1254">
        <f>G184+G187</f>
        <v>101401436.52999999</v>
      </c>
    </row>
    <row r="185" spans="1:11" x14ac:dyDescent="0.25">
      <c r="A185" s="310"/>
      <c r="B185" s="311" t="s">
        <v>427</v>
      </c>
      <c r="C185" s="312"/>
      <c r="D185" s="313"/>
      <c r="E185" s="313"/>
      <c r="F185" s="313"/>
      <c r="G185" s="313">
        <f t="shared" si="77"/>
        <v>0</v>
      </c>
      <c r="H185" s="249">
        <f t="shared" si="78"/>
        <v>0</v>
      </c>
      <c r="I185" s="249">
        <f t="shared" si="79"/>
        <v>0</v>
      </c>
    </row>
    <row r="186" spans="1:11" x14ac:dyDescent="0.25">
      <c r="A186" s="310"/>
      <c r="B186" s="311" t="s">
        <v>428</v>
      </c>
      <c r="C186" s="312"/>
      <c r="D186" s="313">
        <f>D184-D185</f>
        <v>59093138.259999998</v>
      </c>
      <c r="E186" s="313">
        <f>E184-E185</f>
        <v>1888529.1099999999</v>
      </c>
      <c r="F186" s="313">
        <f>F184-F185</f>
        <v>333023.57999999996</v>
      </c>
      <c r="G186" s="313">
        <f t="shared" si="77"/>
        <v>57204609.149999999</v>
      </c>
      <c r="H186" s="249">
        <f t="shared" si="78"/>
        <v>0</v>
      </c>
      <c r="I186" s="249">
        <f t="shared" si="79"/>
        <v>0</v>
      </c>
      <c r="K186" s="1254"/>
    </row>
    <row r="187" spans="1:11" x14ac:dyDescent="0.25">
      <c r="A187" s="280"/>
      <c r="B187" s="264" t="s">
        <v>396</v>
      </c>
      <c r="C187" s="281" t="s">
        <v>502</v>
      </c>
      <c r="D187" s="316">
        <f>243864.57+91170000+44196827.38-69399700</f>
        <v>66210991.949999988</v>
      </c>
      <c r="E187" s="267">
        <f>'Проверочная  таблица'!CP37</f>
        <v>22014164.57</v>
      </c>
      <c r="F187" s="267">
        <f>'Проверочная  таблица'!CW37</f>
        <v>6326925.6400000006</v>
      </c>
      <c r="G187" s="268">
        <f t="shared" si="77"/>
        <v>44196827.379999988</v>
      </c>
      <c r="H187" s="249">
        <f t="shared" si="78"/>
        <v>0</v>
      </c>
      <c r="I187" s="249">
        <f t="shared" si="79"/>
        <v>0</v>
      </c>
      <c r="K187" s="1254"/>
    </row>
    <row r="188" spans="1:11" x14ac:dyDescent="0.25">
      <c r="A188" s="280"/>
      <c r="B188" s="317" t="s">
        <v>427</v>
      </c>
      <c r="C188" s="318"/>
      <c r="D188" s="268"/>
      <c r="E188" s="268"/>
      <c r="F188" s="268"/>
      <c r="G188" s="268">
        <f t="shared" si="77"/>
        <v>0</v>
      </c>
      <c r="H188" s="249">
        <f t="shared" si="78"/>
        <v>0</v>
      </c>
      <c r="I188" s="249">
        <f t="shared" si="79"/>
        <v>0</v>
      </c>
    </row>
    <row r="189" spans="1:11" x14ac:dyDescent="0.25">
      <c r="A189" s="280"/>
      <c r="B189" s="317" t="s">
        <v>428</v>
      </c>
      <c r="C189" s="318"/>
      <c r="D189" s="268">
        <f>D187-D188</f>
        <v>66210991.949999988</v>
      </c>
      <c r="E189" s="268">
        <f>E187-E188</f>
        <v>22014164.57</v>
      </c>
      <c r="F189" s="268">
        <f>F187-F188</f>
        <v>6326925.6400000006</v>
      </c>
      <c r="G189" s="268">
        <f t="shared" si="77"/>
        <v>44196827.379999988</v>
      </c>
      <c r="H189" s="249">
        <f t="shared" si="78"/>
        <v>0</v>
      </c>
      <c r="I189" s="249">
        <f t="shared" si="79"/>
        <v>0</v>
      </c>
    </row>
    <row r="190" spans="1:11" ht="114.75" x14ac:dyDescent="0.25">
      <c r="A190" s="252"/>
      <c r="B190" s="278" t="s">
        <v>503</v>
      </c>
      <c r="C190" s="254" t="s">
        <v>504</v>
      </c>
      <c r="D190" s="277">
        <f>1850000+22785769+2883576.28-768000</f>
        <v>26751345.280000001</v>
      </c>
      <c r="E190" s="273">
        <f>'Проверочная  таблица'!CS37</f>
        <v>10692264.01</v>
      </c>
      <c r="F190" s="273">
        <f>'Проверочная  таблица'!CZ37</f>
        <v>3488418.57</v>
      </c>
      <c r="G190" s="257">
        <f t="shared" si="77"/>
        <v>16059081.270000001</v>
      </c>
      <c r="H190" s="249">
        <f t="shared" si="78"/>
        <v>0</v>
      </c>
      <c r="I190" s="249">
        <f t="shared" si="79"/>
        <v>0</v>
      </c>
      <c r="J190" s="315">
        <f>D190+D193</f>
        <v>153989323.89000002</v>
      </c>
      <c r="K190" s="1254">
        <f>G190+G193</f>
        <v>67951316.680000007</v>
      </c>
    </row>
    <row r="191" spans="1:11" x14ac:dyDescent="0.25">
      <c r="A191" s="310"/>
      <c r="B191" s="311" t="s">
        <v>427</v>
      </c>
      <c r="C191" s="312"/>
      <c r="D191" s="313"/>
      <c r="E191" s="313"/>
      <c r="F191" s="313"/>
      <c r="G191" s="313">
        <f t="shared" si="77"/>
        <v>0</v>
      </c>
      <c r="H191" s="249">
        <f t="shared" si="78"/>
        <v>0</v>
      </c>
      <c r="I191" s="249">
        <f t="shared" si="79"/>
        <v>0</v>
      </c>
      <c r="K191" s="1254"/>
    </row>
    <row r="192" spans="1:11" x14ac:dyDescent="0.25">
      <c r="A192" s="310"/>
      <c r="B192" s="311" t="s">
        <v>428</v>
      </c>
      <c r="C192" s="312"/>
      <c r="D192" s="313">
        <f>D190-D191</f>
        <v>26751345.280000001</v>
      </c>
      <c r="E192" s="313">
        <f>E190-E191</f>
        <v>10692264.01</v>
      </c>
      <c r="F192" s="313">
        <f>F190-F191</f>
        <v>3488418.57</v>
      </c>
      <c r="G192" s="313">
        <f t="shared" si="77"/>
        <v>16059081.270000001</v>
      </c>
      <c r="H192" s="249">
        <f t="shared" si="78"/>
        <v>0</v>
      </c>
      <c r="I192" s="249">
        <f t="shared" si="79"/>
        <v>0</v>
      </c>
    </row>
    <row r="193" spans="1:11" x14ac:dyDescent="0.25">
      <c r="A193" s="280"/>
      <c r="B193" s="264" t="s">
        <v>396</v>
      </c>
      <c r="C193" s="281" t="s">
        <v>504</v>
      </c>
      <c r="D193" s="316">
        <f>35150000+106680178.61-14592200</f>
        <v>127237978.61000001</v>
      </c>
      <c r="E193" s="267">
        <f>'Проверочная  таблица'!CT37</f>
        <v>75345743.200000003</v>
      </c>
      <c r="F193" s="267">
        <f>'Проверочная  таблица'!DA37</f>
        <v>66279834.93</v>
      </c>
      <c r="G193" s="268">
        <f t="shared" si="77"/>
        <v>51892235.410000011</v>
      </c>
      <c r="H193" s="249">
        <f t="shared" si="78"/>
        <v>0</v>
      </c>
      <c r="I193" s="249">
        <f t="shared" si="79"/>
        <v>0</v>
      </c>
      <c r="K193" s="1254"/>
    </row>
    <row r="194" spans="1:11" x14ac:dyDescent="0.25">
      <c r="A194" s="280"/>
      <c r="B194" s="317" t="s">
        <v>427</v>
      </c>
      <c r="C194" s="318"/>
      <c r="D194" s="268"/>
      <c r="E194" s="268"/>
      <c r="F194" s="268"/>
      <c r="G194" s="268">
        <f t="shared" si="77"/>
        <v>0</v>
      </c>
      <c r="H194" s="249">
        <f t="shared" si="78"/>
        <v>0</v>
      </c>
      <c r="I194" s="249">
        <f t="shared" si="79"/>
        <v>0</v>
      </c>
    </row>
    <row r="195" spans="1:11" x14ac:dyDescent="0.25">
      <c r="A195" s="280"/>
      <c r="B195" s="317" t="s">
        <v>428</v>
      </c>
      <c r="C195" s="318"/>
      <c r="D195" s="268">
        <f>D193-D194</f>
        <v>127237978.61000001</v>
      </c>
      <c r="E195" s="268">
        <f>E193-E194</f>
        <v>75345743.200000003</v>
      </c>
      <c r="F195" s="268">
        <f>F193-F194</f>
        <v>66279834.93</v>
      </c>
      <c r="G195" s="268">
        <f t="shared" si="77"/>
        <v>51892235.410000011</v>
      </c>
      <c r="H195" s="249">
        <f t="shared" si="78"/>
        <v>0</v>
      </c>
      <c r="I195" s="249">
        <f t="shared" si="79"/>
        <v>0</v>
      </c>
    </row>
    <row r="196" spans="1:11" ht="178.5" x14ac:dyDescent="0.25">
      <c r="A196" s="329"/>
      <c r="B196" s="229" t="s">
        <v>505</v>
      </c>
      <c r="C196" s="254" t="s">
        <v>506</v>
      </c>
      <c r="D196" s="277">
        <v>20000000</v>
      </c>
      <c r="E196" s="273">
        <f>'Прочая  субсидия_МР  и  ГО'!AN43</f>
        <v>20000000</v>
      </c>
      <c r="F196" s="273">
        <f>'Прочая  субсидия_МР  и  ГО'!AO43</f>
        <v>0</v>
      </c>
      <c r="G196" s="257">
        <f t="shared" si="77"/>
        <v>0</v>
      </c>
      <c r="H196" s="249">
        <f t="shared" si="78"/>
        <v>0</v>
      </c>
      <c r="I196" s="249">
        <f t="shared" si="79"/>
        <v>0</v>
      </c>
    </row>
    <row r="197" spans="1:11" x14ac:dyDescent="0.25">
      <c r="A197" s="310"/>
      <c r="B197" s="311" t="s">
        <v>427</v>
      </c>
      <c r="C197" s="312"/>
      <c r="D197" s="314"/>
      <c r="E197" s="314"/>
      <c r="F197" s="314"/>
      <c r="G197" s="313">
        <f t="shared" si="77"/>
        <v>0</v>
      </c>
      <c r="H197" s="249">
        <f t="shared" si="78"/>
        <v>0</v>
      </c>
      <c r="I197" s="249">
        <f t="shared" si="79"/>
        <v>0</v>
      </c>
    </row>
    <row r="198" spans="1:11" x14ac:dyDescent="0.25">
      <c r="A198" s="310"/>
      <c r="B198" s="311" t="s">
        <v>428</v>
      </c>
      <c r="C198" s="312"/>
      <c r="D198" s="313">
        <f>D196</f>
        <v>20000000</v>
      </c>
      <c r="E198" s="313">
        <f t="shared" ref="E198:F198" si="80">E196</f>
        <v>20000000</v>
      </c>
      <c r="F198" s="313">
        <f t="shared" si="80"/>
        <v>0</v>
      </c>
      <c r="G198" s="313">
        <f t="shared" si="77"/>
        <v>0</v>
      </c>
      <c r="H198" s="249">
        <f t="shared" si="78"/>
        <v>0</v>
      </c>
      <c r="I198" s="249">
        <f t="shared" si="79"/>
        <v>0</v>
      </c>
    </row>
    <row r="199" spans="1:11" ht="178.5" x14ac:dyDescent="0.25">
      <c r="A199" s="252"/>
      <c r="B199" s="344" t="s">
        <v>507</v>
      </c>
      <c r="C199" s="254" t="s">
        <v>508</v>
      </c>
      <c r="D199" s="345">
        <f>5000000+9532828.63</f>
        <v>14532828.630000001</v>
      </c>
      <c r="E199" s="273">
        <f>'Прочая  субсидия_МР  и  ГО'!AR43</f>
        <v>14532828.629999999</v>
      </c>
      <c r="F199" s="273">
        <f>'Прочая  субсидия_МР  и  ГО'!AS43</f>
        <v>4432850.33</v>
      </c>
      <c r="G199" s="257">
        <f t="shared" si="77"/>
        <v>0</v>
      </c>
      <c r="H199" s="249">
        <f t="shared" si="78"/>
        <v>0</v>
      </c>
      <c r="I199" s="249">
        <f t="shared" si="79"/>
        <v>0</v>
      </c>
    </row>
    <row r="200" spans="1:11" x14ac:dyDescent="0.25">
      <c r="A200" s="310"/>
      <c r="B200" s="311" t="s">
        <v>427</v>
      </c>
      <c r="C200" s="346"/>
      <c r="D200" s="313"/>
      <c r="E200" s="313"/>
      <c r="F200" s="313"/>
      <c r="G200" s="313">
        <f t="shared" si="77"/>
        <v>0</v>
      </c>
      <c r="H200" s="249">
        <f t="shared" si="78"/>
        <v>0</v>
      </c>
      <c r="I200" s="249">
        <f t="shared" si="79"/>
        <v>0</v>
      </c>
    </row>
    <row r="201" spans="1:11" x14ac:dyDescent="0.25">
      <c r="A201" s="310"/>
      <c r="B201" s="311" t="s">
        <v>428</v>
      </c>
      <c r="C201" s="312"/>
      <c r="D201" s="313"/>
      <c r="E201" s="313"/>
      <c r="F201" s="313"/>
      <c r="G201" s="313">
        <f t="shared" si="77"/>
        <v>0</v>
      </c>
      <c r="H201" s="249">
        <f t="shared" si="78"/>
        <v>0</v>
      </c>
      <c r="I201" s="249">
        <f t="shared" si="79"/>
        <v>0</v>
      </c>
    </row>
    <row r="202" spans="1:11" x14ac:dyDescent="0.25">
      <c r="A202" s="310"/>
      <c r="B202" s="311" t="s">
        <v>444</v>
      </c>
      <c r="C202" s="312"/>
      <c r="D202" s="313">
        <f>D199</f>
        <v>14532828.630000001</v>
      </c>
      <c r="E202" s="313">
        <f t="shared" ref="E202:F202" si="81">E199</f>
        <v>14532828.629999999</v>
      </c>
      <c r="F202" s="313">
        <f t="shared" si="81"/>
        <v>4432850.33</v>
      </c>
      <c r="G202" s="313">
        <f t="shared" si="77"/>
        <v>0</v>
      </c>
      <c r="H202" s="249">
        <f t="shared" si="78"/>
        <v>0</v>
      </c>
      <c r="I202" s="249">
        <f t="shared" si="79"/>
        <v>0</v>
      </c>
    </row>
    <row r="203" spans="1:11" x14ac:dyDescent="0.25">
      <c r="A203" s="252"/>
      <c r="B203" s="338"/>
      <c r="C203" s="339"/>
      <c r="D203" s="340"/>
      <c r="E203" s="340"/>
      <c r="F203" s="340"/>
      <c r="G203" s="340"/>
      <c r="H203" s="249"/>
      <c r="I203" s="249">
        <f t="shared" si="79"/>
        <v>0</v>
      </c>
    </row>
    <row r="204" spans="1:11" x14ac:dyDescent="0.25">
      <c r="A204" s="245" t="s">
        <v>10</v>
      </c>
      <c r="B204" s="246" t="s">
        <v>387</v>
      </c>
      <c r="C204" s="274"/>
      <c r="D204" s="275">
        <f>D217+D221+D225+D229+D232+D235+D238+D241+D209+D213</f>
        <v>872786199.11000001</v>
      </c>
      <c r="E204" s="275">
        <f t="shared" ref="E204:G206" si="82">E217+E221+E225+E229+E232+E235+E238+E241+E209+E213</f>
        <v>1133493168.96</v>
      </c>
      <c r="F204" s="275">
        <f t="shared" si="82"/>
        <v>669297465.54999995</v>
      </c>
      <c r="G204" s="275">
        <f t="shared" si="82"/>
        <v>-260706969.85000002</v>
      </c>
      <c r="H204" s="249">
        <f t="shared" ref="H204:H212" si="83">IF(F204&gt;E204,1,0)</f>
        <v>0</v>
      </c>
      <c r="I204" s="249">
        <f t="shared" si="79"/>
        <v>1</v>
      </c>
    </row>
    <row r="205" spans="1:11" x14ac:dyDescent="0.25">
      <c r="A205" s="304"/>
      <c r="B205" s="305" t="s">
        <v>427</v>
      </c>
      <c r="C205" s="306"/>
      <c r="D205" s="319">
        <f>D218+D222+D226+D230+D233+D236+D239+D242+D210+D214</f>
        <v>36640089.469999999</v>
      </c>
      <c r="E205" s="319">
        <f t="shared" si="82"/>
        <v>36640089.469999999</v>
      </c>
      <c r="F205" s="319">
        <f t="shared" si="82"/>
        <v>11008153.310000001</v>
      </c>
      <c r="G205" s="319">
        <f t="shared" si="82"/>
        <v>0</v>
      </c>
      <c r="H205" s="249">
        <f t="shared" si="83"/>
        <v>0</v>
      </c>
      <c r="I205" s="249">
        <f t="shared" si="79"/>
        <v>0</v>
      </c>
    </row>
    <row r="206" spans="1:11" x14ac:dyDescent="0.25">
      <c r="A206" s="304"/>
      <c r="B206" s="305" t="s">
        <v>428</v>
      </c>
      <c r="C206" s="306"/>
      <c r="D206" s="319">
        <f>D219+D223+D227+D231+D234+D237+D240+D243+D211+D215</f>
        <v>0</v>
      </c>
      <c r="E206" s="319">
        <f t="shared" si="82"/>
        <v>0</v>
      </c>
      <c r="F206" s="319">
        <f t="shared" si="82"/>
        <v>0</v>
      </c>
      <c r="G206" s="319">
        <f t="shared" si="82"/>
        <v>0</v>
      </c>
      <c r="H206" s="249">
        <f t="shared" si="83"/>
        <v>0</v>
      </c>
      <c r="I206" s="249">
        <f t="shared" si="79"/>
        <v>0</v>
      </c>
    </row>
    <row r="207" spans="1:11" x14ac:dyDescent="0.25">
      <c r="A207" s="304"/>
      <c r="B207" s="341" t="s">
        <v>444</v>
      </c>
      <c r="C207" s="306"/>
      <c r="D207" s="319">
        <f>D204-D205-D206</f>
        <v>836146109.63999999</v>
      </c>
      <c r="E207" s="319">
        <f t="shared" ref="E207:G207" si="84">E204-E205-E206</f>
        <v>1096853079.49</v>
      </c>
      <c r="F207" s="319">
        <f t="shared" si="84"/>
        <v>658289312.24000001</v>
      </c>
      <c r="G207" s="319">
        <f t="shared" si="84"/>
        <v>-260706969.85000002</v>
      </c>
      <c r="H207" s="249">
        <f t="shared" si="83"/>
        <v>0</v>
      </c>
      <c r="I207" s="249">
        <f t="shared" si="79"/>
        <v>1</v>
      </c>
    </row>
    <row r="208" spans="1:11" x14ac:dyDescent="0.25">
      <c r="A208" s="252"/>
      <c r="B208" s="238" t="s">
        <v>375</v>
      </c>
      <c r="C208" s="276"/>
      <c r="D208" s="277"/>
      <c r="E208" s="273"/>
      <c r="F208" s="273"/>
      <c r="G208" s="257"/>
      <c r="H208" s="249">
        <f t="shared" si="83"/>
        <v>0</v>
      </c>
      <c r="I208" s="249">
        <f t="shared" si="79"/>
        <v>0</v>
      </c>
    </row>
    <row r="209" spans="1:10" ht="127.5" x14ac:dyDescent="0.25">
      <c r="A209" s="252"/>
      <c r="B209" s="344" t="s">
        <v>509</v>
      </c>
      <c r="C209" s="254" t="s">
        <v>510</v>
      </c>
      <c r="D209" s="345">
        <f>930556.57+731151.52</f>
        <v>1661708.0899999999</v>
      </c>
      <c r="E209" s="273">
        <f>'Проверочная  таблица'!HK38</f>
        <v>10524052.469999988</v>
      </c>
      <c r="F209" s="273">
        <f>'Проверочная  таблица'!HN38</f>
        <v>1661708.0899999999</v>
      </c>
      <c r="G209" s="257">
        <f t="shared" ref="G209:G213" si="85">D209-E209</f>
        <v>-8862344.3799999878</v>
      </c>
      <c r="H209" s="249">
        <f t="shared" si="83"/>
        <v>0</v>
      </c>
      <c r="I209" s="249">
        <f>IF(G209&lt;0,1,0)</f>
        <v>1</v>
      </c>
      <c r="J209" s="315">
        <f>D209+D213</f>
        <v>166170808.09</v>
      </c>
    </row>
    <row r="210" spans="1:10" x14ac:dyDescent="0.25">
      <c r="A210" s="310"/>
      <c r="B210" s="311" t="s">
        <v>427</v>
      </c>
      <c r="C210" s="346"/>
      <c r="D210" s="313"/>
      <c r="E210" s="313"/>
      <c r="F210" s="313"/>
      <c r="G210" s="313">
        <f t="shared" si="85"/>
        <v>0</v>
      </c>
      <c r="H210" s="249">
        <f t="shared" si="83"/>
        <v>0</v>
      </c>
      <c r="I210" s="249">
        <f>IF(G210&lt;0,1,0)</f>
        <v>0</v>
      </c>
    </row>
    <row r="211" spans="1:10" x14ac:dyDescent="0.25">
      <c r="A211" s="310"/>
      <c r="B211" s="311" t="s">
        <v>428</v>
      </c>
      <c r="C211" s="312"/>
      <c r="D211" s="313"/>
      <c r="E211" s="313"/>
      <c r="F211" s="313"/>
      <c r="G211" s="313">
        <f t="shared" si="85"/>
        <v>0</v>
      </c>
      <c r="H211" s="249">
        <f t="shared" si="83"/>
        <v>0</v>
      </c>
      <c r="I211" s="249">
        <f>IF(G211&lt;0,1,0)</f>
        <v>0</v>
      </c>
      <c r="J211" s="315"/>
    </row>
    <row r="212" spans="1:10" x14ac:dyDescent="0.25">
      <c r="A212" s="310"/>
      <c r="B212" s="347" t="s">
        <v>444</v>
      </c>
      <c r="C212" s="312"/>
      <c r="D212" s="313">
        <f>D209</f>
        <v>1661708.0899999999</v>
      </c>
      <c r="E212" s="313">
        <f t="shared" ref="E212:F212" si="86">E209</f>
        <v>10524052.469999988</v>
      </c>
      <c r="F212" s="313">
        <f t="shared" si="86"/>
        <v>1661708.0899999999</v>
      </c>
      <c r="G212" s="313">
        <f t="shared" si="85"/>
        <v>-8862344.3799999878</v>
      </c>
      <c r="H212" s="249">
        <f t="shared" si="83"/>
        <v>0</v>
      </c>
      <c r="I212" s="249">
        <f t="shared" ref="I212:I220" si="87">IF(G212&lt;0,1,0)</f>
        <v>1</v>
      </c>
    </row>
    <row r="213" spans="1:10" x14ac:dyDescent="0.25">
      <c r="A213" s="280"/>
      <c r="B213" s="264" t="s">
        <v>396</v>
      </c>
      <c r="C213" s="281" t="s">
        <v>510</v>
      </c>
      <c r="D213" s="316">
        <f>92125100+72384000</f>
        <v>164509100</v>
      </c>
      <c r="E213" s="267">
        <f>'Проверочная  таблица'!HL38</f>
        <v>167793311.36000001</v>
      </c>
      <c r="F213" s="267">
        <f>'Проверочная  таблица'!HO38</f>
        <v>164509100</v>
      </c>
      <c r="G213" s="268">
        <f t="shared" si="85"/>
        <v>-3284211.3600000143</v>
      </c>
      <c r="H213" s="249">
        <f>IF(F213&gt;E213,1,0)</f>
        <v>0</v>
      </c>
      <c r="I213" s="249">
        <f t="shared" si="87"/>
        <v>1</v>
      </c>
    </row>
    <row r="214" spans="1:10" x14ac:dyDescent="0.25">
      <c r="A214" s="280"/>
      <c r="B214" s="317" t="s">
        <v>427</v>
      </c>
      <c r="C214" s="318"/>
      <c r="D214" s="268"/>
      <c r="E214" s="268"/>
      <c r="F214" s="268"/>
      <c r="G214" s="268">
        <f>D214-E214</f>
        <v>0</v>
      </c>
      <c r="H214" s="249">
        <f>IF(F214&gt;E214,1,0)</f>
        <v>0</v>
      </c>
      <c r="I214" s="249">
        <f t="shared" si="87"/>
        <v>0</v>
      </c>
    </row>
    <row r="215" spans="1:10" x14ac:dyDescent="0.25">
      <c r="A215" s="280"/>
      <c r="B215" s="317" t="s">
        <v>428</v>
      </c>
      <c r="C215" s="318"/>
      <c r="D215" s="268"/>
      <c r="E215" s="268"/>
      <c r="F215" s="268"/>
      <c r="G215" s="268">
        <f>D215-E215</f>
        <v>0</v>
      </c>
      <c r="H215" s="249">
        <f>IF(F215&gt;E215,1,0)</f>
        <v>0</v>
      </c>
      <c r="I215" s="249">
        <f t="shared" si="87"/>
        <v>0</v>
      </c>
    </row>
    <row r="216" spans="1:10" x14ac:dyDescent="0.25">
      <c r="A216" s="280"/>
      <c r="B216" s="317" t="s">
        <v>444</v>
      </c>
      <c r="C216" s="318"/>
      <c r="D216" s="268">
        <f>D213</f>
        <v>164509100</v>
      </c>
      <c r="E216" s="268">
        <f t="shared" ref="E216:F216" si="88">E213</f>
        <v>167793311.36000001</v>
      </c>
      <c r="F216" s="268">
        <f t="shared" si="88"/>
        <v>164509100</v>
      </c>
      <c r="G216" s="268">
        <f>D216-E216</f>
        <v>-3284211.3600000143</v>
      </c>
      <c r="H216" s="249">
        <f>IF(F216&gt;E216,1,0)</f>
        <v>0</v>
      </c>
      <c r="I216" s="249">
        <f t="shared" si="87"/>
        <v>1</v>
      </c>
    </row>
    <row r="217" spans="1:10" ht="102" x14ac:dyDescent="0.25">
      <c r="A217" s="252"/>
      <c r="B217" s="344" t="s">
        <v>511</v>
      </c>
      <c r="C217" s="254" t="s">
        <v>512</v>
      </c>
      <c r="D217" s="345">
        <v>14336029.98</v>
      </c>
      <c r="E217" s="273">
        <f>'Проверочная  таблица'!OK38</f>
        <v>118336029.97999999</v>
      </c>
      <c r="F217" s="273">
        <f>'Проверочная  таблица'!OO38</f>
        <v>11652643.6</v>
      </c>
      <c r="G217" s="257">
        <f t="shared" ref="G217:G221" si="89">D217-E217</f>
        <v>-103999999.99999999</v>
      </c>
      <c r="H217" s="249">
        <f t="shared" ref="H217:H220" si="90">IF(F217&gt;E217,1,0)</f>
        <v>0</v>
      </c>
      <c r="I217" s="249">
        <f t="shared" si="87"/>
        <v>1</v>
      </c>
      <c r="J217" s="315">
        <f>D217+D221</f>
        <v>286720529.98000002</v>
      </c>
    </row>
    <row r="218" spans="1:10" x14ac:dyDescent="0.25">
      <c r="A218" s="310"/>
      <c r="B218" s="311" t="s">
        <v>427</v>
      </c>
      <c r="C218" s="346"/>
      <c r="D218" s="313"/>
      <c r="E218" s="313"/>
      <c r="F218" s="313"/>
      <c r="G218" s="313">
        <f t="shared" si="89"/>
        <v>0</v>
      </c>
      <c r="H218" s="249">
        <f t="shared" si="90"/>
        <v>0</v>
      </c>
      <c r="I218" s="249">
        <f t="shared" si="87"/>
        <v>0</v>
      </c>
    </row>
    <row r="219" spans="1:10" x14ac:dyDescent="0.25">
      <c r="A219" s="310"/>
      <c r="B219" s="311" t="s">
        <v>428</v>
      </c>
      <c r="C219" s="312"/>
      <c r="D219" s="313"/>
      <c r="E219" s="313"/>
      <c r="F219" s="313"/>
      <c r="G219" s="313">
        <f t="shared" si="89"/>
        <v>0</v>
      </c>
      <c r="H219" s="249">
        <f t="shared" si="90"/>
        <v>0</v>
      </c>
      <c r="I219" s="249">
        <f t="shared" si="87"/>
        <v>0</v>
      </c>
      <c r="J219" s="315"/>
    </row>
    <row r="220" spans="1:10" x14ac:dyDescent="0.25">
      <c r="A220" s="310"/>
      <c r="B220" s="347" t="s">
        <v>444</v>
      </c>
      <c r="C220" s="312"/>
      <c r="D220" s="313">
        <f>D217</f>
        <v>14336029.98</v>
      </c>
      <c r="E220" s="313">
        <f t="shared" ref="E220:F220" si="91">E217</f>
        <v>118336029.97999999</v>
      </c>
      <c r="F220" s="313">
        <f t="shared" si="91"/>
        <v>11652643.6</v>
      </c>
      <c r="G220" s="313">
        <f t="shared" si="89"/>
        <v>-103999999.99999999</v>
      </c>
      <c r="H220" s="249">
        <f t="shared" si="90"/>
        <v>0</v>
      </c>
      <c r="I220" s="249">
        <f t="shared" si="87"/>
        <v>1</v>
      </c>
    </row>
    <row r="221" spans="1:10" x14ac:dyDescent="0.25">
      <c r="A221" s="280"/>
      <c r="B221" s="264" t="s">
        <v>396</v>
      </c>
      <c r="C221" s="281" t="s">
        <v>512</v>
      </c>
      <c r="D221" s="316">
        <v>272384500</v>
      </c>
      <c r="E221" s="267">
        <f>'Проверочная  таблица'!OL38</f>
        <v>416944914.11000001</v>
      </c>
      <c r="F221" s="267">
        <f>'Проверочная  таблица'!OP38</f>
        <v>221400172.02000001</v>
      </c>
      <c r="G221" s="268">
        <f t="shared" si="89"/>
        <v>-144560414.11000001</v>
      </c>
      <c r="H221" s="249">
        <f>IF(F221&gt;E221,1,0)</f>
        <v>0</v>
      </c>
      <c r="I221" s="249">
        <f>IF(G221&lt;0,1,0)</f>
        <v>1</v>
      </c>
    </row>
    <row r="222" spans="1:10" x14ac:dyDescent="0.25">
      <c r="A222" s="280"/>
      <c r="B222" s="317" t="s">
        <v>427</v>
      </c>
      <c r="C222" s="318"/>
      <c r="D222" s="268"/>
      <c r="E222" s="268"/>
      <c r="F222" s="268"/>
      <c r="G222" s="268">
        <f>D222-E222</f>
        <v>0</v>
      </c>
      <c r="H222" s="249">
        <f>IF(F222&gt;E222,1,0)</f>
        <v>0</v>
      </c>
      <c r="I222" s="249">
        <f>IF(G222&lt;0,1,0)</f>
        <v>0</v>
      </c>
    </row>
    <row r="223" spans="1:10" x14ac:dyDescent="0.25">
      <c r="A223" s="280"/>
      <c r="B223" s="317" t="s">
        <v>428</v>
      </c>
      <c r="C223" s="318"/>
      <c r="D223" s="268"/>
      <c r="E223" s="268"/>
      <c r="F223" s="268"/>
      <c r="G223" s="268">
        <f>D223-E223</f>
        <v>0</v>
      </c>
      <c r="H223" s="249">
        <f>IF(F223&gt;E223,1,0)</f>
        <v>0</v>
      </c>
      <c r="I223" s="249">
        <f>IF(G223&lt;0,1,0)</f>
        <v>0</v>
      </c>
    </row>
    <row r="224" spans="1:10" x14ac:dyDescent="0.25">
      <c r="A224" s="280"/>
      <c r="B224" s="317" t="s">
        <v>444</v>
      </c>
      <c r="C224" s="318"/>
      <c r="D224" s="268">
        <f>D221</f>
        <v>272384500</v>
      </c>
      <c r="E224" s="268">
        <f t="shared" ref="E224:F224" si="92">E221</f>
        <v>416944914.11000001</v>
      </c>
      <c r="F224" s="268">
        <f t="shared" si="92"/>
        <v>221400172.02000001</v>
      </c>
      <c r="G224" s="268">
        <f>D224-E224</f>
        <v>-144560414.11000001</v>
      </c>
      <c r="H224" s="249">
        <f>IF(F224&gt;E224,1,0)</f>
        <v>0</v>
      </c>
      <c r="I224" s="249">
        <f>IF(G224&lt;0,1,0)</f>
        <v>1</v>
      </c>
    </row>
    <row r="225" spans="1:11" ht="191.25" x14ac:dyDescent="0.25">
      <c r="A225" s="252"/>
      <c r="B225" s="278" t="s">
        <v>513</v>
      </c>
      <c r="C225" s="254" t="s">
        <v>514</v>
      </c>
      <c r="D225" s="330">
        <f>328671303.52+27510187.29+27073280.76</f>
        <v>383254771.56999999</v>
      </c>
      <c r="E225" s="273">
        <f>'Проверочная  таблица'!OM38</f>
        <v>383254771.56999999</v>
      </c>
      <c r="F225" s="273">
        <f>'Проверочная  таблица'!OQ38</f>
        <v>259065688.52999997</v>
      </c>
      <c r="G225" s="257">
        <f t="shared" ref="G225:G229" si="93">D225-E225</f>
        <v>0</v>
      </c>
      <c r="H225" s="249">
        <f t="shared" ref="H225:H243" si="94">IF(F225&gt;E225,1,0)</f>
        <v>0</v>
      </c>
      <c r="I225" s="249">
        <f t="shared" ref="I225:I231" si="95">IF(G225&lt;0,1,0)</f>
        <v>0</v>
      </c>
    </row>
    <row r="226" spans="1:11" x14ac:dyDescent="0.25">
      <c r="A226" s="310"/>
      <c r="B226" s="311" t="s">
        <v>427</v>
      </c>
      <c r="C226" s="312"/>
      <c r="D226" s="313"/>
      <c r="E226" s="313"/>
      <c r="F226" s="313"/>
      <c r="G226" s="313">
        <f t="shared" si="93"/>
        <v>0</v>
      </c>
      <c r="H226" s="249">
        <f t="shared" si="94"/>
        <v>0</v>
      </c>
      <c r="I226" s="249">
        <f t="shared" si="95"/>
        <v>0</v>
      </c>
    </row>
    <row r="227" spans="1:11" x14ac:dyDescent="0.25">
      <c r="A227" s="310"/>
      <c r="B227" s="311" t="s">
        <v>428</v>
      </c>
      <c r="C227" s="348"/>
      <c r="D227" s="337"/>
      <c r="E227" s="337"/>
      <c r="F227" s="337"/>
      <c r="G227" s="313">
        <f t="shared" si="93"/>
        <v>0</v>
      </c>
      <c r="H227" s="249">
        <f t="shared" si="94"/>
        <v>0</v>
      </c>
      <c r="I227" s="249">
        <f t="shared" si="95"/>
        <v>0</v>
      </c>
    </row>
    <row r="228" spans="1:11" x14ac:dyDescent="0.25">
      <c r="A228" s="310"/>
      <c r="B228" s="311" t="s">
        <v>444</v>
      </c>
      <c r="C228" s="348"/>
      <c r="D228" s="314">
        <f>D225</f>
        <v>383254771.56999999</v>
      </c>
      <c r="E228" s="314">
        <f t="shared" ref="E228:F228" si="96">E225</f>
        <v>383254771.56999999</v>
      </c>
      <c r="F228" s="314">
        <f t="shared" si="96"/>
        <v>259065688.52999997</v>
      </c>
      <c r="G228" s="313">
        <f t="shared" si="93"/>
        <v>0</v>
      </c>
      <c r="H228" s="249">
        <f t="shared" si="94"/>
        <v>0</v>
      </c>
      <c r="I228" s="249">
        <f t="shared" si="95"/>
        <v>0</v>
      </c>
    </row>
    <row r="229" spans="1:11" ht="140.25" x14ac:dyDescent="0.25">
      <c r="A229" s="252"/>
      <c r="B229" s="278" t="s">
        <v>515</v>
      </c>
      <c r="C229" s="276" t="s">
        <v>516</v>
      </c>
      <c r="D229" s="330">
        <v>542589.47</v>
      </c>
      <c r="E229" s="273">
        <f>'Проверочная  таблица'!PQ38</f>
        <v>542589.47</v>
      </c>
      <c r="F229" s="273">
        <f>'Проверочная  таблица'!PV38</f>
        <v>378041.17000000004</v>
      </c>
      <c r="G229" s="257">
        <f t="shared" si="93"/>
        <v>0</v>
      </c>
      <c r="H229" s="249">
        <f t="shared" si="94"/>
        <v>0</v>
      </c>
      <c r="I229" s="249">
        <f t="shared" si="95"/>
        <v>0</v>
      </c>
      <c r="J229" s="315">
        <f>D229+D232</f>
        <v>10851789.470000001</v>
      </c>
      <c r="K229" s="1254">
        <f>G229+G232</f>
        <v>0</v>
      </c>
    </row>
    <row r="230" spans="1:11" x14ac:dyDescent="0.25">
      <c r="A230" s="310"/>
      <c r="B230" s="311" t="s">
        <v>427</v>
      </c>
      <c r="C230" s="312"/>
      <c r="D230" s="314">
        <f>D229</f>
        <v>542589.47</v>
      </c>
      <c r="E230" s="314">
        <f>E229</f>
        <v>542589.47</v>
      </c>
      <c r="F230" s="314">
        <f>F229</f>
        <v>378041.17000000004</v>
      </c>
      <c r="G230" s="314">
        <f>G229</f>
        <v>0</v>
      </c>
      <c r="H230" s="249">
        <f t="shared" si="94"/>
        <v>0</v>
      </c>
      <c r="I230" s="249">
        <f t="shared" si="95"/>
        <v>0</v>
      </c>
    </row>
    <row r="231" spans="1:11" x14ac:dyDescent="0.25">
      <c r="A231" s="310"/>
      <c r="B231" s="311" t="s">
        <v>428</v>
      </c>
      <c r="C231" s="312"/>
      <c r="D231" s="313"/>
      <c r="E231" s="313"/>
      <c r="F231" s="313"/>
      <c r="G231" s="313"/>
      <c r="H231" s="249">
        <f t="shared" si="94"/>
        <v>0</v>
      </c>
      <c r="I231" s="249">
        <f t="shared" si="95"/>
        <v>0</v>
      </c>
    </row>
    <row r="232" spans="1:11" x14ac:dyDescent="0.25">
      <c r="A232" s="280"/>
      <c r="B232" s="264" t="s">
        <v>396</v>
      </c>
      <c r="C232" s="349" t="s">
        <v>516</v>
      </c>
      <c r="D232" s="316">
        <v>10309200</v>
      </c>
      <c r="E232" s="267">
        <f>'Проверочная  таблица'!PR38</f>
        <v>10309200</v>
      </c>
      <c r="F232" s="267">
        <f>'Проверочная  таблица'!PW38</f>
        <v>7182782.3000000007</v>
      </c>
      <c r="G232" s="268">
        <f t="shared" ref="G232" si="97">D232-E232</f>
        <v>0</v>
      </c>
      <c r="H232" s="249">
        <f t="shared" si="94"/>
        <v>0</v>
      </c>
      <c r="I232" s="249">
        <f>IF(G232&lt;0,1,0)</f>
        <v>0</v>
      </c>
    </row>
    <row r="233" spans="1:11" x14ac:dyDescent="0.25">
      <c r="A233" s="280"/>
      <c r="B233" s="317" t="s">
        <v>427</v>
      </c>
      <c r="C233" s="318"/>
      <c r="D233" s="267">
        <f>D232</f>
        <v>10309200</v>
      </c>
      <c r="E233" s="267">
        <f>E232</f>
        <v>10309200</v>
      </c>
      <c r="F233" s="267">
        <f>F232</f>
        <v>7182782.3000000007</v>
      </c>
      <c r="G233" s="267">
        <f>G232</f>
        <v>0</v>
      </c>
      <c r="H233" s="249">
        <f t="shared" si="94"/>
        <v>0</v>
      </c>
      <c r="I233" s="249">
        <f>IF(G233&lt;0,1,0)</f>
        <v>0</v>
      </c>
    </row>
    <row r="234" spans="1:11" x14ac:dyDescent="0.25">
      <c r="A234" s="280"/>
      <c r="B234" s="317" t="s">
        <v>428</v>
      </c>
      <c r="C234" s="318"/>
      <c r="D234" s="268"/>
      <c r="E234" s="268"/>
      <c r="F234" s="268"/>
      <c r="G234" s="268"/>
      <c r="H234" s="249">
        <f t="shared" si="94"/>
        <v>0</v>
      </c>
      <c r="I234" s="249">
        <f>IF(G234&lt;0,1,0)</f>
        <v>0</v>
      </c>
    </row>
    <row r="235" spans="1:11" ht="127.5" x14ac:dyDescent="0.25">
      <c r="A235" s="252"/>
      <c r="B235" s="278" t="s">
        <v>517</v>
      </c>
      <c r="C235" s="254" t="s">
        <v>518</v>
      </c>
      <c r="D235" s="277">
        <v>502200</v>
      </c>
      <c r="E235" s="273">
        <f>'Прочая  субсидия_МР  и  ГО'!BF43</f>
        <v>502200</v>
      </c>
      <c r="F235" s="273">
        <f>'Прочая  субсидия_МР  и  ГО'!BG43</f>
        <v>0</v>
      </c>
      <c r="G235" s="257">
        <f>D235-E235</f>
        <v>0</v>
      </c>
      <c r="H235" s="249">
        <f t="shared" si="94"/>
        <v>0</v>
      </c>
      <c r="I235" s="249">
        <f t="shared" ref="I235:I243" si="98">IF(G235&lt;0,1,0)</f>
        <v>0</v>
      </c>
    </row>
    <row r="236" spans="1:11" x14ac:dyDescent="0.25">
      <c r="A236" s="310"/>
      <c r="B236" s="311" t="s">
        <v>427</v>
      </c>
      <c r="C236" s="312"/>
      <c r="D236" s="313">
        <f>D235</f>
        <v>502200</v>
      </c>
      <c r="E236" s="313">
        <f>E235</f>
        <v>502200</v>
      </c>
      <c r="F236" s="313">
        <f>F235</f>
        <v>0</v>
      </c>
      <c r="G236" s="313">
        <f>D236-E236</f>
        <v>0</v>
      </c>
      <c r="H236" s="249">
        <f t="shared" si="94"/>
        <v>0</v>
      </c>
      <c r="I236" s="249">
        <f t="shared" si="98"/>
        <v>0</v>
      </c>
    </row>
    <row r="237" spans="1:11" x14ac:dyDescent="0.25">
      <c r="A237" s="310"/>
      <c r="B237" s="311" t="s">
        <v>428</v>
      </c>
      <c r="C237" s="312"/>
      <c r="D237" s="313"/>
      <c r="E237" s="313"/>
      <c r="F237" s="313"/>
      <c r="G237" s="313">
        <f>D237-E237</f>
        <v>0</v>
      </c>
      <c r="H237" s="249">
        <f t="shared" si="94"/>
        <v>0</v>
      </c>
      <c r="I237" s="249">
        <f t="shared" si="98"/>
        <v>0</v>
      </c>
    </row>
    <row r="238" spans="1:11" ht="178.5" x14ac:dyDescent="0.25">
      <c r="A238" s="252"/>
      <c r="B238" s="278" t="s">
        <v>519</v>
      </c>
      <c r="C238" s="254" t="s">
        <v>520</v>
      </c>
      <c r="D238" s="277">
        <v>6600000</v>
      </c>
      <c r="E238" s="273">
        <f>'Проверочная  таблица'!EU38</f>
        <v>6600000.0000000019</v>
      </c>
      <c r="F238" s="273">
        <f>'Проверочная  таблица'!EX38</f>
        <v>899797.78999999992</v>
      </c>
      <c r="G238" s="257">
        <f t="shared" ref="G238:G243" si="99">D238-E238</f>
        <v>0</v>
      </c>
      <c r="H238" s="249">
        <f t="shared" si="94"/>
        <v>0</v>
      </c>
      <c r="I238" s="249">
        <f t="shared" si="98"/>
        <v>0</v>
      </c>
      <c r="J238" s="315">
        <f>D238+D241</f>
        <v>25286100</v>
      </c>
    </row>
    <row r="239" spans="1:11" x14ac:dyDescent="0.25">
      <c r="A239" s="310"/>
      <c r="B239" s="311" t="s">
        <v>427</v>
      </c>
      <c r="C239" s="312"/>
      <c r="D239" s="313">
        <f>D238</f>
        <v>6600000</v>
      </c>
      <c r="E239" s="313">
        <f>E238</f>
        <v>6600000.0000000019</v>
      </c>
      <c r="F239" s="313">
        <f>F238</f>
        <v>899797.78999999992</v>
      </c>
      <c r="G239" s="313">
        <f t="shared" si="99"/>
        <v>0</v>
      </c>
      <c r="H239" s="249">
        <f t="shared" si="94"/>
        <v>0</v>
      </c>
      <c r="I239" s="249">
        <f t="shared" si="98"/>
        <v>0</v>
      </c>
    </row>
    <row r="240" spans="1:11" x14ac:dyDescent="0.25">
      <c r="A240" s="310"/>
      <c r="B240" s="311" t="s">
        <v>428</v>
      </c>
      <c r="C240" s="312"/>
      <c r="D240" s="313"/>
      <c r="E240" s="313"/>
      <c r="F240" s="313"/>
      <c r="G240" s="313">
        <f t="shared" si="99"/>
        <v>0</v>
      </c>
      <c r="H240" s="249">
        <f t="shared" si="94"/>
        <v>0</v>
      </c>
      <c r="I240" s="249">
        <f t="shared" si="98"/>
        <v>0</v>
      </c>
      <c r="J240" s="315"/>
    </row>
    <row r="241" spans="1:9" x14ac:dyDescent="0.25">
      <c r="A241" s="280"/>
      <c r="B241" s="264" t="s">
        <v>396</v>
      </c>
      <c r="C241" s="281" t="s">
        <v>520</v>
      </c>
      <c r="D241" s="282">
        <v>18686100</v>
      </c>
      <c r="E241" s="350">
        <f>'Проверочная  таблица'!EV38</f>
        <v>18686100</v>
      </c>
      <c r="F241" s="350">
        <f>'Проверочная  таблица'!EY38</f>
        <v>2547532.0500000003</v>
      </c>
      <c r="G241" s="327">
        <f t="shared" si="99"/>
        <v>0</v>
      </c>
      <c r="H241" s="249">
        <f t="shared" si="94"/>
        <v>0</v>
      </c>
      <c r="I241" s="249">
        <f t="shared" si="98"/>
        <v>0</v>
      </c>
    </row>
    <row r="242" spans="1:9" x14ac:dyDescent="0.25">
      <c r="A242" s="280"/>
      <c r="B242" s="317" t="s">
        <v>427</v>
      </c>
      <c r="C242" s="318"/>
      <c r="D242" s="268">
        <f>D241</f>
        <v>18686100</v>
      </c>
      <c r="E242" s="268">
        <f>E241</f>
        <v>18686100</v>
      </c>
      <c r="F242" s="268">
        <f>F241</f>
        <v>2547532.0500000003</v>
      </c>
      <c r="G242" s="268">
        <f t="shared" si="99"/>
        <v>0</v>
      </c>
      <c r="H242" s="249">
        <f t="shared" si="94"/>
        <v>0</v>
      </c>
      <c r="I242" s="249">
        <f t="shared" si="98"/>
        <v>0</v>
      </c>
    </row>
    <row r="243" spans="1:9" x14ac:dyDescent="0.25">
      <c r="A243" s="280"/>
      <c r="B243" s="317" t="s">
        <v>428</v>
      </c>
      <c r="C243" s="318"/>
      <c r="D243" s="268"/>
      <c r="E243" s="268"/>
      <c r="F243" s="268"/>
      <c r="G243" s="268">
        <f t="shared" si="99"/>
        <v>0</v>
      </c>
      <c r="H243" s="249">
        <f t="shared" si="94"/>
        <v>0</v>
      </c>
      <c r="I243" s="249">
        <f t="shared" si="98"/>
        <v>0</v>
      </c>
    </row>
    <row r="244" spans="1:9" x14ac:dyDescent="0.25">
      <c r="A244" s="252"/>
      <c r="B244" s="278"/>
      <c r="C244" s="276"/>
      <c r="D244" s="277"/>
      <c r="E244" s="273"/>
      <c r="F244" s="273"/>
      <c r="G244" s="257"/>
      <c r="H244" s="249"/>
      <c r="I244" s="249"/>
    </row>
    <row r="245" spans="1:9" ht="25.5" x14ac:dyDescent="0.25">
      <c r="A245" s="245" t="s">
        <v>521</v>
      </c>
      <c r="B245" s="246" t="s">
        <v>522</v>
      </c>
      <c r="C245" s="274"/>
      <c r="D245" s="275">
        <f>D250</f>
        <v>36115290</v>
      </c>
      <c r="E245" s="275">
        <f t="shared" ref="E245:G247" si="100">E250</f>
        <v>36115290</v>
      </c>
      <c r="F245" s="275">
        <f t="shared" si="100"/>
        <v>0</v>
      </c>
      <c r="G245" s="275">
        <f t="shared" si="100"/>
        <v>0</v>
      </c>
      <c r="H245" s="249">
        <f t="shared" ref="H245:H253" si="101">IF(F245&gt;E245,1,0)</f>
        <v>0</v>
      </c>
      <c r="I245" s="249">
        <f t="shared" ref="I245:I421" si="102">IF(G245&lt;0,1,0)</f>
        <v>0</v>
      </c>
    </row>
    <row r="246" spans="1:9" x14ac:dyDescent="0.25">
      <c r="A246" s="304"/>
      <c r="B246" s="305" t="s">
        <v>427</v>
      </c>
      <c r="C246" s="306"/>
      <c r="D246" s="319">
        <f>D251</f>
        <v>0</v>
      </c>
      <c r="E246" s="319">
        <f t="shared" si="100"/>
        <v>0</v>
      </c>
      <c r="F246" s="319">
        <f t="shared" si="100"/>
        <v>0</v>
      </c>
      <c r="G246" s="319">
        <f t="shared" si="100"/>
        <v>0</v>
      </c>
      <c r="H246" s="249">
        <f t="shared" si="101"/>
        <v>0</v>
      </c>
      <c r="I246" s="249">
        <f t="shared" si="102"/>
        <v>0</v>
      </c>
    </row>
    <row r="247" spans="1:9" x14ac:dyDescent="0.25">
      <c r="A247" s="304"/>
      <c r="B247" s="305" t="s">
        <v>428</v>
      </c>
      <c r="C247" s="306"/>
      <c r="D247" s="319">
        <f>D252</f>
        <v>0</v>
      </c>
      <c r="E247" s="319">
        <f t="shared" si="100"/>
        <v>0</v>
      </c>
      <c r="F247" s="319">
        <f t="shared" si="100"/>
        <v>0</v>
      </c>
      <c r="G247" s="319">
        <f t="shared" si="100"/>
        <v>0</v>
      </c>
      <c r="H247" s="249">
        <f t="shared" si="101"/>
        <v>0</v>
      </c>
      <c r="I247" s="249">
        <f t="shared" si="102"/>
        <v>0</v>
      </c>
    </row>
    <row r="248" spans="1:9" x14ac:dyDescent="0.25">
      <c r="A248" s="304"/>
      <c r="B248" s="305" t="s">
        <v>444</v>
      </c>
      <c r="C248" s="306"/>
      <c r="D248" s="319">
        <f>D245-D246-D247</f>
        <v>36115290</v>
      </c>
      <c r="E248" s="319">
        <f t="shared" ref="E248:G248" si="103">E245-E246-E247</f>
        <v>36115290</v>
      </c>
      <c r="F248" s="319">
        <f t="shared" si="103"/>
        <v>0</v>
      </c>
      <c r="G248" s="319">
        <f t="shared" si="103"/>
        <v>0</v>
      </c>
      <c r="H248" s="249">
        <f t="shared" si="101"/>
        <v>0</v>
      </c>
      <c r="I248" s="249">
        <f t="shared" si="102"/>
        <v>0</v>
      </c>
    </row>
    <row r="249" spans="1:9" x14ac:dyDescent="0.25">
      <c r="A249" s="252"/>
      <c r="B249" s="238" t="s">
        <v>375</v>
      </c>
      <c r="C249" s="276"/>
      <c r="D249" s="277"/>
      <c r="E249" s="273"/>
      <c r="F249" s="273"/>
      <c r="G249" s="257"/>
      <c r="H249" s="249">
        <f t="shared" si="101"/>
        <v>0</v>
      </c>
      <c r="I249" s="249">
        <f t="shared" si="102"/>
        <v>0</v>
      </c>
    </row>
    <row r="250" spans="1:9" ht="255" x14ac:dyDescent="0.25">
      <c r="A250" s="1120"/>
      <c r="B250" s="278" t="s">
        <v>523</v>
      </c>
      <c r="C250" s="254" t="s">
        <v>524</v>
      </c>
      <c r="D250" s="330">
        <v>36115290</v>
      </c>
      <c r="E250" s="273">
        <f>'Прочая  субсидия_МР  и  ГО'!AP43</f>
        <v>36115290</v>
      </c>
      <c r="F250" s="273">
        <f>'Прочая  субсидия_МР  и  ГО'!AQ43</f>
        <v>0</v>
      </c>
      <c r="G250" s="257">
        <f t="shared" ref="G250" si="104">D250-E250</f>
        <v>0</v>
      </c>
      <c r="H250" s="249">
        <f t="shared" si="101"/>
        <v>0</v>
      </c>
      <c r="I250" s="249">
        <f t="shared" si="102"/>
        <v>0</v>
      </c>
    </row>
    <row r="251" spans="1:9" x14ac:dyDescent="0.25">
      <c r="A251" s="310"/>
      <c r="B251" s="311" t="s">
        <v>427</v>
      </c>
      <c r="C251" s="312"/>
      <c r="D251" s="313"/>
      <c r="E251" s="313"/>
      <c r="F251" s="313"/>
      <c r="G251" s="313"/>
      <c r="H251" s="249">
        <f t="shared" si="101"/>
        <v>0</v>
      </c>
      <c r="I251" s="249">
        <f t="shared" si="102"/>
        <v>0</v>
      </c>
    </row>
    <row r="252" spans="1:9" x14ac:dyDescent="0.25">
      <c r="A252" s="310"/>
      <c r="B252" s="311" t="s">
        <v>428</v>
      </c>
      <c r="C252" s="312"/>
      <c r="D252" s="313"/>
      <c r="E252" s="313"/>
      <c r="F252" s="313"/>
      <c r="G252" s="313"/>
      <c r="H252" s="249">
        <f t="shared" si="101"/>
        <v>0</v>
      </c>
      <c r="I252" s="249">
        <f t="shared" si="102"/>
        <v>0</v>
      </c>
    </row>
    <row r="253" spans="1:9" x14ac:dyDescent="0.25">
      <c r="A253" s="310"/>
      <c r="B253" s="311" t="s">
        <v>444</v>
      </c>
      <c r="C253" s="312"/>
      <c r="D253" s="313">
        <f>D250</f>
        <v>36115290</v>
      </c>
      <c r="E253" s="313">
        <f t="shared" ref="E253:G253" si="105">E250</f>
        <v>36115290</v>
      </c>
      <c r="F253" s="313">
        <f t="shared" si="105"/>
        <v>0</v>
      </c>
      <c r="G253" s="313">
        <f t="shared" si="105"/>
        <v>0</v>
      </c>
      <c r="H253" s="249">
        <f t="shared" si="101"/>
        <v>0</v>
      </c>
      <c r="I253" s="249">
        <f t="shared" si="102"/>
        <v>0</v>
      </c>
    </row>
    <row r="254" spans="1:9" x14ac:dyDescent="0.25">
      <c r="A254" s="252"/>
      <c r="B254" s="278"/>
      <c r="C254" s="276"/>
      <c r="D254" s="277"/>
      <c r="E254" s="273"/>
      <c r="F254" s="273"/>
      <c r="G254" s="257"/>
      <c r="H254" s="249"/>
      <c r="I254" s="249"/>
    </row>
    <row r="255" spans="1:9" x14ac:dyDescent="0.25">
      <c r="A255" s="245" t="s">
        <v>525</v>
      </c>
      <c r="B255" s="246" t="s">
        <v>526</v>
      </c>
      <c r="C255" s="274"/>
      <c r="D255" s="275">
        <f>D260+D263</f>
        <v>8000000</v>
      </c>
      <c r="E255" s="275">
        <f t="shared" ref="E255:G257" si="106">E260+E263</f>
        <v>8000000</v>
      </c>
      <c r="F255" s="275">
        <f t="shared" si="106"/>
        <v>7991499.9900000002</v>
      </c>
      <c r="G255" s="275">
        <f t="shared" si="106"/>
        <v>0</v>
      </c>
      <c r="H255" s="249">
        <f t="shared" ref="H255:H259" si="107">IF(F255&gt;E255,1,0)</f>
        <v>0</v>
      </c>
      <c r="I255" s="249">
        <f t="shared" si="102"/>
        <v>0</v>
      </c>
    </row>
    <row r="256" spans="1:9" x14ac:dyDescent="0.25">
      <c r="A256" s="304"/>
      <c r="B256" s="305" t="s">
        <v>427</v>
      </c>
      <c r="C256" s="306"/>
      <c r="D256" s="319">
        <f>D261+D264</f>
        <v>8000000</v>
      </c>
      <c r="E256" s="319">
        <f t="shared" si="106"/>
        <v>8000000</v>
      </c>
      <c r="F256" s="319">
        <f t="shared" si="106"/>
        <v>7991499.9900000002</v>
      </c>
      <c r="G256" s="319">
        <f t="shared" si="106"/>
        <v>0</v>
      </c>
      <c r="H256" s="249">
        <f t="shared" si="107"/>
        <v>0</v>
      </c>
      <c r="I256" s="249">
        <f t="shared" si="102"/>
        <v>0</v>
      </c>
    </row>
    <row r="257" spans="1:9" x14ac:dyDescent="0.25">
      <c r="A257" s="304"/>
      <c r="B257" s="305" t="s">
        <v>428</v>
      </c>
      <c r="C257" s="306"/>
      <c r="D257" s="319">
        <f>D262+D265</f>
        <v>0</v>
      </c>
      <c r="E257" s="319">
        <f t="shared" si="106"/>
        <v>0</v>
      </c>
      <c r="F257" s="319">
        <f t="shared" si="106"/>
        <v>0</v>
      </c>
      <c r="G257" s="319">
        <f t="shared" si="106"/>
        <v>0</v>
      </c>
      <c r="H257" s="249">
        <f t="shared" si="107"/>
        <v>0</v>
      </c>
      <c r="I257" s="249">
        <f t="shared" si="102"/>
        <v>0</v>
      </c>
    </row>
    <row r="258" spans="1:9" x14ac:dyDescent="0.25">
      <c r="A258" s="304"/>
      <c r="B258" s="305" t="s">
        <v>444</v>
      </c>
      <c r="C258" s="306"/>
      <c r="D258" s="319">
        <f>D255-D256-D257</f>
        <v>0</v>
      </c>
      <c r="E258" s="319">
        <f t="shared" ref="E258:G258" si="108">E255-E256-E257</f>
        <v>0</v>
      </c>
      <c r="F258" s="319">
        <f t="shared" si="108"/>
        <v>0</v>
      </c>
      <c r="G258" s="319">
        <f t="shared" si="108"/>
        <v>0</v>
      </c>
      <c r="H258" s="249">
        <f t="shared" si="107"/>
        <v>0</v>
      </c>
      <c r="I258" s="249">
        <f t="shared" si="102"/>
        <v>0</v>
      </c>
    </row>
    <row r="259" spans="1:9" x14ac:dyDescent="0.25">
      <c r="A259" s="252"/>
      <c r="B259" s="238" t="s">
        <v>375</v>
      </c>
      <c r="C259" s="276"/>
      <c r="D259" s="277"/>
      <c r="E259" s="273"/>
      <c r="F259" s="273"/>
      <c r="G259" s="257"/>
      <c r="H259" s="249">
        <f t="shared" si="107"/>
        <v>0</v>
      </c>
      <c r="I259" s="249">
        <f t="shared" si="102"/>
        <v>0</v>
      </c>
    </row>
    <row r="260" spans="1:9" ht="153" x14ac:dyDescent="0.25">
      <c r="A260" s="252"/>
      <c r="B260" s="278" t="s">
        <v>527</v>
      </c>
      <c r="C260" s="254" t="s">
        <v>528</v>
      </c>
      <c r="D260" s="260">
        <v>8000000</v>
      </c>
      <c r="E260" s="273">
        <f>'Проверочная  таблица'!DN37</f>
        <v>8000000</v>
      </c>
      <c r="F260" s="273">
        <f>'Проверочная  таблица'!DR37</f>
        <v>7991499.9900000002</v>
      </c>
      <c r="G260" s="257">
        <f>D260-E260</f>
        <v>0</v>
      </c>
      <c r="H260" s="249">
        <f>IF(F260&gt;E260,1,0)</f>
        <v>0</v>
      </c>
      <c r="I260" s="249">
        <f>IF(G260&lt;0,1,0)</f>
        <v>0</v>
      </c>
    </row>
    <row r="261" spans="1:9" x14ac:dyDescent="0.25">
      <c r="A261" s="310"/>
      <c r="B261" s="311" t="s">
        <v>427</v>
      </c>
      <c r="C261" s="312"/>
      <c r="D261" s="313">
        <f>D260-D262</f>
        <v>8000000</v>
      </c>
      <c r="E261" s="313">
        <f>E260-E262</f>
        <v>8000000</v>
      </c>
      <c r="F261" s="313">
        <f>F260-F262</f>
        <v>7991499.9900000002</v>
      </c>
      <c r="G261" s="313">
        <f>G260-G262</f>
        <v>0</v>
      </c>
      <c r="H261" s="249">
        <f>IF(F261&gt;E261,1,0)</f>
        <v>0</v>
      </c>
      <c r="I261" s="249">
        <f>IF(G261&lt;0,1,0)</f>
        <v>0</v>
      </c>
    </row>
    <row r="262" spans="1:9" x14ac:dyDescent="0.25">
      <c r="A262" s="310"/>
      <c r="B262" s="311" t="s">
        <v>428</v>
      </c>
      <c r="C262" s="312"/>
      <c r="D262" s="337"/>
      <c r="E262" s="337"/>
      <c r="F262" s="337">
        <v>0</v>
      </c>
      <c r="G262" s="313">
        <f>D262-E262</f>
        <v>0</v>
      </c>
      <c r="H262" s="249">
        <f>IF(F262&gt;E262,1,0)</f>
        <v>0</v>
      </c>
      <c r="I262" s="249">
        <f>IF(G262&lt;0,1,0)</f>
        <v>0</v>
      </c>
    </row>
    <row r="263" spans="1:9" ht="140.25" hidden="1" x14ac:dyDescent="0.25">
      <c r="A263" s="308"/>
      <c r="B263" s="278" t="s">
        <v>429</v>
      </c>
      <c r="C263" s="254" t="s">
        <v>430</v>
      </c>
      <c r="D263" s="277"/>
      <c r="E263" s="256">
        <f>D263</f>
        <v>0</v>
      </c>
      <c r="F263" s="309"/>
      <c r="G263" s="257">
        <f t="shared" ref="G263:G265" si="109">D263-E263</f>
        <v>0</v>
      </c>
      <c r="H263" s="249">
        <f t="shared" ref="H263:H332" si="110">IF(F263&gt;E263,1,0)</f>
        <v>0</v>
      </c>
      <c r="I263" s="249">
        <f t="shared" si="102"/>
        <v>0</v>
      </c>
    </row>
    <row r="264" spans="1:9" hidden="1" x14ac:dyDescent="0.25">
      <c r="A264" s="310"/>
      <c r="B264" s="311" t="s">
        <v>427</v>
      </c>
      <c r="C264" s="312"/>
      <c r="D264" s="313">
        <f>D263-D265</f>
        <v>0</v>
      </c>
      <c r="E264" s="313">
        <f>E263-E265</f>
        <v>0</v>
      </c>
      <c r="F264" s="313">
        <f>F263-F265</f>
        <v>0</v>
      </c>
      <c r="G264" s="313">
        <f t="shared" si="109"/>
        <v>0</v>
      </c>
      <c r="H264" s="249">
        <f t="shared" si="110"/>
        <v>0</v>
      </c>
      <c r="I264" s="249">
        <f t="shared" si="102"/>
        <v>0</v>
      </c>
    </row>
    <row r="265" spans="1:9" hidden="1" x14ac:dyDescent="0.25">
      <c r="A265" s="310"/>
      <c r="B265" s="311" t="s">
        <v>428</v>
      </c>
      <c r="C265" s="312"/>
      <c r="D265" s="337"/>
      <c r="E265" s="314">
        <f>D265</f>
        <v>0</v>
      </c>
      <c r="F265" s="337"/>
      <c r="G265" s="313">
        <f t="shared" si="109"/>
        <v>0</v>
      </c>
      <c r="H265" s="249">
        <f t="shared" si="110"/>
        <v>0</v>
      </c>
      <c r="I265" s="249">
        <f t="shared" si="102"/>
        <v>0</v>
      </c>
    </row>
    <row r="266" spans="1:9" x14ac:dyDescent="0.25">
      <c r="A266" s="252"/>
      <c r="B266" s="278"/>
      <c r="C266" s="276"/>
      <c r="D266" s="277"/>
      <c r="E266" s="273"/>
      <c r="F266" s="273"/>
      <c r="G266" s="257"/>
      <c r="H266" s="249">
        <f t="shared" si="110"/>
        <v>0</v>
      </c>
      <c r="I266" s="249">
        <f t="shared" si="102"/>
        <v>0</v>
      </c>
    </row>
    <row r="267" spans="1:9" x14ac:dyDescent="0.25">
      <c r="A267" s="245" t="s">
        <v>392</v>
      </c>
      <c r="B267" s="246" t="s">
        <v>393</v>
      </c>
      <c r="C267" s="274"/>
      <c r="D267" s="275">
        <f>D272+D326+D275+D279+D305+D299+D302+D283+D287+D291+D329+D311+D314+D295+D323+D308+D317+D320</f>
        <v>2646046589.23</v>
      </c>
      <c r="E267" s="275">
        <f t="shared" ref="E267:G267" si="111">E272+E326+E275+E279+E305+E299+E302+E283+E287+E291+E329+E311+E314+E295+E323+E308+E317+E320</f>
        <v>2533228144.7399998</v>
      </c>
      <c r="F267" s="275">
        <f t="shared" si="111"/>
        <v>1508857243.4699998</v>
      </c>
      <c r="G267" s="275">
        <f t="shared" si="111"/>
        <v>112818444.49000001</v>
      </c>
      <c r="H267" s="249">
        <f t="shared" si="110"/>
        <v>0</v>
      </c>
      <c r="I267" s="249">
        <f t="shared" si="102"/>
        <v>0</v>
      </c>
    </row>
    <row r="268" spans="1:9" x14ac:dyDescent="0.25">
      <c r="A268" s="304"/>
      <c r="B268" s="305" t="s">
        <v>427</v>
      </c>
      <c r="C268" s="306"/>
      <c r="D268" s="319">
        <f>D273+D327+D276+D280+D306+D300+D303+D284+D288+D292+D330+D312+D315+D296+D324+D309+D318+D321</f>
        <v>1438358620.27</v>
      </c>
      <c r="E268" s="319">
        <f t="shared" ref="E268:G268" si="112">E273+E327+E276+E280+E306+E300+E303+E284+E288+E292+E330+E312+E315+E296+E324+E309+E318+E321</f>
        <v>1325540175.7800002</v>
      </c>
      <c r="F268" s="319">
        <f t="shared" si="112"/>
        <v>749461469.40999997</v>
      </c>
      <c r="G268" s="319">
        <f t="shared" si="112"/>
        <v>112818444.49000001</v>
      </c>
      <c r="H268" s="249">
        <f t="shared" si="110"/>
        <v>0</v>
      </c>
      <c r="I268" s="249">
        <f t="shared" si="102"/>
        <v>0</v>
      </c>
    </row>
    <row r="269" spans="1:9" x14ac:dyDescent="0.25">
      <c r="A269" s="304"/>
      <c r="B269" s="305" t="s">
        <v>428</v>
      </c>
      <c r="C269" s="306"/>
      <c r="D269" s="319">
        <f>D274+D328+D277+D281+D307+D301+D304+D285+D289+D293+D331+D313+D316+D297+D325+D310+D319+D322</f>
        <v>0</v>
      </c>
      <c r="E269" s="319">
        <f t="shared" ref="E269:G269" si="113">E274+E328+E277+E281+E307+E301+E304+E285+E289+E293+E331+E313+E316+E297+E325+E310+E319+E322</f>
        <v>0</v>
      </c>
      <c r="F269" s="319">
        <f t="shared" si="113"/>
        <v>0</v>
      </c>
      <c r="G269" s="319">
        <f t="shared" si="113"/>
        <v>0</v>
      </c>
      <c r="H269" s="249">
        <f t="shared" si="110"/>
        <v>0</v>
      </c>
      <c r="I269" s="249">
        <f t="shared" si="102"/>
        <v>0</v>
      </c>
    </row>
    <row r="270" spans="1:9" x14ac:dyDescent="0.25">
      <c r="A270" s="304"/>
      <c r="B270" s="305" t="s">
        <v>444</v>
      </c>
      <c r="C270" s="306"/>
      <c r="D270" s="319">
        <f t="shared" ref="D270" si="114">D267-D268-D269</f>
        <v>1207687968.96</v>
      </c>
      <c r="E270" s="319">
        <f t="shared" ref="E270:G270" si="115">E267-E268-E269</f>
        <v>1207687968.9599996</v>
      </c>
      <c r="F270" s="319">
        <f t="shared" si="115"/>
        <v>759395774.05999982</v>
      </c>
      <c r="G270" s="319">
        <f t="shared" si="115"/>
        <v>0</v>
      </c>
      <c r="H270" s="249">
        <f t="shared" si="110"/>
        <v>0</v>
      </c>
      <c r="I270" s="249">
        <f t="shared" si="102"/>
        <v>0</v>
      </c>
    </row>
    <row r="271" spans="1:9" x14ac:dyDescent="0.25">
      <c r="A271" s="252"/>
      <c r="B271" s="238" t="s">
        <v>375</v>
      </c>
      <c r="C271" s="276"/>
      <c r="D271" s="277"/>
      <c r="E271" s="273"/>
      <c r="F271" s="273"/>
      <c r="G271" s="257"/>
      <c r="H271" s="249">
        <f t="shared" si="110"/>
        <v>0</v>
      </c>
      <c r="I271" s="249">
        <f t="shared" si="102"/>
        <v>0</v>
      </c>
    </row>
    <row r="272" spans="1:9" ht="242.25" x14ac:dyDescent="0.25">
      <c r="A272" s="252"/>
      <c r="B272" s="253" t="s">
        <v>529</v>
      </c>
      <c r="C272" s="254" t="s">
        <v>530</v>
      </c>
      <c r="D272" s="277">
        <v>9900000</v>
      </c>
      <c r="E272" s="273">
        <f>'Проверочная  таблица'!DM37</f>
        <v>9900000</v>
      </c>
      <c r="F272" s="273">
        <f>'Проверочная  таблица'!DQ37</f>
        <v>5260000</v>
      </c>
      <c r="G272" s="257">
        <f>D272-E272</f>
        <v>0</v>
      </c>
      <c r="H272" s="249">
        <f t="shared" si="110"/>
        <v>0</v>
      </c>
      <c r="I272" s="249">
        <f t="shared" si="102"/>
        <v>0</v>
      </c>
    </row>
    <row r="273" spans="1:10" x14ac:dyDescent="0.25">
      <c r="A273" s="310"/>
      <c r="B273" s="311" t="s">
        <v>427</v>
      </c>
      <c r="C273" s="312"/>
      <c r="D273" s="313">
        <f>D272</f>
        <v>9900000</v>
      </c>
      <c r="E273" s="313">
        <f>E272</f>
        <v>9900000</v>
      </c>
      <c r="F273" s="313">
        <f>F272</f>
        <v>5260000</v>
      </c>
      <c r="G273" s="313">
        <f>D273-E273</f>
        <v>0</v>
      </c>
      <c r="H273" s="249">
        <f t="shared" si="110"/>
        <v>0</v>
      </c>
      <c r="I273" s="249">
        <f t="shared" si="102"/>
        <v>0</v>
      </c>
    </row>
    <row r="274" spans="1:10" x14ac:dyDescent="0.25">
      <c r="A274" s="310"/>
      <c r="B274" s="311" t="s">
        <v>428</v>
      </c>
      <c r="C274" s="312"/>
      <c r="D274" s="313"/>
      <c r="E274" s="313"/>
      <c r="F274" s="313"/>
      <c r="G274" s="313">
        <f>D274-E274</f>
        <v>0</v>
      </c>
      <c r="H274" s="249">
        <f t="shared" si="110"/>
        <v>0</v>
      </c>
      <c r="I274" s="249">
        <f t="shared" si="102"/>
        <v>0</v>
      </c>
    </row>
    <row r="275" spans="1:10" ht="63.75" x14ac:dyDescent="0.25">
      <c r="A275" s="252"/>
      <c r="B275" s="253" t="s">
        <v>531</v>
      </c>
      <c r="C275" s="254" t="s">
        <v>532</v>
      </c>
      <c r="D275" s="277">
        <v>44427763.159999996</v>
      </c>
      <c r="E275" s="273">
        <f>'Проверочная  таблица'!EH37</f>
        <v>44427763.159999996</v>
      </c>
      <c r="F275" s="273">
        <f>'Проверочная  таблица'!EL37</f>
        <v>37963737.479999997</v>
      </c>
      <c r="G275" s="257">
        <f t="shared" ref="G275:G279" si="116">D275-E275</f>
        <v>0</v>
      </c>
      <c r="H275" s="249">
        <f t="shared" si="110"/>
        <v>0</v>
      </c>
      <c r="I275" s="249">
        <f t="shared" si="102"/>
        <v>0</v>
      </c>
      <c r="J275" s="315">
        <f>D275+D279</f>
        <v>888555263.15999997</v>
      </c>
    </row>
    <row r="276" spans="1:10" x14ac:dyDescent="0.25">
      <c r="A276" s="310"/>
      <c r="B276" s="311" t="s">
        <v>427</v>
      </c>
      <c r="C276" s="312"/>
      <c r="D276" s="313"/>
      <c r="E276" s="313"/>
      <c r="F276" s="313"/>
      <c r="G276" s="313">
        <f t="shared" si="116"/>
        <v>0</v>
      </c>
      <c r="H276" s="249">
        <f t="shared" si="110"/>
        <v>0</v>
      </c>
      <c r="I276" s="249">
        <f t="shared" si="102"/>
        <v>0</v>
      </c>
    </row>
    <row r="277" spans="1:10" x14ac:dyDescent="0.25">
      <c r="A277" s="310"/>
      <c r="B277" s="311" t="s">
        <v>428</v>
      </c>
      <c r="C277" s="312"/>
      <c r="D277" s="313"/>
      <c r="E277" s="313"/>
      <c r="F277" s="313"/>
      <c r="G277" s="313">
        <f t="shared" si="116"/>
        <v>0</v>
      </c>
      <c r="H277" s="249">
        <f t="shared" si="110"/>
        <v>0</v>
      </c>
      <c r="I277" s="249">
        <f t="shared" si="102"/>
        <v>0</v>
      </c>
    </row>
    <row r="278" spans="1:10" x14ac:dyDescent="0.25">
      <c r="A278" s="310"/>
      <c r="B278" s="311" t="s">
        <v>444</v>
      </c>
      <c r="C278" s="312"/>
      <c r="D278" s="313">
        <f>D275</f>
        <v>44427763.159999996</v>
      </c>
      <c r="E278" s="313">
        <f t="shared" ref="E278:F278" si="117">E275</f>
        <v>44427763.159999996</v>
      </c>
      <c r="F278" s="313">
        <f t="shared" si="117"/>
        <v>37963737.479999997</v>
      </c>
      <c r="G278" s="313">
        <f t="shared" si="116"/>
        <v>0</v>
      </c>
      <c r="H278" s="249">
        <f t="shared" si="110"/>
        <v>0</v>
      </c>
      <c r="I278" s="249">
        <f t="shared" si="102"/>
        <v>0</v>
      </c>
    </row>
    <row r="279" spans="1:10" x14ac:dyDescent="0.25">
      <c r="A279" s="280"/>
      <c r="B279" s="264" t="s">
        <v>396</v>
      </c>
      <c r="C279" s="281" t="s">
        <v>532</v>
      </c>
      <c r="D279" s="316">
        <v>844127500</v>
      </c>
      <c r="E279" s="267">
        <f>'Проверочная  таблица'!EI37</f>
        <v>844127500</v>
      </c>
      <c r="F279" s="267">
        <f>'Проверочная  таблица'!EM37</f>
        <v>721311012.22000003</v>
      </c>
      <c r="G279" s="268">
        <f t="shared" si="116"/>
        <v>0</v>
      </c>
      <c r="H279" s="249">
        <f t="shared" si="110"/>
        <v>0</v>
      </c>
      <c r="I279" s="249">
        <f t="shared" si="102"/>
        <v>0</v>
      </c>
      <c r="J279" s="315"/>
    </row>
    <row r="280" spans="1:10" x14ac:dyDescent="0.25">
      <c r="A280" s="280"/>
      <c r="B280" s="317" t="s">
        <v>427</v>
      </c>
      <c r="C280" s="318"/>
      <c r="D280" s="268"/>
      <c r="E280" s="268"/>
      <c r="F280" s="268"/>
      <c r="G280" s="268">
        <f>D280-E280</f>
        <v>0</v>
      </c>
      <c r="H280" s="249">
        <f t="shared" si="110"/>
        <v>0</v>
      </c>
      <c r="I280" s="249">
        <f t="shared" si="102"/>
        <v>0</v>
      </c>
    </row>
    <row r="281" spans="1:10" x14ac:dyDescent="0.25">
      <c r="A281" s="280"/>
      <c r="B281" s="317" t="s">
        <v>428</v>
      </c>
      <c r="C281" s="318"/>
      <c r="D281" s="268"/>
      <c r="E281" s="268"/>
      <c r="F281" s="268"/>
      <c r="G281" s="268">
        <f t="shared" ref="G281:G291" si="118">D281-E281</f>
        <v>0</v>
      </c>
      <c r="H281" s="249">
        <f t="shared" si="110"/>
        <v>0</v>
      </c>
      <c r="I281" s="249">
        <f t="shared" si="102"/>
        <v>0</v>
      </c>
    </row>
    <row r="282" spans="1:10" x14ac:dyDescent="0.25">
      <c r="A282" s="280"/>
      <c r="B282" s="317" t="s">
        <v>444</v>
      </c>
      <c r="C282" s="318"/>
      <c r="D282" s="268">
        <f>D279</f>
        <v>844127500</v>
      </c>
      <c r="E282" s="268">
        <f t="shared" ref="E282:F282" si="119">E279</f>
        <v>844127500</v>
      </c>
      <c r="F282" s="268">
        <f t="shared" si="119"/>
        <v>721311012.22000003</v>
      </c>
      <c r="G282" s="268">
        <f t="shared" si="118"/>
        <v>0</v>
      </c>
      <c r="H282" s="249">
        <f t="shared" si="110"/>
        <v>0</v>
      </c>
      <c r="I282" s="249">
        <f t="shared" si="102"/>
        <v>0</v>
      </c>
    </row>
    <row r="283" spans="1:10" ht="63.75" hidden="1" x14ac:dyDescent="0.25">
      <c r="A283" s="308"/>
      <c r="B283" s="253" t="s">
        <v>533</v>
      </c>
      <c r="C283" s="254" t="s">
        <v>534</v>
      </c>
      <c r="D283" s="277"/>
      <c r="E283" s="273">
        <f>'Проверочная  таблица'!OC37</f>
        <v>0</v>
      </c>
      <c r="F283" s="273">
        <f>'Проверочная  таблица'!OG37</f>
        <v>0</v>
      </c>
      <c r="G283" s="257">
        <f t="shared" si="118"/>
        <v>0</v>
      </c>
      <c r="H283" s="249">
        <f t="shared" si="110"/>
        <v>0</v>
      </c>
      <c r="I283" s="249">
        <f>IF(G283&lt;0,1,0)</f>
        <v>0</v>
      </c>
      <c r="J283" s="315">
        <f>D283+D287</f>
        <v>0</v>
      </c>
    </row>
    <row r="284" spans="1:10" hidden="1" x14ac:dyDescent="0.25">
      <c r="A284" s="310"/>
      <c r="B284" s="311" t="s">
        <v>427</v>
      </c>
      <c r="C284" s="312"/>
      <c r="D284" s="313"/>
      <c r="E284" s="313"/>
      <c r="F284" s="313"/>
      <c r="G284" s="313">
        <f t="shared" si="118"/>
        <v>0</v>
      </c>
      <c r="H284" s="249">
        <f t="shared" si="110"/>
        <v>0</v>
      </c>
      <c r="I284" s="249">
        <f>IF(G284&lt;0,1,0)</f>
        <v>0</v>
      </c>
    </row>
    <row r="285" spans="1:10" hidden="1" x14ac:dyDescent="0.25">
      <c r="A285" s="310"/>
      <c r="B285" s="311" t="s">
        <v>428</v>
      </c>
      <c r="C285" s="312"/>
      <c r="D285" s="313"/>
      <c r="E285" s="313"/>
      <c r="F285" s="313"/>
      <c r="G285" s="313">
        <f t="shared" si="118"/>
        <v>0</v>
      </c>
      <c r="H285" s="249">
        <f t="shared" si="110"/>
        <v>0</v>
      </c>
      <c r="I285" s="249">
        <f>IF(G285&lt;0,1,0)</f>
        <v>0</v>
      </c>
    </row>
    <row r="286" spans="1:10" hidden="1" x14ac:dyDescent="0.25">
      <c r="A286" s="310"/>
      <c r="B286" s="311" t="s">
        <v>444</v>
      </c>
      <c r="C286" s="312"/>
      <c r="D286" s="313">
        <f>D283-D284-D285</f>
        <v>0</v>
      </c>
      <c r="E286" s="313">
        <f t="shared" ref="E286:F286" si="120">E283-E284-E285</f>
        <v>0</v>
      </c>
      <c r="F286" s="313">
        <f t="shared" si="120"/>
        <v>0</v>
      </c>
      <c r="G286" s="313">
        <f t="shared" si="118"/>
        <v>0</v>
      </c>
      <c r="H286" s="249"/>
      <c r="I286" s="249"/>
    </row>
    <row r="287" spans="1:10" hidden="1" x14ac:dyDescent="0.25">
      <c r="A287" s="280"/>
      <c r="B287" s="264" t="s">
        <v>396</v>
      </c>
      <c r="C287" s="281" t="s">
        <v>535</v>
      </c>
      <c r="D287" s="282"/>
      <c r="E287" s="267">
        <f>'Проверочная  таблица'!OD37</f>
        <v>0</v>
      </c>
      <c r="F287" s="267">
        <f>'Проверочная  таблица'!OH37</f>
        <v>0</v>
      </c>
      <c r="G287" s="268">
        <f t="shared" si="118"/>
        <v>0</v>
      </c>
      <c r="H287" s="249">
        <f t="shared" si="110"/>
        <v>0</v>
      </c>
      <c r="I287" s="249">
        <f>IF(G287&lt;0,1,0)</f>
        <v>0</v>
      </c>
    </row>
    <row r="288" spans="1:10" hidden="1" x14ac:dyDescent="0.25">
      <c r="A288" s="280"/>
      <c r="B288" s="317" t="s">
        <v>427</v>
      </c>
      <c r="C288" s="318"/>
      <c r="D288" s="268"/>
      <c r="E288" s="268"/>
      <c r="F288" s="268"/>
      <c r="G288" s="268">
        <f t="shared" si="118"/>
        <v>0</v>
      </c>
      <c r="H288" s="249">
        <f t="shared" si="110"/>
        <v>0</v>
      </c>
      <c r="I288" s="249">
        <f>IF(G288&lt;0,1,0)</f>
        <v>0</v>
      </c>
    </row>
    <row r="289" spans="1:10" hidden="1" x14ac:dyDescent="0.25">
      <c r="A289" s="280"/>
      <c r="B289" s="317" t="s">
        <v>428</v>
      </c>
      <c r="C289" s="318"/>
      <c r="D289" s="268"/>
      <c r="E289" s="268"/>
      <c r="F289" s="268"/>
      <c r="G289" s="268">
        <f t="shared" si="118"/>
        <v>0</v>
      </c>
      <c r="H289" s="249">
        <f t="shared" si="110"/>
        <v>0</v>
      </c>
      <c r="I289" s="249">
        <f>IF(G289&lt;0,1,0)</f>
        <v>0</v>
      </c>
    </row>
    <row r="290" spans="1:10" hidden="1" x14ac:dyDescent="0.25">
      <c r="A290" s="280"/>
      <c r="B290" s="317" t="s">
        <v>444</v>
      </c>
      <c r="C290" s="318"/>
      <c r="D290" s="268">
        <f>D287-D288-D289</f>
        <v>0</v>
      </c>
      <c r="E290" s="268">
        <f t="shared" ref="E290:F290" si="121">E287-E288-E289</f>
        <v>0</v>
      </c>
      <c r="F290" s="268">
        <f t="shared" si="121"/>
        <v>0</v>
      </c>
      <c r="G290" s="268">
        <f t="shared" si="118"/>
        <v>0</v>
      </c>
      <c r="H290" s="249"/>
      <c r="I290" s="249"/>
    </row>
    <row r="291" spans="1:10" ht="89.25" hidden="1" x14ac:dyDescent="0.25">
      <c r="A291" s="308"/>
      <c r="B291" s="278" t="s">
        <v>536</v>
      </c>
      <c r="C291" s="254" t="s">
        <v>537</v>
      </c>
      <c r="D291" s="277"/>
      <c r="E291" s="279">
        <f>'Проверочная  таблица'!OE37</f>
        <v>0</v>
      </c>
      <c r="F291" s="279">
        <f>'Проверочная  таблица'!OI37</f>
        <v>0</v>
      </c>
      <c r="G291" s="257">
        <f t="shared" si="118"/>
        <v>0</v>
      </c>
      <c r="H291" s="249">
        <f t="shared" ref="H291:H325" si="122">IF(F291&gt;E291,1,0)</f>
        <v>0</v>
      </c>
      <c r="I291" s="249">
        <f t="shared" ref="I291:I325" si="123">IF(G291&lt;0,1,0)</f>
        <v>0</v>
      </c>
    </row>
    <row r="292" spans="1:10" hidden="1" x14ac:dyDescent="0.25">
      <c r="A292" s="310"/>
      <c r="B292" s="311" t="s">
        <v>427</v>
      </c>
      <c r="C292" s="312"/>
      <c r="D292" s="313"/>
      <c r="E292" s="313"/>
      <c r="F292" s="313"/>
      <c r="G292" s="313"/>
      <c r="H292" s="249">
        <f t="shared" si="122"/>
        <v>0</v>
      </c>
      <c r="I292" s="249">
        <f t="shared" si="123"/>
        <v>0</v>
      </c>
    </row>
    <row r="293" spans="1:10" hidden="1" x14ac:dyDescent="0.25">
      <c r="A293" s="310"/>
      <c r="B293" s="311" t="s">
        <v>538</v>
      </c>
      <c r="C293" s="312"/>
      <c r="D293" s="313"/>
      <c r="E293" s="313"/>
      <c r="F293" s="313"/>
      <c r="G293" s="313"/>
      <c r="H293" s="249">
        <f t="shared" si="122"/>
        <v>0</v>
      </c>
      <c r="I293" s="249">
        <f t="shared" si="123"/>
        <v>0</v>
      </c>
    </row>
    <row r="294" spans="1:10" hidden="1" x14ac:dyDescent="0.25">
      <c r="A294" s="310"/>
      <c r="B294" s="311" t="s">
        <v>444</v>
      </c>
      <c r="C294" s="312"/>
      <c r="D294" s="314">
        <f>D291-D292-D293</f>
        <v>0</v>
      </c>
      <c r="E294" s="314">
        <f t="shared" ref="E294:G294" si="124">E291-E292-E293</f>
        <v>0</v>
      </c>
      <c r="F294" s="314">
        <f t="shared" si="124"/>
        <v>0</v>
      </c>
      <c r="G294" s="314">
        <f t="shared" si="124"/>
        <v>0</v>
      </c>
      <c r="H294" s="249">
        <f t="shared" si="122"/>
        <v>0</v>
      </c>
      <c r="I294" s="249">
        <f t="shared" si="123"/>
        <v>0</v>
      </c>
    </row>
    <row r="295" spans="1:10" ht="89.25" x14ac:dyDescent="0.25">
      <c r="A295" s="252"/>
      <c r="B295" s="253" t="s">
        <v>539</v>
      </c>
      <c r="C295" s="254" t="s">
        <v>540</v>
      </c>
      <c r="D295" s="277">
        <v>319132705.80000001</v>
      </c>
      <c r="E295" s="273">
        <f>'Проверочная  таблица'!EG37</f>
        <v>319132705.80000001</v>
      </c>
      <c r="F295" s="273">
        <f>'Проверочная  таблица'!EK37</f>
        <v>121024.36</v>
      </c>
      <c r="G295" s="257">
        <f t="shared" ref="G295:G328" si="125">D295-E295</f>
        <v>0</v>
      </c>
      <c r="H295" s="249">
        <f t="shared" si="122"/>
        <v>0</v>
      </c>
      <c r="I295" s="249">
        <f t="shared" si="123"/>
        <v>0</v>
      </c>
    </row>
    <row r="296" spans="1:10" x14ac:dyDescent="0.25">
      <c r="A296" s="310"/>
      <c r="B296" s="311" t="s">
        <v>427</v>
      </c>
      <c r="C296" s="312"/>
      <c r="D296" s="313"/>
      <c r="E296" s="313"/>
      <c r="F296" s="313"/>
      <c r="G296" s="313">
        <f t="shared" si="125"/>
        <v>0</v>
      </c>
      <c r="H296" s="249">
        <f t="shared" si="122"/>
        <v>0</v>
      </c>
      <c r="I296" s="249">
        <f t="shared" si="123"/>
        <v>0</v>
      </c>
    </row>
    <row r="297" spans="1:10" x14ac:dyDescent="0.25">
      <c r="A297" s="310"/>
      <c r="B297" s="311" t="s">
        <v>428</v>
      </c>
      <c r="C297" s="312"/>
      <c r="D297" s="313"/>
      <c r="E297" s="313"/>
      <c r="F297" s="313"/>
      <c r="G297" s="313">
        <f t="shared" si="125"/>
        <v>0</v>
      </c>
      <c r="H297" s="249">
        <f t="shared" si="122"/>
        <v>0</v>
      </c>
      <c r="I297" s="249">
        <f t="shared" si="123"/>
        <v>0</v>
      </c>
    </row>
    <row r="298" spans="1:10" x14ac:dyDescent="0.25">
      <c r="A298" s="310"/>
      <c r="B298" s="311" t="s">
        <v>444</v>
      </c>
      <c r="C298" s="312"/>
      <c r="D298" s="313">
        <f>D295</f>
        <v>319132705.80000001</v>
      </c>
      <c r="E298" s="313">
        <f t="shared" ref="E298:F298" si="126">E295</f>
        <v>319132705.80000001</v>
      </c>
      <c r="F298" s="313">
        <f t="shared" si="126"/>
        <v>121024.36</v>
      </c>
      <c r="G298" s="313">
        <f t="shared" si="125"/>
        <v>0</v>
      </c>
      <c r="H298" s="249">
        <f t="shared" si="122"/>
        <v>0</v>
      </c>
      <c r="I298" s="249">
        <f t="shared" si="123"/>
        <v>0</v>
      </c>
    </row>
    <row r="299" spans="1:10" ht="114.75" x14ac:dyDescent="0.25">
      <c r="A299" s="252"/>
      <c r="B299" s="253" t="s">
        <v>541</v>
      </c>
      <c r="C299" s="254" t="s">
        <v>542</v>
      </c>
      <c r="D299" s="277">
        <f>157442.11+157442.11</f>
        <v>314884.21999999997</v>
      </c>
      <c r="E299" s="273">
        <f>'Проверочная  таблица'!DU37</f>
        <v>314884.21999999974</v>
      </c>
      <c r="F299" s="273">
        <f>'Проверочная  таблица'!DX37</f>
        <v>238229.28</v>
      </c>
      <c r="G299" s="257">
        <f t="shared" si="125"/>
        <v>0</v>
      </c>
      <c r="H299" s="249">
        <f t="shared" si="122"/>
        <v>0</v>
      </c>
      <c r="I299" s="249">
        <f t="shared" si="123"/>
        <v>0</v>
      </c>
      <c r="J299" s="315">
        <f>D299+D302</f>
        <v>6297684.2199999997</v>
      </c>
    </row>
    <row r="300" spans="1:10" x14ac:dyDescent="0.25">
      <c r="A300" s="310"/>
      <c r="B300" s="311" t="s">
        <v>427</v>
      </c>
      <c r="C300" s="312"/>
      <c r="D300" s="313">
        <f>D299</f>
        <v>314884.21999999997</v>
      </c>
      <c r="E300" s="313">
        <f>E299</f>
        <v>314884.21999999974</v>
      </c>
      <c r="F300" s="313">
        <f>F299</f>
        <v>238229.28</v>
      </c>
      <c r="G300" s="313">
        <f t="shared" si="125"/>
        <v>0</v>
      </c>
      <c r="H300" s="249">
        <f t="shared" si="122"/>
        <v>0</v>
      </c>
      <c r="I300" s="249">
        <f t="shared" si="123"/>
        <v>0</v>
      </c>
    </row>
    <row r="301" spans="1:10" x14ac:dyDescent="0.25">
      <c r="A301" s="310"/>
      <c r="B301" s="311" t="s">
        <v>428</v>
      </c>
      <c r="C301" s="312"/>
      <c r="D301" s="313"/>
      <c r="E301" s="313"/>
      <c r="F301" s="313"/>
      <c r="G301" s="313">
        <f t="shared" si="125"/>
        <v>0</v>
      </c>
      <c r="H301" s="249">
        <f t="shared" si="122"/>
        <v>0</v>
      </c>
      <c r="I301" s="249">
        <f t="shared" si="123"/>
        <v>0</v>
      </c>
    </row>
    <row r="302" spans="1:10" x14ac:dyDescent="0.25">
      <c r="A302" s="280"/>
      <c r="B302" s="264" t="s">
        <v>396</v>
      </c>
      <c r="C302" s="281" t="s">
        <v>542</v>
      </c>
      <c r="D302" s="316">
        <f>2991400+2991400</f>
        <v>5982800</v>
      </c>
      <c r="E302" s="267">
        <f>'Проверочная  таблица'!DV37</f>
        <v>5982800</v>
      </c>
      <c r="F302" s="267">
        <f>'Проверочная  таблица'!DY37</f>
        <v>4526356.16</v>
      </c>
      <c r="G302" s="268">
        <f t="shared" si="125"/>
        <v>0</v>
      </c>
      <c r="H302" s="249">
        <f t="shared" si="122"/>
        <v>0</v>
      </c>
      <c r="I302" s="249">
        <f t="shared" si="123"/>
        <v>0</v>
      </c>
    </row>
    <row r="303" spans="1:10" x14ac:dyDescent="0.25">
      <c r="A303" s="280"/>
      <c r="B303" s="317" t="s">
        <v>427</v>
      </c>
      <c r="C303" s="318"/>
      <c r="D303" s="268">
        <f>D302</f>
        <v>5982800</v>
      </c>
      <c r="E303" s="268">
        <f>E302</f>
        <v>5982800</v>
      </c>
      <c r="F303" s="268">
        <f>F302</f>
        <v>4526356.16</v>
      </c>
      <c r="G303" s="268">
        <f t="shared" si="125"/>
        <v>0</v>
      </c>
      <c r="H303" s="249">
        <f t="shared" si="122"/>
        <v>0</v>
      </c>
      <c r="I303" s="249">
        <f t="shared" si="123"/>
        <v>0</v>
      </c>
    </row>
    <row r="304" spans="1:10" x14ac:dyDescent="0.25">
      <c r="A304" s="280"/>
      <c r="B304" s="317" t="s">
        <v>428</v>
      </c>
      <c r="C304" s="318"/>
      <c r="D304" s="268"/>
      <c r="E304" s="268"/>
      <c r="F304" s="268"/>
      <c r="G304" s="268">
        <f t="shared" si="125"/>
        <v>0</v>
      </c>
      <c r="H304" s="249">
        <f t="shared" si="122"/>
        <v>0</v>
      </c>
      <c r="I304" s="249">
        <f t="shared" si="123"/>
        <v>0</v>
      </c>
    </row>
    <row r="305" spans="1:11" ht="127.5" x14ac:dyDescent="0.25">
      <c r="A305" s="252"/>
      <c r="B305" s="278" t="s">
        <v>543</v>
      </c>
      <c r="C305" s="254" t="s">
        <v>544</v>
      </c>
      <c r="D305" s="277">
        <f>372800000-100000000</f>
        <v>272800000</v>
      </c>
      <c r="E305" s="279">
        <f>'Прочая  субсидия_МР  и  ГО'!J43</f>
        <v>272800000</v>
      </c>
      <c r="F305" s="279">
        <f>'Прочая  субсидия_МР  и  ГО'!K43</f>
        <v>4310277.47</v>
      </c>
      <c r="G305" s="257">
        <f t="shared" si="125"/>
        <v>0</v>
      </c>
      <c r="H305" s="249">
        <f t="shared" si="122"/>
        <v>0</v>
      </c>
      <c r="I305" s="249">
        <f t="shared" si="123"/>
        <v>0</v>
      </c>
    </row>
    <row r="306" spans="1:11" x14ac:dyDescent="0.25">
      <c r="A306" s="252"/>
      <c r="B306" s="311" t="s">
        <v>427</v>
      </c>
      <c r="C306" s="312"/>
      <c r="D306" s="313">
        <f>D305-D307</f>
        <v>272800000</v>
      </c>
      <c r="E306" s="313">
        <f t="shared" ref="E306:F306" si="127">E305-E307</f>
        <v>272800000</v>
      </c>
      <c r="F306" s="313">
        <f t="shared" si="127"/>
        <v>4310277.47</v>
      </c>
      <c r="G306" s="313">
        <f t="shared" si="125"/>
        <v>0</v>
      </c>
      <c r="H306" s="249">
        <f t="shared" si="122"/>
        <v>0</v>
      </c>
      <c r="I306" s="249">
        <f t="shared" si="123"/>
        <v>0</v>
      </c>
    </row>
    <row r="307" spans="1:11" x14ac:dyDescent="0.25">
      <c r="A307" s="252"/>
      <c r="B307" s="311" t="s">
        <v>428</v>
      </c>
      <c r="C307" s="312"/>
      <c r="D307" s="337"/>
      <c r="E307" s="314"/>
      <c r="F307" s="337"/>
      <c r="G307" s="313">
        <f t="shared" si="125"/>
        <v>0</v>
      </c>
      <c r="H307" s="249">
        <f t="shared" si="122"/>
        <v>0</v>
      </c>
      <c r="I307" s="249">
        <f t="shared" si="123"/>
        <v>0</v>
      </c>
    </row>
    <row r="308" spans="1:11" ht="140.25" x14ac:dyDescent="0.25">
      <c r="A308" s="252"/>
      <c r="B308" s="278" t="s">
        <v>545</v>
      </c>
      <c r="C308" s="254" t="s">
        <v>546</v>
      </c>
      <c r="D308" s="277">
        <v>60000000</v>
      </c>
      <c r="E308" s="279">
        <f>'Прочая  субсидия_МР  и  ГО'!L43</f>
        <v>60000000</v>
      </c>
      <c r="F308" s="279">
        <f>'Прочая  субсидия_МР  и  ГО'!M43</f>
        <v>8566726.8599999994</v>
      </c>
      <c r="G308" s="257">
        <f t="shared" si="125"/>
        <v>0</v>
      </c>
      <c r="H308" s="249">
        <f t="shared" si="122"/>
        <v>0</v>
      </c>
      <c r="I308" s="249">
        <f t="shared" si="123"/>
        <v>0</v>
      </c>
    </row>
    <row r="309" spans="1:11" x14ac:dyDescent="0.25">
      <c r="A309" s="252"/>
      <c r="B309" s="311" t="s">
        <v>427</v>
      </c>
      <c r="C309" s="312"/>
      <c r="D309" s="313">
        <f>D308-D310</f>
        <v>60000000</v>
      </c>
      <c r="E309" s="313">
        <f t="shared" ref="E309:F309" si="128">E308-E310</f>
        <v>60000000</v>
      </c>
      <c r="F309" s="313">
        <f t="shared" si="128"/>
        <v>8566726.8599999994</v>
      </c>
      <c r="G309" s="313">
        <f t="shared" si="125"/>
        <v>0</v>
      </c>
      <c r="H309" s="249">
        <f t="shared" si="122"/>
        <v>0</v>
      </c>
      <c r="I309" s="249">
        <f t="shared" si="123"/>
        <v>0</v>
      </c>
    </row>
    <row r="310" spans="1:11" x14ac:dyDescent="0.25">
      <c r="A310" s="252"/>
      <c r="B310" s="311" t="s">
        <v>428</v>
      </c>
      <c r="C310" s="312"/>
      <c r="D310" s="337"/>
      <c r="E310" s="314"/>
      <c r="F310" s="337"/>
      <c r="G310" s="313">
        <f t="shared" si="125"/>
        <v>0</v>
      </c>
      <c r="H310" s="249">
        <f t="shared" si="122"/>
        <v>0</v>
      </c>
      <c r="I310" s="249">
        <f t="shared" si="123"/>
        <v>0</v>
      </c>
    </row>
    <row r="311" spans="1:11" ht="89.25" x14ac:dyDescent="0.25">
      <c r="A311" s="252"/>
      <c r="B311" s="1227" t="s">
        <v>1343</v>
      </c>
      <c r="C311" s="1228" t="s">
        <v>1342</v>
      </c>
      <c r="D311" s="277">
        <f>167992816.22</f>
        <v>167992816.22</v>
      </c>
      <c r="E311" s="273">
        <f>'Проверочная  таблица'!SD37</f>
        <v>167992816.22000003</v>
      </c>
      <c r="F311" s="273">
        <f>'Проверочная  таблица'!SH37</f>
        <v>135751128.24000001</v>
      </c>
      <c r="G311" s="257">
        <f t="shared" si="125"/>
        <v>0</v>
      </c>
      <c r="H311" s="249">
        <f t="shared" si="122"/>
        <v>0</v>
      </c>
      <c r="I311" s="249">
        <f t="shared" si="123"/>
        <v>0</v>
      </c>
      <c r="J311" s="315">
        <f>D311+D314</f>
        <v>646126216.22000003</v>
      </c>
    </row>
    <row r="312" spans="1:11" x14ac:dyDescent="0.25">
      <c r="A312" s="310"/>
      <c r="B312" s="311" t="s">
        <v>427</v>
      </c>
      <c r="C312" s="312"/>
      <c r="D312" s="313">
        <f>D311</f>
        <v>167992816.22</v>
      </c>
      <c r="E312" s="313">
        <f>E311</f>
        <v>167992816.22000003</v>
      </c>
      <c r="F312" s="313">
        <f>F311</f>
        <v>135751128.24000001</v>
      </c>
      <c r="G312" s="313">
        <f t="shared" si="125"/>
        <v>0</v>
      </c>
      <c r="H312" s="249">
        <f t="shared" si="122"/>
        <v>0</v>
      </c>
      <c r="I312" s="249">
        <f t="shared" si="123"/>
        <v>0</v>
      </c>
    </row>
    <row r="313" spans="1:11" x14ac:dyDescent="0.25">
      <c r="A313" s="310"/>
      <c r="B313" s="311" t="s">
        <v>428</v>
      </c>
      <c r="C313" s="312"/>
      <c r="D313" s="313"/>
      <c r="E313" s="313"/>
      <c r="F313" s="313"/>
      <c r="G313" s="313">
        <f t="shared" si="125"/>
        <v>0</v>
      </c>
      <c r="H313" s="249">
        <f t="shared" si="122"/>
        <v>0</v>
      </c>
      <c r="I313" s="249">
        <f t="shared" si="123"/>
        <v>0</v>
      </c>
    </row>
    <row r="314" spans="1:11" x14ac:dyDescent="0.25">
      <c r="A314" s="280"/>
      <c r="B314" s="264" t="s">
        <v>396</v>
      </c>
      <c r="C314" s="281" t="s">
        <v>1342</v>
      </c>
      <c r="D314" s="316">
        <f>478133400</f>
        <v>478133400</v>
      </c>
      <c r="E314" s="267">
        <f>'Проверочная  таблица'!SE37</f>
        <v>478133400</v>
      </c>
      <c r="F314" s="267">
        <f>'Проверочная  таблица'!SI37</f>
        <v>386368595.75999999</v>
      </c>
      <c r="G314" s="268">
        <f t="shared" si="125"/>
        <v>0</v>
      </c>
      <c r="H314" s="249">
        <f t="shared" si="122"/>
        <v>0</v>
      </c>
      <c r="I314" s="249">
        <f t="shared" si="123"/>
        <v>0</v>
      </c>
    </row>
    <row r="315" spans="1:11" x14ac:dyDescent="0.25">
      <c r="A315" s="280"/>
      <c r="B315" s="317" t="s">
        <v>427</v>
      </c>
      <c r="C315" s="318"/>
      <c r="D315" s="268">
        <f>D314</f>
        <v>478133400</v>
      </c>
      <c r="E315" s="268">
        <f>E314</f>
        <v>478133400</v>
      </c>
      <c r="F315" s="268">
        <f>F314</f>
        <v>386368595.75999999</v>
      </c>
      <c r="G315" s="268">
        <f t="shared" si="125"/>
        <v>0</v>
      </c>
      <c r="H315" s="249">
        <f t="shared" si="122"/>
        <v>0</v>
      </c>
      <c r="I315" s="249">
        <f t="shared" si="123"/>
        <v>0</v>
      </c>
    </row>
    <row r="316" spans="1:11" x14ac:dyDescent="0.25">
      <c r="A316" s="280"/>
      <c r="B316" s="317" t="s">
        <v>428</v>
      </c>
      <c r="C316" s="318"/>
      <c r="D316" s="268"/>
      <c r="E316" s="268"/>
      <c r="F316" s="268"/>
      <c r="G316" s="268">
        <f t="shared" si="125"/>
        <v>0</v>
      </c>
      <c r="H316" s="249">
        <f t="shared" si="122"/>
        <v>0</v>
      </c>
      <c r="I316" s="249">
        <f t="shared" si="123"/>
        <v>0</v>
      </c>
    </row>
    <row r="317" spans="1:11" ht="89.25" x14ac:dyDescent="0.25">
      <c r="A317" s="1226"/>
      <c r="B317" s="1227" t="s">
        <v>1345</v>
      </c>
      <c r="C317" s="1228" t="s">
        <v>1344</v>
      </c>
      <c r="D317" s="277">
        <v>30.65</v>
      </c>
      <c r="E317" s="273"/>
      <c r="F317" s="273"/>
      <c r="G317" s="257">
        <f t="shared" ref="G317:G322" si="129">D317-E317</f>
        <v>30.65</v>
      </c>
      <c r="H317" s="249">
        <f t="shared" ref="H317:H322" si="130">IF(F317&gt;E317,1,0)</f>
        <v>0</v>
      </c>
      <c r="I317" s="249">
        <f t="shared" ref="I317:I322" si="131">IF(G317&lt;0,1,0)</f>
        <v>0</v>
      </c>
      <c r="J317" s="315">
        <f>D317+D320</f>
        <v>109.49000000000001</v>
      </c>
      <c r="K317" s="1254">
        <f>G317+G320</f>
        <v>109.49000000000001</v>
      </c>
    </row>
    <row r="318" spans="1:11" x14ac:dyDescent="0.25">
      <c r="A318" s="310"/>
      <c r="B318" s="311" t="s">
        <v>427</v>
      </c>
      <c r="C318" s="312"/>
      <c r="D318" s="313">
        <f>D317</f>
        <v>30.65</v>
      </c>
      <c r="E318" s="313">
        <f>E317</f>
        <v>0</v>
      </c>
      <c r="F318" s="313">
        <f>F317</f>
        <v>0</v>
      </c>
      <c r="G318" s="313">
        <f t="shared" si="129"/>
        <v>30.65</v>
      </c>
      <c r="H318" s="249">
        <f t="shared" si="130"/>
        <v>0</v>
      </c>
      <c r="I318" s="249">
        <f t="shared" si="131"/>
        <v>0</v>
      </c>
    </row>
    <row r="319" spans="1:11" x14ac:dyDescent="0.25">
      <c r="A319" s="310"/>
      <c r="B319" s="311" t="s">
        <v>428</v>
      </c>
      <c r="C319" s="312"/>
      <c r="D319" s="313"/>
      <c r="E319" s="313"/>
      <c r="F319" s="313"/>
      <c r="G319" s="313">
        <f t="shared" si="129"/>
        <v>0</v>
      </c>
      <c r="H319" s="249">
        <f t="shared" si="130"/>
        <v>0</v>
      </c>
      <c r="I319" s="249">
        <f t="shared" si="131"/>
        <v>0</v>
      </c>
    </row>
    <row r="320" spans="1:11" x14ac:dyDescent="0.25">
      <c r="A320" s="280"/>
      <c r="B320" s="264" t="s">
        <v>396</v>
      </c>
      <c r="C320" s="281" t="s">
        <v>1344</v>
      </c>
      <c r="D320" s="316">
        <v>78.84</v>
      </c>
      <c r="E320" s="267"/>
      <c r="F320" s="267"/>
      <c r="G320" s="268">
        <f t="shared" si="129"/>
        <v>78.84</v>
      </c>
      <c r="H320" s="249">
        <f t="shared" si="130"/>
        <v>0</v>
      </c>
      <c r="I320" s="249">
        <f t="shared" si="131"/>
        <v>0</v>
      </c>
    </row>
    <row r="321" spans="1:13" x14ac:dyDescent="0.25">
      <c r="A321" s="280"/>
      <c r="B321" s="317" t="s">
        <v>427</v>
      </c>
      <c r="C321" s="318"/>
      <c r="D321" s="268">
        <f>D320</f>
        <v>78.84</v>
      </c>
      <c r="E321" s="268">
        <f>E320</f>
        <v>0</v>
      </c>
      <c r="F321" s="268">
        <f>F320</f>
        <v>0</v>
      </c>
      <c r="G321" s="268">
        <f t="shared" si="129"/>
        <v>78.84</v>
      </c>
      <c r="H321" s="249">
        <f t="shared" si="130"/>
        <v>0</v>
      </c>
      <c r="I321" s="249">
        <f t="shared" si="131"/>
        <v>0</v>
      </c>
    </row>
    <row r="322" spans="1:13" x14ac:dyDescent="0.25">
      <c r="A322" s="280"/>
      <c r="B322" s="317" t="s">
        <v>428</v>
      </c>
      <c r="C322" s="318"/>
      <c r="D322" s="268"/>
      <c r="E322" s="268"/>
      <c r="F322" s="268"/>
      <c r="G322" s="268">
        <f t="shared" si="129"/>
        <v>0</v>
      </c>
      <c r="H322" s="249">
        <f t="shared" si="130"/>
        <v>0</v>
      </c>
      <c r="I322" s="249">
        <f t="shared" si="131"/>
        <v>0</v>
      </c>
    </row>
    <row r="323" spans="1:13" ht="89.25" x14ac:dyDescent="0.25">
      <c r="A323" s="252"/>
      <c r="B323" s="253" t="s">
        <v>547</v>
      </c>
      <c r="C323" s="254" t="s">
        <v>548</v>
      </c>
      <c r="D323" s="277">
        <f>211846070.68+212818335</f>
        <v>424664405.68000001</v>
      </c>
      <c r="E323" s="273">
        <f>'Проверочная  таблица'!SC37</f>
        <v>311846070.68000001</v>
      </c>
      <c r="F323" s="273">
        <f>'Проверочная  таблица'!SG37</f>
        <v>193907064.15000001</v>
      </c>
      <c r="G323" s="257">
        <f t="shared" si="125"/>
        <v>112818335</v>
      </c>
      <c r="H323" s="249">
        <f t="shared" si="122"/>
        <v>0</v>
      </c>
      <c r="I323" s="249">
        <f t="shared" si="123"/>
        <v>0</v>
      </c>
      <c r="M323" s="332"/>
    </row>
    <row r="324" spans="1:13" x14ac:dyDescent="0.25">
      <c r="A324" s="310"/>
      <c r="B324" s="311" t="s">
        <v>427</v>
      </c>
      <c r="C324" s="312"/>
      <c r="D324" s="313">
        <f>D323</f>
        <v>424664405.68000001</v>
      </c>
      <c r="E324" s="313">
        <f>E323</f>
        <v>311846070.68000001</v>
      </c>
      <c r="F324" s="313">
        <f>F323</f>
        <v>193907064.15000001</v>
      </c>
      <c r="G324" s="313">
        <f t="shared" si="125"/>
        <v>112818335</v>
      </c>
      <c r="H324" s="249">
        <f t="shared" si="122"/>
        <v>0</v>
      </c>
      <c r="I324" s="249">
        <f t="shared" si="123"/>
        <v>0</v>
      </c>
    </row>
    <row r="325" spans="1:13" x14ac:dyDescent="0.25">
      <c r="A325" s="310"/>
      <c r="B325" s="311" t="s">
        <v>428</v>
      </c>
      <c r="C325" s="312"/>
      <c r="D325" s="313">
        <f>D323-D324</f>
        <v>0</v>
      </c>
      <c r="E325" s="313">
        <f>E323-E324</f>
        <v>0</v>
      </c>
      <c r="F325" s="313">
        <f>F323-F324</f>
        <v>0</v>
      </c>
      <c r="G325" s="313">
        <f t="shared" si="125"/>
        <v>0</v>
      </c>
      <c r="H325" s="249">
        <f t="shared" si="122"/>
        <v>0</v>
      </c>
      <c r="I325" s="249">
        <f t="shared" si="123"/>
        <v>0</v>
      </c>
    </row>
    <row r="326" spans="1:13" ht="127.5" x14ac:dyDescent="0.25">
      <c r="A326" s="252"/>
      <c r="B326" s="253" t="s">
        <v>549</v>
      </c>
      <c r="C326" s="254" t="s">
        <v>550</v>
      </c>
      <c r="D326" s="277">
        <f>26845200-8274995.34</f>
        <v>18570204.66</v>
      </c>
      <c r="E326" s="273">
        <f>'Прочая  субсидия_МР  и  ГО'!N33</f>
        <v>18570204.66</v>
      </c>
      <c r="F326" s="273">
        <f>'Прочая  субсидия_МР  и  ГО'!O33</f>
        <v>10533091.49</v>
      </c>
      <c r="G326" s="257">
        <f t="shared" si="125"/>
        <v>0</v>
      </c>
      <c r="H326" s="249">
        <f t="shared" si="110"/>
        <v>0</v>
      </c>
      <c r="I326" s="249">
        <f t="shared" si="102"/>
        <v>0</v>
      </c>
    </row>
    <row r="327" spans="1:13" x14ac:dyDescent="0.25">
      <c r="A327" s="310"/>
      <c r="B327" s="311" t="s">
        <v>427</v>
      </c>
      <c r="C327" s="312"/>
      <c r="D327" s="313">
        <f>D326</f>
        <v>18570204.66</v>
      </c>
      <c r="E327" s="313">
        <f>E326</f>
        <v>18570204.66</v>
      </c>
      <c r="F327" s="313">
        <f>F326</f>
        <v>10533091.49</v>
      </c>
      <c r="G327" s="313">
        <f t="shared" si="125"/>
        <v>0</v>
      </c>
      <c r="H327" s="249">
        <f t="shared" si="110"/>
        <v>0</v>
      </c>
      <c r="I327" s="249">
        <f t="shared" si="102"/>
        <v>0</v>
      </c>
    </row>
    <row r="328" spans="1:13" x14ac:dyDescent="0.25">
      <c r="A328" s="310"/>
      <c r="B328" s="311" t="s">
        <v>428</v>
      </c>
      <c r="C328" s="312"/>
      <c r="D328" s="313">
        <f>D326-D327</f>
        <v>0</v>
      </c>
      <c r="E328" s="313">
        <f>E326-E327</f>
        <v>0</v>
      </c>
      <c r="F328" s="313">
        <f>F326-F327</f>
        <v>0</v>
      </c>
      <c r="G328" s="313">
        <f t="shared" si="125"/>
        <v>0</v>
      </c>
      <c r="H328" s="249">
        <f t="shared" si="110"/>
        <v>0</v>
      </c>
      <c r="I328" s="249">
        <f t="shared" si="102"/>
        <v>0</v>
      </c>
    </row>
    <row r="329" spans="1:13" ht="140.25" hidden="1" x14ac:dyDescent="0.25">
      <c r="A329" s="308"/>
      <c r="B329" s="278" t="s">
        <v>429</v>
      </c>
      <c r="C329" s="254" t="s">
        <v>430</v>
      </c>
      <c r="D329" s="277"/>
      <c r="E329" s="279">
        <f>D329</f>
        <v>0</v>
      </c>
      <c r="F329" s="309"/>
      <c r="G329" s="257">
        <f>D329-E329</f>
        <v>0</v>
      </c>
      <c r="H329" s="249">
        <f t="shared" si="110"/>
        <v>0</v>
      </c>
      <c r="I329" s="249">
        <f t="shared" si="102"/>
        <v>0</v>
      </c>
    </row>
    <row r="330" spans="1:13" hidden="1" x14ac:dyDescent="0.25">
      <c r="A330" s="310"/>
      <c r="B330" s="311" t="s">
        <v>427</v>
      </c>
      <c r="C330" s="312"/>
      <c r="D330" s="313">
        <f>D329-D331</f>
        <v>0</v>
      </c>
      <c r="E330" s="313">
        <f>E329-E331</f>
        <v>0</v>
      </c>
      <c r="F330" s="313">
        <f>F329-F331</f>
        <v>0</v>
      </c>
      <c r="G330" s="313">
        <f>G329-G331</f>
        <v>0</v>
      </c>
      <c r="H330" s="249">
        <f t="shared" si="110"/>
        <v>0</v>
      </c>
      <c r="I330" s="249">
        <f t="shared" si="102"/>
        <v>0</v>
      </c>
    </row>
    <row r="331" spans="1:13" hidden="1" x14ac:dyDescent="0.25">
      <c r="A331" s="310"/>
      <c r="B331" s="311" t="s">
        <v>428</v>
      </c>
      <c r="C331" s="312"/>
      <c r="D331" s="337"/>
      <c r="E331" s="314">
        <f>D331</f>
        <v>0</v>
      </c>
      <c r="F331" s="331"/>
      <c r="G331" s="313">
        <f>D331-E331</f>
        <v>0</v>
      </c>
      <c r="H331" s="249">
        <f t="shared" si="110"/>
        <v>0</v>
      </c>
      <c r="I331" s="249">
        <f t="shared" si="102"/>
        <v>0</v>
      </c>
      <c r="J331" s="300" t="s">
        <v>366</v>
      </c>
    </row>
    <row r="332" spans="1:13" x14ac:dyDescent="0.25">
      <c r="A332" s="252"/>
      <c r="B332" s="278"/>
      <c r="C332" s="276"/>
      <c r="D332" s="277"/>
      <c r="E332" s="273"/>
      <c r="F332" s="273"/>
      <c r="G332" s="257"/>
      <c r="H332" s="249">
        <f t="shared" si="110"/>
        <v>0</v>
      </c>
      <c r="I332" s="249">
        <f t="shared" si="102"/>
        <v>0</v>
      </c>
    </row>
    <row r="333" spans="1:13" x14ac:dyDescent="0.25">
      <c r="A333" s="245" t="s">
        <v>551</v>
      </c>
      <c r="B333" s="246" t="s">
        <v>552</v>
      </c>
      <c r="C333" s="274"/>
      <c r="D333" s="275">
        <f t="shared" ref="D333:G335" si="132">D341+D347+D344+D351+D338+D361+D355+D358</f>
        <v>6429189.1899999995</v>
      </c>
      <c r="E333" s="275">
        <f t="shared" si="132"/>
        <v>6429189.1900000004</v>
      </c>
      <c r="F333" s="275">
        <f t="shared" si="132"/>
        <v>655131.90999999992</v>
      </c>
      <c r="G333" s="275">
        <f t="shared" si="132"/>
        <v>0</v>
      </c>
      <c r="H333" s="249">
        <f t="shared" ref="H333:H363" si="133">IF(F333&gt;E333,1,0)</f>
        <v>0</v>
      </c>
      <c r="I333" s="249">
        <f t="shared" si="102"/>
        <v>0</v>
      </c>
    </row>
    <row r="334" spans="1:13" x14ac:dyDescent="0.25">
      <c r="A334" s="304"/>
      <c r="B334" s="305" t="s">
        <v>427</v>
      </c>
      <c r="C334" s="306"/>
      <c r="D334" s="319">
        <f t="shared" si="132"/>
        <v>0</v>
      </c>
      <c r="E334" s="319">
        <f t="shared" si="132"/>
        <v>0</v>
      </c>
      <c r="F334" s="319">
        <f t="shared" si="132"/>
        <v>0</v>
      </c>
      <c r="G334" s="319">
        <f t="shared" si="132"/>
        <v>0</v>
      </c>
      <c r="H334" s="249">
        <f t="shared" si="133"/>
        <v>0</v>
      </c>
      <c r="I334" s="249">
        <f t="shared" si="102"/>
        <v>0</v>
      </c>
    </row>
    <row r="335" spans="1:13" x14ac:dyDescent="0.25">
      <c r="A335" s="304"/>
      <c r="B335" s="305" t="s">
        <v>428</v>
      </c>
      <c r="C335" s="306"/>
      <c r="D335" s="319">
        <f t="shared" si="132"/>
        <v>0</v>
      </c>
      <c r="E335" s="319">
        <f t="shared" si="132"/>
        <v>0</v>
      </c>
      <c r="F335" s="319">
        <f t="shared" si="132"/>
        <v>0</v>
      </c>
      <c r="G335" s="319">
        <f t="shared" si="132"/>
        <v>0</v>
      </c>
      <c r="H335" s="249">
        <f t="shared" si="133"/>
        <v>0</v>
      </c>
      <c r="I335" s="249">
        <f t="shared" si="102"/>
        <v>0</v>
      </c>
    </row>
    <row r="336" spans="1:13" x14ac:dyDescent="0.25">
      <c r="A336" s="304"/>
      <c r="B336" s="305" t="s">
        <v>444</v>
      </c>
      <c r="C336" s="306"/>
      <c r="D336" s="319">
        <f>D333-D334-D335</f>
        <v>6429189.1899999995</v>
      </c>
      <c r="E336" s="319">
        <f t="shared" ref="E336:G336" si="134">E333-E334-E335</f>
        <v>6429189.1900000004</v>
      </c>
      <c r="F336" s="319">
        <f t="shared" si="134"/>
        <v>655131.90999999992</v>
      </c>
      <c r="G336" s="319">
        <f t="shared" si="134"/>
        <v>0</v>
      </c>
      <c r="H336" s="249">
        <f t="shared" si="133"/>
        <v>0</v>
      </c>
      <c r="I336" s="249">
        <f t="shared" si="102"/>
        <v>0</v>
      </c>
    </row>
    <row r="337" spans="1:10" x14ac:dyDescent="0.25">
      <c r="A337" s="252"/>
      <c r="B337" s="238" t="s">
        <v>375</v>
      </c>
      <c r="C337" s="276"/>
      <c r="D337" s="277"/>
      <c r="E337" s="273"/>
      <c r="F337" s="273"/>
      <c r="G337" s="257"/>
      <c r="H337" s="249">
        <f t="shared" si="133"/>
        <v>0</v>
      </c>
      <c r="I337" s="249">
        <f t="shared" si="102"/>
        <v>0</v>
      </c>
    </row>
    <row r="338" spans="1:10" ht="153" hidden="1" x14ac:dyDescent="0.25">
      <c r="A338" s="308"/>
      <c r="B338" s="253" t="s">
        <v>553</v>
      </c>
      <c r="C338" s="254" t="s">
        <v>554</v>
      </c>
      <c r="D338" s="277"/>
      <c r="E338" s="273">
        <f>'Проверочная  таблица'!MY37</f>
        <v>0</v>
      </c>
      <c r="F338" s="273">
        <f>'Проверочная  таблица'!NG37</f>
        <v>0</v>
      </c>
      <c r="G338" s="257">
        <f t="shared" ref="G338:G343" si="135">D338-E338</f>
        <v>0</v>
      </c>
      <c r="H338" s="249">
        <f>IF(F338&gt;E338,1,0)</f>
        <v>0</v>
      </c>
      <c r="I338" s="249">
        <f>IF(G338&lt;0,1,0)</f>
        <v>0</v>
      </c>
    </row>
    <row r="339" spans="1:10" hidden="1" x14ac:dyDescent="0.25">
      <c r="A339" s="310"/>
      <c r="B339" s="311" t="s">
        <v>427</v>
      </c>
      <c r="C339" s="312"/>
      <c r="D339" s="313">
        <f>D338</f>
        <v>0</v>
      </c>
      <c r="E339" s="313">
        <f>E338</f>
        <v>0</v>
      </c>
      <c r="F339" s="313">
        <f>F338</f>
        <v>0</v>
      </c>
      <c r="G339" s="313">
        <f t="shared" si="135"/>
        <v>0</v>
      </c>
      <c r="H339" s="249">
        <f>IF(F339&gt;E339,1,0)</f>
        <v>0</v>
      </c>
      <c r="I339" s="249">
        <f>IF(G339&lt;0,1,0)</f>
        <v>0</v>
      </c>
    </row>
    <row r="340" spans="1:10" hidden="1" x14ac:dyDescent="0.25">
      <c r="A340" s="310"/>
      <c r="B340" s="311" t="s">
        <v>428</v>
      </c>
      <c r="C340" s="312"/>
      <c r="D340" s="313"/>
      <c r="E340" s="313"/>
      <c r="F340" s="313"/>
      <c r="G340" s="313">
        <f t="shared" si="135"/>
        <v>0</v>
      </c>
      <c r="H340" s="249">
        <f>IF(F340&gt;E340,1,0)</f>
        <v>0</v>
      </c>
      <c r="I340" s="249">
        <f>IF(G340&lt;0,1,0)</f>
        <v>0</v>
      </c>
    </row>
    <row r="341" spans="1:10" ht="89.25" hidden="1" x14ac:dyDescent="0.25">
      <c r="A341" s="308"/>
      <c r="B341" s="278" t="s">
        <v>555</v>
      </c>
      <c r="C341" s="254" t="s">
        <v>556</v>
      </c>
      <c r="D341" s="277"/>
      <c r="E341" s="279">
        <f>'Проверочная  таблица'!MU37</f>
        <v>0</v>
      </c>
      <c r="F341" s="279">
        <f>'Проверочная  таблица'!NC37</f>
        <v>0</v>
      </c>
      <c r="G341" s="257">
        <f t="shared" si="135"/>
        <v>0</v>
      </c>
      <c r="H341" s="249">
        <f t="shared" ref="H341:H360" si="136">IF(F341&gt;E341,1,0)</f>
        <v>0</v>
      </c>
      <c r="I341" s="249">
        <f t="shared" ref="I341:I343" si="137">IF(G341&lt;0,1,0)</f>
        <v>0</v>
      </c>
      <c r="J341" s="315">
        <f>D341+D344</f>
        <v>0</v>
      </c>
    </row>
    <row r="342" spans="1:10" hidden="1" x14ac:dyDescent="0.25">
      <c r="A342" s="310"/>
      <c r="B342" s="311" t="s">
        <v>427</v>
      </c>
      <c r="C342" s="312"/>
      <c r="D342" s="313">
        <f>D341-D343</f>
        <v>0</v>
      </c>
      <c r="E342" s="313">
        <f t="shared" ref="E342:F342" si="138">E341-E343</f>
        <v>0</v>
      </c>
      <c r="F342" s="313">
        <f t="shared" si="138"/>
        <v>0</v>
      </c>
      <c r="G342" s="313">
        <f t="shared" si="135"/>
        <v>0</v>
      </c>
      <c r="H342" s="249">
        <f t="shared" si="136"/>
        <v>0</v>
      </c>
      <c r="I342" s="249">
        <f t="shared" si="137"/>
        <v>0</v>
      </c>
    </row>
    <row r="343" spans="1:10" hidden="1" x14ac:dyDescent="0.25">
      <c r="A343" s="310"/>
      <c r="B343" s="311" t="s">
        <v>428</v>
      </c>
      <c r="C343" s="312"/>
      <c r="D343" s="337"/>
      <c r="E343" s="314"/>
      <c r="F343" s="337"/>
      <c r="G343" s="313">
        <f t="shared" si="135"/>
        <v>0</v>
      </c>
      <c r="H343" s="249">
        <f t="shared" si="136"/>
        <v>0</v>
      </c>
      <c r="I343" s="249">
        <f t="shared" si="137"/>
        <v>0</v>
      </c>
    </row>
    <row r="344" spans="1:10" hidden="1" x14ac:dyDescent="0.25">
      <c r="A344" s="280"/>
      <c r="B344" s="264" t="s">
        <v>396</v>
      </c>
      <c r="C344" s="281" t="s">
        <v>556</v>
      </c>
      <c r="D344" s="282"/>
      <c r="E344" s="267">
        <f>'Проверочная  таблица'!MV37</f>
        <v>0</v>
      </c>
      <c r="F344" s="267">
        <f>'Проверочная  таблица'!ND37</f>
        <v>0</v>
      </c>
      <c r="G344" s="268">
        <f>D344-E344</f>
        <v>0</v>
      </c>
      <c r="H344" s="249">
        <f t="shared" si="136"/>
        <v>0</v>
      </c>
      <c r="I344" s="249">
        <f>IF(G344&lt;0,1,0)</f>
        <v>0</v>
      </c>
    </row>
    <row r="345" spans="1:10" hidden="1" x14ac:dyDescent="0.25">
      <c r="A345" s="280"/>
      <c r="B345" s="317" t="s">
        <v>427</v>
      </c>
      <c r="C345" s="318"/>
      <c r="D345" s="268">
        <f>D344-D346</f>
        <v>0</v>
      </c>
      <c r="E345" s="268">
        <f t="shared" ref="E345:F345" si="139">E344-E346</f>
        <v>0</v>
      </c>
      <c r="F345" s="268">
        <f t="shared" si="139"/>
        <v>0</v>
      </c>
      <c r="G345" s="268">
        <f t="shared" ref="G345:G350" si="140">D345-E345</f>
        <v>0</v>
      </c>
      <c r="H345" s="269">
        <f t="shared" si="136"/>
        <v>0</v>
      </c>
      <c r="I345" s="249">
        <f t="shared" ref="I345:I350" si="141">IF(G345&lt;0,1,0)</f>
        <v>0</v>
      </c>
    </row>
    <row r="346" spans="1:10" hidden="1" x14ac:dyDescent="0.25">
      <c r="A346" s="280"/>
      <c r="B346" s="317" t="s">
        <v>428</v>
      </c>
      <c r="C346" s="318"/>
      <c r="D346" s="351"/>
      <c r="E346" s="267"/>
      <c r="F346" s="351"/>
      <c r="G346" s="268">
        <f t="shared" si="140"/>
        <v>0</v>
      </c>
      <c r="H346" s="269">
        <f t="shared" si="136"/>
        <v>0</v>
      </c>
      <c r="I346" s="249">
        <f t="shared" si="141"/>
        <v>0</v>
      </c>
    </row>
    <row r="347" spans="1:10" ht="114.75" x14ac:dyDescent="0.25">
      <c r="A347" s="252"/>
      <c r="B347" s="278" t="s">
        <v>557</v>
      </c>
      <c r="C347" s="254" t="s">
        <v>558</v>
      </c>
      <c r="D347" s="277">
        <v>1671589.19</v>
      </c>
      <c r="E347" s="279">
        <f>'Проверочная  таблица'!MW37</f>
        <v>1671589.1900000004</v>
      </c>
      <c r="F347" s="279">
        <f>'Проверочная  таблица'!NE37</f>
        <v>170334.3</v>
      </c>
      <c r="G347" s="257">
        <f t="shared" si="140"/>
        <v>0</v>
      </c>
      <c r="H347" s="249">
        <f t="shared" si="136"/>
        <v>0</v>
      </c>
      <c r="I347" s="249">
        <f t="shared" si="141"/>
        <v>0</v>
      </c>
      <c r="J347" s="315">
        <f>D347+D351</f>
        <v>6429189.1899999995</v>
      </c>
    </row>
    <row r="348" spans="1:10" x14ac:dyDescent="0.25">
      <c r="A348" s="310"/>
      <c r="B348" s="311" t="s">
        <v>427</v>
      </c>
      <c r="C348" s="312"/>
      <c r="D348" s="313"/>
      <c r="E348" s="313"/>
      <c r="F348" s="313"/>
      <c r="G348" s="313">
        <f t="shared" si="140"/>
        <v>0</v>
      </c>
      <c r="H348" s="249">
        <f t="shared" si="136"/>
        <v>0</v>
      </c>
      <c r="I348" s="249">
        <f t="shared" si="141"/>
        <v>0</v>
      </c>
    </row>
    <row r="349" spans="1:10" x14ac:dyDescent="0.25">
      <c r="A349" s="310"/>
      <c r="B349" s="311" t="s">
        <v>428</v>
      </c>
      <c r="C349" s="312"/>
      <c r="D349" s="337"/>
      <c r="E349" s="314"/>
      <c r="F349" s="337"/>
      <c r="G349" s="313">
        <f t="shared" si="140"/>
        <v>0</v>
      </c>
      <c r="H349" s="249">
        <f t="shared" si="136"/>
        <v>0</v>
      </c>
      <c r="I349" s="249">
        <f t="shared" si="141"/>
        <v>0</v>
      </c>
    </row>
    <row r="350" spans="1:10" x14ac:dyDescent="0.25">
      <c r="A350" s="310"/>
      <c r="B350" s="311" t="s">
        <v>444</v>
      </c>
      <c r="C350" s="312"/>
      <c r="D350" s="314">
        <f>D347</f>
        <v>1671589.19</v>
      </c>
      <c r="E350" s="314">
        <f t="shared" ref="E350:F350" si="142">E347</f>
        <v>1671589.1900000004</v>
      </c>
      <c r="F350" s="314">
        <f t="shared" si="142"/>
        <v>170334.3</v>
      </c>
      <c r="G350" s="313">
        <f t="shared" si="140"/>
        <v>0</v>
      </c>
      <c r="H350" s="249">
        <f t="shared" si="136"/>
        <v>0</v>
      </c>
      <c r="I350" s="249">
        <f t="shared" si="141"/>
        <v>0</v>
      </c>
    </row>
    <row r="351" spans="1:10" x14ac:dyDescent="0.25">
      <c r="A351" s="280"/>
      <c r="B351" s="264" t="s">
        <v>396</v>
      </c>
      <c r="C351" s="281" t="s">
        <v>558</v>
      </c>
      <c r="D351" s="282">
        <v>4757600</v>
      </c>
      <c r="E351" s="267">
        <f>'Проверочная  таблица'!MX37</f>
        <v>4757600</v>
      </c>
      <c r="F351" s="267">
        <f>'Проверочная  таблица'!NF37</f>
        <v>484797.61</v>
      </c>
      <c r="G351" s="268">
        <f>D351-E351</f>
        <v>0</v>
      </c>
      <c r="H351" s="249">
        <f t="shared" si="136"/>
        <v>0</v>
      </c>
      <c r="I351" s="249">
        <f>IF(G351&lt;0,1,0)</f>
        <v>0</v>
      </c>
    </row>
    <row r="352" spans="1:10" x14ac:dyDescent="0.25">
      <c r="A352" s="280"/>
      <c r="B352" s="317" t="s">
        <v>427</v>
      </c>
      <c r="C352" s="318"/>
      <c r="D352" s="268"/>
      <c r="E352" s="268"/>
      <c r="F352" s="268"/>
      <c r="G352" s="268">
        <f t="shared" ref="G352:G357" si="143">D352-E352</f>
        <v>0</v>
      </c>
      <c r="H352" s="249">
        <f t="shared" si="136"/>
        <v>0</v>
      </c>
      <c r="I352" s="249">
        <f t="shared" ref="I352:I357" si="144">IF(G352&lt;0,1,0)</f>
        <v>0</v>
      </c>
    </row>
    <row r="353" spans="1:10" x14ac:dyDescent="0.25">
      <c r="A353" s="280"/>
      <c r="B353" s="317" t="s">
        <v>428</v>
      </c>
      <c r="C353" s="318"/>
      <c r="D353" s="351"/>
      <c r="E353" s="267"/>
      <c r="F353" s="351"/>
      <c r="G353" s="268">
        <f t="shared" si="143"/>
        <v>0</v>
      </c>
      <c r="H353" s="249">
        <f t="shared" si="136"/>
        <v>0</v>
      </c>
      <c r="I353" s="249">
        <f t="shared" si="144"/>
        <v>0</v>
      </c>
    </row>
    <row r="354" spans="1:10" x14ac:dyDescent="0.25">
      <c r="A354" s="280"/>
      <c r="B354" s="317" t="s">
        <v>444</v>
      </c>
      <c r="C354" s="318"/>
      <c r="D354" s="267">
        <f>D351</f>
        <v>4757600</v>
      </c>
      <c r="E354" s="267">
        <f t="shared" ref="E354:F354" si="145">E351</f>
        <v>4757600</v>
      </c>
      <c r="F354" s="267">
        <f t="shared" si="145"/>
        <v>484797.61</v>
      </c>
      <c r="G354" s="268">
        <f t="shared" si="143"/>
        <v>0</v>
      </c>
      <c r="H354" s="249">
        <f t="shared" si="136"/>
        <v>0</v>
      </c>
      <c r="I354" s="249">
        <f t="shared" si="144"/>
        <v>0</v>
      </c>
    </row>
    <row r="355" spans="1:10" ht="114.75" hidden="1" x14ac:dyDescent="0.25">
      <c r="A355" s="308"/>
      <c r="B355" s="278" t="s">
        <v>559</v>
      </c>
      <c r="C355" s="254" t="s">
        <v>560</v>
      </c>
      <c r="D355" s="277"/>
      <c r="E355" s="279">
        <f>'Проверочная  таблица'!FS37</f>
        <v>0</v>
      </c>
      <c r="F355" s="279">
        <f>'Проверочная  таблица'!FV37</f>
        <v>0</v>
      </c>
      <c r="G355" s="257">
        <f t="shared" si="143"/>
        <v>0</v>
      </c>
      <c r="H355" s="249">
        <f t="shared" si="136"/>
        <v>0</v>
      </c>
      <c r="I355" s="249">
        <f t="shared" si="144"/>
        <v>0</v>
      </c>
      <c r="J355" s="315">
        <f>D355+D358</f>
        <v>0</v>
      </c>
    </row>
    <row r="356" spans="1:10" hidden="1" x14ac:dyDescent="0.25">
      <c r="A356" s="310"/>
      <c r="B356" s="311" t="s">
        <v>427</v>
      </c>
      <c r="C356" s="312"/>
      <c r="D356" s="313">
        <f>D355</f>
        <v>0</v>
      </c>
      <c r="E356" s="313">
        <f t="shared" ref="E356:F356" si="146">E355</f>
        <v>0</v>
      </c>
      <c r="F356" s="313">
        <f t="shared" si="146"/>
        <v>0</v>
      </c>
      <c r="G356" s="313">
        <f t="shared" si="143"/>
        <v>0</v>
      </c>
      <c r="H356" s="249">
        <f t="shared" si="136"/>
        <v>0</v>
      </c>
      <c r="I356" s="249">
        <f t="shared" si="144"/>
        <v>0</v>
      </c>
    </row>
    <row r="357" spans="1:10" hidden="1" x14ac:dyDescent="0.25">
      <c r="A357" s="310"/>
      <c r="B357" s="311" t="s">
        <v>428</v>
      </c>
      <c r="C357" s="312"/>
      <c r="D357" s="337"/>
      <c r="E357" s="314"/>
      <c r="F357" s="337"/>
      <c r="G357" s="313">
        <f t="shared" si="143"/>
        <v>0</v>
      </c>
      <c r="H357" s="249">
        <f t="shared" si="136"/>
        <v>0</v>
      </c>
      <c r="I357" s="249">
        <f t="shared" si="144"/>
        <v>0</v>
      </c>
    </row>
    <row r="358" spans="1:10" hidden="1" x14ac:dyDescent="0.25">
      <c r="A358" s="280"/>
      <c r="B358" s="264" t="s">
        <v>396</v>
      </c>
      <c r="C358" s="281" t="s">
        <v>560</v>
      </c>
      <c r="D358" s="282"/>
      <c r="E358" s="267">
        <f>'Проверочная  таблица'!FT37</f>
        <v>0</v>
      </c>
      <c r="F358" s="267">
        <f>'Проверочная  таблица'!FW37</f>
        <v>0</v>
      </c>
      <c r="G358" s="268">
        <f>D358-E358</f>
        <v>0</v>
      </c>
      <c r="H358" s="249">
        <f t="shared" si="136"/>
        <v>0</v>
      </c>
      <c r="I358" s="249">
        <f>IF(G358&lt;0,1,0)</f>
        <v>0</v>
      </c>
    </row>
    <row r="359" spans="1:10" hidden="1" x14ac:dyDescent="0.25">
      <c r="A359" s="280"/>
      <c r="B359" s="317" t="s">
        <v>427</v>
      </c>
      <c r="C359" s="318"/>
      <c r="D359" s="268">
        <f>D358</f>
        <v>0</v>
      </c>
      <c r="E359" s="268">
        <f t="shared" ref="E359:F359" si="147">E358</f>
        <v>0</v>
      </c>
      <c r="F359" s="268">
        <f t="shared" si="147"/>
        <v>0</v>
      </c>
      <c r="G359" s="268">
        <f t="shared" ref="G359:G363" si="148">D359-E359</f>
        <v>0</v>
      </c>
      <c r="H359" s="249">
        <f t="shared" si="136"/>
        <v>0</v>
      </c>
      <c r="I359" s="249">
        <f t="shared" ref="I359:I360" si="149">IF(G359&lt;0,1,0)</f>
        <v>0</v>
      </c>
    </row>
    <row r="360" spans="1:10" hidden="1" x14ac:dyDescent="0.25">
      <c r="A360" s="280"/>
      <c r="B360" s="317" t="s">
        <v>428</v>
      </c>
      <c r="C360" s="318"/>
      <c r="D360" s="351"/>
      <c r="E360" s="267"/>
      <c r="F360" s="351"/>
      <c r="G360" s="268">
        <f t="shared" si="148"/>
        <v>0</v>
      </c>
      <c r="H360" s="249">
        <f t="shared" si="136"/>
        <v>0</v>
      </c>
      <c r="I360" s="249">
        <f t="shared" si="149"/>
        <v>0</v>
      </c>
    </row>
    <row r="361" spans="1:10" ht="140.25" hidden="1" x14ac:dyDescent="0.25">
      <c r="A361" s="308"/>
      <c r="B361" s="278" t="s">
        <v>429</v>
      </c>
      <c r="C361" s="254" t="s">
        <v>430</v>
      </c>
      <c r="D361" s="277"/>
      <c r="E361" s="279">
        <f>D361</f>
        <v>0</v>
      </c>
      <c r="F361" s="309"/>
      <c r="G361" s="257">
        <f t="shared" si="148"/>
        <v>0</v>
      </c>
      <c r="H361" s="249">
        <f t="shared" si="133"/>
        <v>0</v>
      </c>
      <c r="I361" s="249">
        <f t="shared" si="102"/>
        <v>0</v>
      </c>
    </row>
    <row r="362" spans="1:10" hidden="1" x14ac:dyDescent="0.25">
      <c r="A362" s="310"/>
      <c r="B362" s="311" t="s">
        <v>427</v>
      </c>
      <c r="C362" s="312"/>
      <c r="D362" s="313">
        <f>D361-D363</f>
        <v>0</v>
      </c>
      <c r="E362" s="313">
        <f t="shared" ref="E362:F362" si="150">E361-E363</f>
        <v>0</v>
      </c>
      <c r="F362" s="313">
        <f t="shared" si="150"/>
        <v>0</v>
      </c>
      <c r="G362" s="313">
        <f t="shared" si="148"/>
        <v>0</v>
      </c>
      <c r="H362" s="249">
        <f t="shared" si="133"/>
        <v>0</v>
      </c>
      <c r="I362" s="249">
        <f t="shared" si="102"/>
        <v>0</v>
      </c>
    </row>
    <row r="363" spans="1:10" hidden="1" x14ac:dyDescent="0.25">
      <c r="A363" s="310"/>
      <c r="B363" s="311" t="s">
        <v>428</v>
      </c>
      <c r="C363" s="312"/>
      <c r="D363" s="337"/>
      <c r="E363" s="314">
        <f>D363</f>
        <v>0</v>
      </c>
      <c r="F363" s="337"/>
      <c r="G363" s="313">
        <f t="shared" si="148"/>
        <v>0</v>
      </c>
      <c r="H363" s="249">
        <f t="shared" si="133"/>
        <v>0</v>
      </c>
      <c r="I363" s="249">
        <f t="shared" si="102"/>
        <v>0</v>
      </c>
    </row>
    <row r="364" spans="1:10" x14ac:dyDescent="0.25">
      <c r="A364" s="252"/>
      <c r="B364" s="278"/>
      <c r="C364" s="276"/>
      <c r="D364" s="277"/>
      <c r="E364" s="273"/>
      <c r="F364" s="273"/>
      <c r="G364" s="257"/>
      <c r="H364" s="249">
        <f>IF(F364&gt;E364,1,0)</f>
        <v>0</v>
      </c>
      <c r="I364" s="249">
        <f>IF(G364&lt;0,1,0)</f>
        <v>0</v>
      </c>
    </row>
    <row r="365" spans="1:10" x14ac:dyDescent="0.25">
      <c r="A365" s="245" t="s">
        <v>561</v>
      </c>
      <c r="B365" s="246" t="s">
        <v>562</v>
      </c>
      <c r="C365" s="274"/>
      <c r="D365" s="275">
        <f t="shared" ref="D365:G367" si="151">D372+D378+D369+D375</f>
        <v>344007460</v>
      </c>
      <c r="E365" s="275">
        <f t="shared" si="151"/>
        <v>344007460</v>
      </c>
      <c r="F365" s="275">
        <f t="shared" si="151"/>
        <v>152937491.45000002</v>
      </c>
      <c r="G365" s="275">
        <f t="shared" si="151"/>
        <v>0</v>
      </c>
      <c r="H365" s="249">
        <f t="shared" ref="H365:H421" si="152">IF(F365&gt;E365,1,0)</f>
        <v>0</v>
      </c>
      <c r="I365" s="249">
        <f t="shared" si="102"/>
        <v>0</v>
      </c>
    </row>
    <row r="366" spans="1:10" x14ac:dyDescent="0.25">
      <c r="A366" s="304"/>
      <c r="B366" s="305" t="s">
        <v>427</v>
      </c>
      <c r="C366" s="306"/>
      <c r="D366" s="319">
        <f t="shared" si="151"/>
        <v>344007460</v>
      </c>
      <c r="E366" s="319">
        <f t="shared" si="151"/>
        <v>344007460</v>
      </c>
      <c r="F366" s="319">
        <f t="shared" si="151"/>
        <v>152937491.45000002</v>
      </c>
      <c r="G366" s="319">
        <f t="shared" si="151"/>
        <v>0</v>
      </c>
      <c r="H366" s="249">
        <f t="shared" si="152"/>
        <v>0</v>
      </c>
      <c r="I366" s="249">
        <f t="shared" si="102"/>
        <v>0</v>
      </c>
    </row>
    <row r="367" spans="1:10" x14ac:dyDescent="0.25">
      <c r="A367" s="304"/>
      <c r="B367" s="305" t="s">
        <v>428</v>
      </c>
      <c r="C367" s="306"/>
      <c r="D367" s="319">
        <f t="shared" si="151"/>
        <v>0</v>
      </c>
      <c r="E367" s="319">
        <f t="shared" si="151"/>
        <v>0</v>
      </c>
      <c r="F367" s="319">
        <f t="shared" si="151"/>
        <v>0</v>
      </c>
      <c r="G367" s="319">
        <f t="shared" si="151"/>
        <v>0</v>
      </c>
      <c r="H367" s="249">
        <f t="shared" si="152"/>
        <v>0</v>
      </c>
      <c r="I367" s="249">
        <f t="shared" si="102"/>
        <v>0</v>
      </c>
    </row>
    <row r="368" spans="1:10" x14ac:dyDescent="0.25">
      <c r="A368" s="252"/>
      <c r="B368" s="238" t="s">
        <v>375</v>
      </c>
      <c r="C368" s="276"/>
      <c r="D368" s="277"/>
      <c r="E368" s="273"/>
      <c r="F368" s="273"/>
      <c r="G368" s="257"/>
      <c r="H368" s="249">
        <f t="shared" si="152"/>
        <v>0</v>
      </c>
      <c r="I368" s="249">
        <f t="shared" si="102"/>
        <v>0</v>
      </c>
    </row>
    <row r="369" spans="1:9" ht="127.5" x14ac:dyDescent="0.25">
      <c r="A369" s="252"/>
      <c r="B369" s="278" t="s">
        <v>563</v>
      </c>
      <c r="C369" s="254" t="s">
        <v>564</v>
      </c>
      <c r="D369" s="277">
        <v>127183300</v>
      </c>
      <c r="E369" s="279">
        <f>'Прочая  субсидия_МР  и  ГО'!P43</f>
        <v>127183300</v>
      </c>
      <c r="F369" s="279">
        <f>'Прочая  субсидия_МР  и  ГО'!Q43</f>
        <v>11899504.279999999</v>
      </c>
      <c r="G369" s="257">
        <f t="shared" ref="G369:G371" si="153">D369-E369</f>
        <v>0</v>
      </c>
      <c r="H369" s="249">
        <f t="shared" si="152"/>
        <v>0</v>
      </c>
      <c r="I369" s="249">
        <f t="shared" si="102"/>
        <v>0</v>
      </c>
    </row>
    <row r="370" spans="1:9" x14ac:dyDescent="0.25">
      <c r="A370" s="310"/>
      <c r="B370" s="311" t="s">
        <v>427</v>
      </c>
      <c r="C370" s="312"/>
      <c r="D370" s="313">
        <f>D369-D371</f>
        <v>127183300</v>
      </c>
      <c r="E370" s="313">
        <f t="shared" ref="E370:F370" si="154">E369-E371</f>
        <v>127183300</v>
      </c>
      <c r="F370" s="313">
        <f t="shared" si="154"/>
        <v>11899504.279999999</v>
      </c>
      <c r="G370" s="313">
        <f t="shared" si="153"/>
        <v>0</v>
      </c>
      <c r="H370" s="249">
        <f t="shared" si="152"/>
        <v>0</v>
      </c>
      <c r="I370" s="249">
        <f t="shared" si="102"/>
        <v>0</v>
      </c>
    </row>
    <row r="371" spans="1:9" x14ac:dyDescent="0.25">
      <c r="A371" s="310"/>
      <c r="B371" s="311" t="s">
        <v>428</v>
      </c>
      <c r="C371" s="312"/>
      <c r="D371" s="337"/>
      <c r="E371" s="314"/>
      <c r="F371" s="337"/>
      <c r="G371" s="313">
        <f t="shared" si="153"/>
        <v>0</v>
      </c>
      <c r="H371" s="249">
        <f t="shared" si="152"/>
        <v>0</v>
      </c>
      <c r="I371" s="249">
        <f t="shared" si="102"/>
        <v>0</v>
      </c>
    </row>
    <row r="372" spans="1:9" ht="140.25" x14ac:dyDescent="0.25">
      <c r="A372" s="252"/>
      <c r="B372" s="253" t="s">
        <v>565</v>
      </c>
      <c r="C372" s="254" t="s">
        <v>566</v>
      </c>
      <c r="D372" s="277">
        <v>5000000</v>
      </c>
      <c r="E372" s="273">
        <f>'Прочая  субсидия_МР  и  ГО'!R33</f>
        <v>5000000</v>
      </c>
      <c r="F372" s="273">
        <f>'Прочая  субсидия_МР  и  ГО'!S33</f>
        <v>2228476.7999999998</v>
      </c>
      <c r="G372" s="257">
        <f>D372-E372</f>
        <v>0</v>
      </c>
      <c r="H372" s="249">
        <f>IF(F372&gt;E372,1,0)</f>
        <v>0</v>
      </c>
      <c r="I372" s="249">
        <f>IF(G372&lt;0,1,0)</f>
        <v>0</v>
      </c>
    </row>
    <row r="373" spans="1:9" x14ac:dyDescent="0.25">
      <c r="A373" s="310"/>
      <c r="B373" s="311" t="s">
        <v>427</v>
      </c>
      <c r="C373" s="312"/>
      <c r="D373" s="313">
        <f>D372</f>
        <v>5000000</v>
      </c>
      <c r="E373" s="313">
        <f>E372</f>
        <v>5000000</v>
      </c>
      <c r="F373" s="313">
        <f>F372</f>
        <v>2228476.7999999998</v>
      </c>
      <c r="G373" s="313">
        <f>D373-E373</f>
        <v>0</v>
      </c>
      <c r="H373" s="249">
        <f>IF(F373&gt;E373,1,0)</f>
        <v>0</v>
      </c>
      <c r="I373" s="249">
        <f>IF(G373&lt;0,1,0)</f>
        <v>0</v>
      </c>
    </row>
    <row r="374" spans="1:9" x14ac:dyDescent="0.25">
      <c r="A374" s="310"/>
      <c r="B374" s="311" t="s">
        <v>428</v>
      </c>
      <c r="C374" s="312"/>
      <c r="D374" s="313"/>
      <c r="E374" s="313"/>
      <c r="F374" s="313"/>
      <c r="G374" s="313">
        <f>D374-E374</f>
        <v>0</v>
      </c>
      <c r="H374" s="249">
        <f>IF(F374&gt;E374,1,0)</f>
        <v>0</v>
      </c>
      <c r="I374" s="249">
        <f>IF(G374&lt;0,1,0)</f>
        <v>0</v>
      </c>
    </row>
    <row r="375" spans="1:9" ht="140.25" hidden="1" x14ac:dyDescent="0.25">
      <c r="A375" s="308"/>
      <c r="B375" s="278" t="s">
        <v>429</v>
      </c>
      <c r="C375" s="254" t="s">
        <v>430</v>
      </c>
      <c r="D375" s="277"/>
      <c r="E375" s="279">
        <f>D375</f>
        <v>0</v>
      </c>
      <c r="F375" s="309"/>
      <c r="G375" s="257">
        <f t="shared" ref="G375:G377" si="155">D375-E375</f>
        <v>0</v>
      </c>
      <c r="H375" s="249">
        <f t="shared" si="152"/>
        <v>0</v>
      </c>
      <c r="I375" s="249">
        <f t="shared" si="102"/>
        <v>0</v>
      </c>
    </row>
    <row r="376" spans="1:9" hidden="1" x14ac:dyDescent="0.25">
      <c r="A376" s="310"/>
      <c r="B376" s="311" t="s">
        <v>427</v>
      </c>
      <c r="C376" s="312"/>
      <c r="D376" s="313">
        <f>D375</f>
        <v>0</v>
      </c>
      <c r="E376" s="313">
        <f>E375</f>
        <v>0</v>
      </c>
      <c r="F376" s="313">
        <f>F375</f>
        <v>0</v>
      </c>
      <c r="G376" s="313">
        <f t="shared" si="155"/>
        <v>0</v>
      </c>
      <c r="H376" s="249">
        <f t="shared" si="152"/>
        <v>0</v>
      </c>
      <c r="I376" s="249">
        <f t="shared" si="102"/>
        <v>0</v>
      </c>
    </row>
    <row r="377" spans="1:9" hidden="1" x14ac:dyDescent="0.25">
      <c r="A377" s="310"/>
      <c r="B377" s="311" t="s">
        <v>428</v>
      </c>
      <c r="C377" s="312"/>
      <c r="D377" s="313">
        <f>D375-D376</f>
        <v>0</v>
      </c>
      <c r="E377" s="313">
        <f>E375-E376</f>
        <v>0</v>
      </c>
      <c r="F377" s="313">
        <f>F375-F376</f>
        <v>0</v>
      </c>
      <c r="G377" s="313">
        <f t="shared" si="155"/>
        <v>0</v>
      </c>
      <c r="H377" s="249">
        <f t="shared" si="152"/>
        <v>0</v>
      </c>
      <c r="I377" s="249">
        <f t="shared" si="102"/>
        <v>0</v>
      </c>
    </row>
    <row r="378" spans="1:9" ht="153" x14ac:dyDescent="0.25">
      <c r="A378" s="252"/>
      <c r="B378" s="253" t="s">
        <v>567</v>
      </c>
      <c r="C378" s="254" t="s">
        <v>568</v>
      </c>
      <c r="D378" s="277">
        <v>211824160</v>
      </c>
      <c r="E378" s="273">
        <f>'Прочая  субсидия_МР  и  ГО'!AT43</f>
        <v>211824160</v>
      </c>
      <c r="F378" s="273">
        <f>'Прочая  субсидия_МР  и  ГО'!AU43</f>
        <v>138809510.37</v>
      </c>
      <c r="G378" s="257">
        <f>D378-E378</f>
        <v>0</v>
      </c>
      <c r="H378" s="249">
        <f>IF(F378&gt;E378,1,0)</f>
        <v>0</v>
      </c>
      <c r="I378" s="249">
        <f>IF(G378&lt;0,1,0)</f>
        <v>0</v>
      </c>
    </row>
    <row r="379" spans="1:9" x14ac:dyDescent="0.25">
      <c r="A379" s="310"/>
      <c r="B379" s="311" t="s">
        <v>427</v>
      </c>
      <c r="C379" s="312"/>
      <c r="D379" s="313">
        <f>D378</f>
        <v>211824160</v>
      </c>
      <c r="E379" s="313">
        <f t="shared" ref="E379:F379" si="156">E378</f>
        <v>211824160</v>
      </c>
      <c r="F379" s="313">
        <f t="shared" si="156"/>
        <v>138809510.37</v>
      </c>
      <c r="G379" s="313">
        <f>D379-E379</f>
        <v>0</v>
      </c>
      <c r="H379" s="249">
        <f>IF(F379&gt;E379,1,0)</f>
        <v>0</v>
      </c>
      <c r="I379" s="249">
        <f>IF(G379&lt;0,1,0)</f>
        <v>0</v>
      </c>
    </row>
    <row r="380" spans="1:9" x14ac:dyDescent="0.25">
      <c r="A380" s="310"/>
      <c r="B380" s="311" t="s">
        <v>428</v>
      </c>
      <c r="C380" s="312"/>
      <c r="D380" s="313"/>
      <c r="E380" s="313"/>
      <c r="F380" s="313"/>
      <c r="G380" s="313">
        <f>D380-E380</f>
        <v>0</v>
      </c>
      <c r="H380" s="249">
        <f>IF(F380&gt;E380,1,0)</f>
        <v>0</v>
      </c>
      <c r="I380" s="249">
        <f>IF(G380&lt;0,1,0)</f>
        <v>0</v>
      </c>
    </row>
    <row r="381" spans="1:9" x14ac:dyDescent="0.25">
      <c r="A381" s="252"/>
      <c r="B381" s="278"/>
      <c r="C381" s="276"/>
      <c r="D381" s="277"/>
      <c r="E381" s="273"/>
      <c r="F381" s="273"/>
      <c r="G381" s="257"/>
      <c r="H381" s="249">
        <f t="shared" si="152"/>
        <v>0</v>
      </c>
      <c r="I381" s="249">
        <f t="shared" si="102"/>
        <v>0</v>
      </c>
    </row>
    <row r="382" spans="1:9" x14ac:dyDescent="0.25">
      <c r="A382" s="245" t="s">
        <v>569</v>
      </c>
      <c r="B382" s="246" t="s">
        <v>570</v>
      </c>
      <c r="C382" s="274"/>
      <c r="D382" s="352">
        <f>D443+D447+D437+D440+D431+D434+D396+D400+D393+D422+D451+D416+D419+D410+D413+D404+D407+D387+D390+D425+D428</f>
        <v>88523874.079999998</v>
      </c>
      <c r="E382" s="352">
        <f t="shared" ref="E382:G384" si="157">E443+E447+E437+E440+E431+E434+E396+E400+E393+E422+E451+E416+E419+E410+E413+E404+E407+E387+E390+E425+E428</f>
        <v>253069690.71999997</v>
      </c>
      <c r="F382" s="352">
        <f t="shared" si="157"/>
        <v>65481771.000000015</v>
      </c>
      <c r="G382" s="352">
        <f t="shared" si="157"/>
        <v>-164545816.63999999</v>
      </c>
      <c r="H382" s="249">
        <f t="shared" si="152"/>
        <v>0</v>
      </c>
      <c r="I382" s="249">
        <f t="shared" si="102"/>
        <v>1</v>
      </c>
    </row>
    <row r="383" spans="1:9" x14ac:dyDescent="0.25">
      <c r="A383" s="304"/>
      <c r="B383" s="305" t="s">
        <v>427</v>
      </c>
      <c r="C383" s="306"/>
      <c r="D383" s="319">
        <f>D444+D448+D438+D441+D432+D435+D397+D401+D394+D423+D452+D417+D420+D411+D414+D405+D408+D388+D391+D426+D429</f>
        <v>43295360.570000008</v>
      </c>
      <c r="E383" s="319">
        <f t="shared" si="157"/>
        <v>43332077.210000008</v>
      </c>
      <c r="F383" s="319">
        <f t="shared" si="157"/>
        <v>35272481.409999996</v>
      </c>
      <c r="G383" s="319">
        <f t="shared" si="157"/>
        <v>-164545816.63999999</v>
      </c>
      <c r="H383" s="249">
        <f t="shared" si="152"/>
        <v>0</v>
      </c>
      <c r="I383" s="249">
        <f t="shared" si="102"/>
        <v>1</v>
      </c>
    </row>
    <row r="384" spans="1:9" x14ac:dyDescent="0.25">
      <c r="A384" s="304"/>
      <c r="B384" s="305" t="s">
        <v>428</v>
      </c>
      <c r="C384" s="306"/>
      <c r="D384" s="319">
        <f>D445+D449+D439+D442+D433+D436+D398+D402+D395+D424+D453+D418+D421+D412+D415+D406+D409+D389+D392+D427+D430</f>
        <v>0</v>
      </c>
      <c r="E384" s="319">
        <f t="shared" si="157"/>
        <v>0</v>
      </c>
      <c r="F384" s="319">
        <f t="shared" si="157"/>
        <v>0</v>
      </c>
      <c r="G384" s="319">
        <f t="shared" si="157"/>
        <v>0</v>
      </c>
      <c r="H384" s="249">
        <f t="shared" si="152"/>
        <v>0</v>
      </c>
      <c r="I384" s="249">
        <f t="shared" si="102"/>
        <v>0</v>
      </c>
    </row>
    <row r="385" spans="1:10" x14ac:dyDescent="0.25">
      <c r="A385" s="304"/>
      <c r="B385" s="305" t="s">
        <v>444</v>
      </c>
      <c r="C385" s="306"/>
      <c r="D385" s="319">
        <f>D382-D383-D384</f>
        <v>45228513.50999999</v>
      </c>
      <c r="E385" s="319">
        <f t="shared" ref="E385:G385" si="158">E382-E383-E384</f>
        <v>209737613.50999996</v>
      </c>
      <c r="F385" s="319">
        <f t="shared" si="158"/>
        <v>30209289.590000018</v>
      </c>
      <c r="G385" s="319">
        <f t="shared" si="158"/>
        <v>0</v>
      </c>
      <c r="H385" s="249">
        <f t="shared" si="152"/>
        <v>0</v>
      </c>
      <c r="I385" s="249">
        <f t="shared" si="102"/>
        <v>0</v>
      </c>
    </row>
    <row r="386" spans="1:10" x14ac:dyDescent="0.25">
      <c r="A386" s="252"/>
      <c r="B386" s="238" t="s">
        <v>375</v>
      </c>
      <c r="C386" s="276"/>
      <c r="D386" s="277"/>
      <c r="E386" s="277"/>
      <c r="F386" s="277"/>
      <c r="G386" s="277"/>
      <c r="H386" s="249">
        <f t="shared" si="152"/>
        <v>0</v>
      </c>
      <c r="I386" s="249">
        <f t="shared" si="102"/>
        <v>0</v>
      </c>
    </row>
    <row r="387" spans="1:10" ht="63.75" x14ac:dyDescent="0.25">
      <c r="A387" s="252"/>
      <c r="B387" s="353" t="s">
        <v>571</v>
      </c>
      <c r="C387" s="254" t="s">
        <v>572</v>
      </c>
      <c r="D387" s="354">
        <v>1150000</v>
      </c>
      <c r="E387" s="273">
        <f>'Проверочная  таблица'!IY37</f>
        <v>1150000</v>
      </c>
      <c r="F387" s="273">
        <f>'Проверочная  таблица'!JB37</f>
        <v>1021544.81</v>
      </c>
      <c r="G387" s="257">
        <f>D387-E387</f>
        <v>0</v>
      </c>
      <c r="H387" s="249">
        <f t="shared" si="152"/>
        <v>0</v>
      </c>
      <c r="I387" s="249">
        <f t="shared" si="102"/>
        <v>0</v>
      </c>
      <c r="J387" s="315">
        <f>D387+D390</f>
        <v>23000000</v>
      </c>
    </row>
    <row r="388" spans="1:10" x14ac:dyDescent="0.25">
      <c r="A388" s="310"/>
      <c r="B388" s="311" t="s">
        <v>427</v>
      </c>
      <c r="C388" s="346"/>
      <c r="D388" s="313">
        <f>D387</f>
        <v>1150000</v>
      </c>
      <c r="E388" s="313">
        <f>E387</f>
        <v>1150000</v>
      </c>
      <c r="F388" s="313">
        <f>F387</f>
        <v>1021544.81</v>
      </c>
      <c r="G388" s="313">
        <f>G387</f>
        <v>0</v>
      </c>
      <c r="H388" s="249">
        <f t="shared" si="152"/>
        <v>0</v>
      </c>
      <c r="I388" s="249">
        <f t="shared" si="102"/>
        <v>0</v>
      </c>
    </row>
    <row r="389" spans="1:10" x14ac:dyDescent="0.25">
      <c r="A389" s="310"/>
      <c r="B389" s="311" t="s">
        <v>428</v>
      </c>
      <c r="C389" s="312"/>
      <c r="D389" s="313"/>
      <c r="E389" s="313"/>
      <c r="F389" s="313"/>
      <c r="G389" s="313">
        <f>D389-E389</f>
        <v>0</v>
      </c>
      <c r="H389" s="249">
        <f t="shared" si="152"/>
        <v>0</v>
      </c>
      <c r="I389" s="249">
        <f t="shared" si="102"/>
        <v>0</v>
      </c>
    </row>
    <row r="390" spans="1:10" x14ac:dyDescent="0.25">
      <c r="A390" s="280"/>
      <c r="B390" s="264" t="s">
        <v>396</v>
      </c>
      <c r="C390" s="281" t="s">
        <v>572</v>
      </c>
      <c r="D390" s="316">
        <v>21850000</v>
      </c>
      <c r="E390" s="267">
        <f>'Проверочная  таблица'!IZ37</f>
        <v>21850000</v>
      </c>
      <c r="F390" s="267">
        <f>'Проверочная  таблица'!JC37</f>
        <v>19409351.73</v>
      </c>
      <c r="G390" s="268">
        <f>D390-E390</f>
        <v>0</v>
      </c>
      <c r="H390" s="249">
        <f t="shared" si="152"/>
        <v>0</v>
      </c>
      <c r="I390" s="249">
        <f t="shared" si="102"/>
        <v>0</v>
      </c>
    </row>
    <row r="391" spans="1:10" x14ac:dyDescent="0.25">
      <c r="A391" s="280"/>
      <c r="B391" s="317" t="s">
        <v>427</v>
      </c>
      <c r="C391" s="318"/>
      <c r="D391" s="268">
        <f>D390</f>
        <v>21850000</v>
      </c>
      <c r="E391" s="268">
        <f>E390</f>
        <v>21850000</v>
      </c>
      <c r="F391" s="268">
        <f>F390</f>
        <v>19409351.73</v>
      </c>
      <c r="G391" s="268">
        <f>G390</f>
        <v>0</v>
      </c>
      <c r="H391" s="249">
        <f t="shared" si="152"/>
        <v>0</v>
      </c>
      <c r="I391" s="249">
        <f t="shared" si="102"/>
        <v>0</v>
      </c>
    </row>
    <row r="392" spans="1:10" x14ac:dyDescent="0.25">
      <c r="A392" s="280"/>
      <c r="B392" s="317" t="s">
        <v>428</v>
      </c>
      <c r="C392" s="318"/>
      <c r="D392" s="268"/>
      <c r="E392" s="268"/>
      <c r="F392" s="268"/>
      <c r="G392" s="268">
        <f>D392-E392</f>
        <v>0</v>
      </c>
      <c r="H392" s="249">
        <f t="shared" si="152"/>
        <v>0</v>
      </c>
      <c r="I392" s="249">
        <f t="shared" si="102"/>
        <v>0</v>
      </c>
    </row>
    <row r="393" spans="1:10" ht="165.75" hidden="1" x14ac:dyDescent="0.25">
      <c r="A393" s="308"/>
      <c r="B393" s="253" t="s">
        <v>573</v>
      </c>
      <c r="C393" s="254" t="s">
        <v>574</v>
      </c>
      <c r="D393" s="277"/>
      <c r="E393" s="273">
        <f>'Проверочная  таблица'!LO38</f>
        <v>0</v>
      </c>
      <c r="F393" s="273">
        <f>'Проверочная  таблица'!LS38</f>
        <v>0</v>
      </c>
      <c r="G393" s="257">
        <f t="shared" ref="G393:G424" si="159">D393-E393</f>
        <v>0</v>
      </c>
      <c r="H393" s="249">
        <f t="shared" si="152"/>
        <v>0</v>
      </c>
      <c r="I393" s="249">
        <f t="shared" si="102"/>
        <v>0</v>
      </c>
    </row>
    <row r="394" spans="1:10" hidden="1" x14ac:dyDescent="0.25">
      <c r="A394" s="310"/>
      <c r="B394" s="311" t="s">
        <v>427</v>
      </c>
      <c r="C394" s="312"/>
      <c r="D394" s="313">
        <f>D393</f>
        <v>0</v>
      </c>
      <c r="E394" s="313">
        <f>E393</f>
        <v>0</v>
      </c>
      <c r="F394" s="313">
        <f>F393</f>
        <v>0</v>
      </c>
      <c r="G394" s="313">
        <f t="shared" si="159"/>
        <v>0</v>
      </c>
      <c r="H394" s="249">
        <f t="shared" si="152"/>
        <v>0</v>
      </c>
      <c r="I394" s="249">
        <f t="shared" si="102"/>
        <v>0</v>
      </c>
    </row>
    <row r="395" spans="1:10" hidden="1" x14ac:dyDescent="0.25">
      <c r="A395" s="310"/>
      <c r="B395" s="311" t="s">
        <v>428</v>
      </c>
      <c r="C395" s="312"/>
      <c r="D395" s="313"/>
      <c r="E395" s="313"/>
      <c r="F395" s="313"/>
      <c r="G395" s="313">
        <f t="shared" si="159"/>
        <v>0</v>
      </c>
      <c r="H395" s="249">
        <f t="shared" si="152"/>
        <v>0</v>
      </c>
      <c r="I395" s="249">
        <f t="shared" si="102"/>
        <v>0</v>
      </c>
    </row>
    <row r="396" spans="1:10" ht="153" x14ac:dyDescent="0.25">
      <c r="A396" s="252"/>
      <c r="B396" s="353" t="s">
        <v>575</v>
      </c>
      <c r="C396" s="254" t="s">
        <v>576</v>
      </c>
      <c r="D396" s="354">
        <f>5415308.11+2976859.46+2073113.51</f>
        <v>10465281.08</v>
      </c>
      <c r="E396" s="273">
        <f>'Проверочная  таблица'!LP38</f>
        <v>10465281.08</v>
      </c>
      <c r="F396" s="273">
        <f>'Проверочная  таблица'!LT38</f>
        <v>6560282.8599999994</v>
      </c>
      <c r="G396" s="257">
        <f t="shared" si="159"/>
        <v>0</v>
      </c>
      <c r="H396" s="249">
        <f t="shared" si="152"/>
        <v>0</v>
      </c>
      <c r="I396" s="249">
        <f t="shared" si="102"/>
        <v>0</v>
      </c>
      <c r="J396" s="315">
        <f>D396+D400</f>
        <v>40251081.079999998</v>
      </c>
    </row>
    <row r="397" spans="1:10" x14ac:dyDescent="0.25">
      <c r="A397" s="310"/>
      <c r="B397" s="311" t="s">
        <v>427</v>
      </c>
      <c r="C397" s="346"/>
      <c r="D397" s="313"/>
      <c r="E397" s="313"/>
      <c r="F397" s="313"/>
      <c r="G397" s="313">
        <f t="shared" si="159"/>
        <v>0</v>
      </c>
      <c r="H397" s="249">
        <f t="shared" si="152"/>
        <v>0</v>
      </c>
      <c r="I397" s="249">
        <f t="shared" si="102"/>
        <v>0</v>
      </c>
    </row>
    <row r="398" spans="1:10" x14ac:dyDescent="0.25">
      <c r="A398" s="310"/>
      <c r="B398" s="311" t="s">
        <v>428</v>
      </c>
      <c r="C398" s="312"/>
      <c r="D398" s="313"/>
      <c r="E398" s="313"/>
      <c r="F398" s="313"/>
      <c r="G398" s="313">
        <f t="shared" si="159"/>
        <v>0</v>
      </c>
      <c r="H398" s="249">
        <f t="shared" si="152"/>
        <v>0</v>
      </c>
      <c r="I398" s="249">
        <f t="shared" si="102"/>
        <v>0</v>
      </c>
      <c r="J398" s="315"/>
    </row>
    <row r="399" spans="1:10" x14ac:dyDescent="0.25">
      <c r="A399" s="310"/>
      <c r="B399" s="311" t="s">
        <v>444</v>
      </c>
      <c r="C399" s="312"/>
      <c r="D399" s="313">
        <f>D396</f>
        <v>10465281.08</v>
      </c>
      <c r="E399" s="313">
        <f>E396</f>
        <v>10465281.08</v>
      </c>
      <c r="F399" s="313">
        <f>F396</f>
        <v>6560282.8599999994</v>
      </c>
      <c r="G399" s="313">
        <f t="shared" si="159"/>
        <v>0</v>
      </c>
      <c r="H399" s="249">
        <f t="shared" si="152"/>
        <v>0</v>
      </c>
      <c r="I399" s="249">
        <f t="shared" si="102"/>
        <v>0</v>
      </c>
      <c r="J399" s="315"/>
    </row>
    <row r="400" spans="1:10" x14ac:dyDescent="0.25">
      <c r="A400" s="280"/>
      <c r="B400" s="264" t="s">
        <v>396</v>
      </c>
      <c r="C400" s="281" t="s">
        <v>576</v>
      </c>
      <c r="D400" s="316">
        <f>15412800+8472600+5900400</f>
        <v>29785800</v>
      </c>
      <c r="E400" s="267">
        <f>'Проверочная  таблица'!LQ38</f>
        <v>29785800</v>
      </c>
      <c r="F400" s="267">
        <f>'Проверочная  таблица'!LU38</f>
        <v>18671574.310000002</v>
      </c>
      <c r="G400" s="268">
        <f t="shared" si="159"/>
        <v>0</v>
      </c>
      <c r="H400" s="249">
        <f t="shared" si="152"/>
        <v>0</v>
      </c>
      <c r="I400" s="249">
        <f t="shared" si="102"/>
        <v>0</v>
      </c>
    </row>
    <row r="401" spans="1:10" x14ac:dyDescent="0.25">
      <c r="A401" s="280"/>
      <c r="B401" s="317" t="s">
        <v>427</v>
      </c>
      <c r="C401" s="318"/>
      <c r="D401" s="268"/>
      <c r="E401" s="268"/>
      <c r="F401" s="268"/>
      <c r="G401" s="268">
        <f t="shared" si="159"/>
        <v>0</v>
      </c>
      <c r="H401" s="249">
        <f t="shared" si="152"/>
        <v>0</v>
      </c>
      <c r="I401" s="249">
        <f t="shared" si="102"/>
        <v>0</v>
      </c>
    </row>
    <row r="402" spans="1:10" x14ac:dyDescent="0.25">
      <c r="A402" s="280"/>
      <c r="B402" s="317" t="s">
        <v>428</v>
      </c>
      <c r="C402" s="318"/>
      <c r="D402" s="268"/>
      <c r="E402" s="268"/>
      <c r="F402" s="268"/>
      <c r="G402" s="268">
        <f t="shared" si="159"/>
        <v>0</v>
      </c>
      <c r="H402" s="249">
        <f t="shared" si="152"/>
        <v>0</v>
      </c>
      <c r="I402" s="249">
        <f t="shared" si="102"/>
        <v>0</v>
      </c>
    </row>
    <row r="403" spans="1:10" x14ac:dyDescent="0.25">
      <c r="A403" s="280"/>
      <c r="B403" s="317" t="s">
        <v>444</v>
      </c>
      <c r="C403" s="318"/>
      <c r="D403" s="355">
        <f>D400</f>
        <v>29785800</v>
      </c>
      <c r="E403" s="355">
        <f>E400</f>
        <v>29785800</v>
      </c>
      <c r="F403" s="355">
        <f>F400</f>
        <v>18671574.310000002</v>
      </c>
      <c r="G403" s="268">
        <f t="shared" si="159"/>
        <v>0</v>
      </c>
      <c r="H403" s="249">
        <f t="shared" si="152"/>
        <v>0</v>
      </c>
      <c r="I403" s="249">
        <f t="shared" si="102"/>
        <v>0</v>
      </c>
    </row>
    <row r="404" spans="1:10" ht="63.75" x14ac:dyDescent="0.25">
      <c r="A404" s="252"/>
      <c r="B404" s="353" t="s">
        <v>577</v>
      </c>
      <c r="C404" s="254" t="s">
        <v>578</v>
      </c>
      <c r="D404" s="354">
        <v>348726.32</v>
      </c>
      <c r="E404" s="273">
        <f>'Проверочная  таблица'!QS37</f>
        <v>348726.3200000003</v>
      </c>
      <c r="F404" s="273">
        <f>'Проверочная  таблица'!QV37</f>
        <v>164095.95000000001</v>
      </c>
      <c r="G404" s="257">
        <f t="shared" si="159"/>
        <v>0</v>
      </c>
      <c r="H404" s="249">
        <f t="shared" si="152"/>
        <v>0</v>
      </c>
      <c r="I404" s="249">
        <f t="shared" si="102"/>
        <v>0</v>
      </c>
      <c r="J404" s="315">
        <f>D404+D407</f>
        <v>6974526.3200000003</v>
      </c>
    </row>
    <row r="405" spans="1:10" x14ac:dyDescent="0.25">
      <c r="A405" s="310"/>
      <c r="B405" s="311" t="s">
        <v>427</v>
      </c>
      <c r="C405" s="346"/>
      <c r="D405" s="313">
        <f>D404</f>
        <v>348726.32</v>
      </c>
      <c r="E405" s="313">
        <f t="shared" ref="E405:F405" si="160">E404</f>
        <v>348726.3200000003</v>
      </c>
      <c r="F405" s="313">
        <f t="shared" si="160"/>
        <v>164095.95000000001</v>
      </c>
      <c r="G405" s="313">
        <f t="shared" si="159"/>
        <v>0</v>
      </c>
      <c r="H405" s="249">
        <f t="shared" si="152"/>
        <v>0</v>
      </c>
      <c r="I405" s="249">
        <f t="shared" si="102"/>
        <v>0</v>
      </c>
    </row>
    <row r="406" spans="1:10" x14ac:dyDescent="0.25">
      <c r="A406" s="310"/>
      <c r="B406" s="311" t="s">
        <v>428</v>
      </c>
      <c r="C406" s="312"/>
      <c r="D406" s="313"/>
      <c r="E406" s="313"/>
      <c r="F406" s="313"/>
      <c r="G406" s="313">
        <f t="shared" si="159"/>
        <v>0</v>
      </c>
      <c r="H406" s="249">
        <f t="shared" si="152"/>
        <v>0</v>
      </c>
      <c r="I406" s="249">
        <f t="shared" si="102"/>
        <v>0</v>
      </c>
      <c r="J406" s="315"/>
    </row>
    <row r="407" spans="1:10" x14ac:dyDescent="0.25">
      <c r="A407" s="280"/>
      <c r="B407" s="264" t="s">
        <v>396</v>
      </c>
      <c r="C407" s="281" t="s">
        <v>578</v>
      </c>
      <c r="D407" s="316">
        <v>6625800</v>
      </c>
      <c r="E407" s="267">
        <f>'Проверочная  таблица'!QT37</f>
        <v>6625800</v>
      </c>
      <c r="F407" s="267">
        <f>'Проверочная  таблица'!QW37</f>
        <v>3117823.01</v>
      </c>
      <c r="G407" s="268">
        <f t="shared" si="159"/>
        <v>0</v>
      </c>
      <c r="H407" s="249">
        <f t="shared" si="152"/>
        <v>0</v>
      </c>
      <c r="I407" s="249">
        <f t="shared" si="102"/>
        <v>0</v>
      </c>
    </row>
    <row r="408" spans="1:10" x14ac:dyDescent="0.25">
      <c r="A408" s="280"/>
      <c r="B408" s="317" t="s">
        <v>427</v>
      </c>
      <c r="C408" s="318"/>
      <c r="D408" s="268">
        <f>D407</f>
        <v>6625800</v>
      </c>
      <c r="E408" s="268">
        <f t="shared" ref="E408:F408" si="161">E407</f>
        <v>6625800</v>
      </c>
      <c r="F408" s="268">
        <f t="shared" si="161"/>
        <v>3117823.01</v>
      </c>
      <c r="G408" s="268">
        <f t="shared" si="159"/>
        <v>0</v>
      </c>
      <c r="H408" s="249">
        <f t="shared" si="152"/>
        <v>0</v>
      </c>
      <c r="I408" s="249">
        <f t="shared" si="102"/>
        <v>0</v>
      </c>
    </row>
    <row r="409" spans="1:10" x14ac:dyDescent="0.25">
      <c r="A409" s="280"/>
      <c r="B409" s="317" t="s">
        <v>428</v>
      </c>
      <c r="C409" s="318"/>
      <c r="D409" s="268"/>
      <c r="E409" s="268"/>
      <c r="F409" s="268"/>
      <c r="G409" s="268">
        <f t="shared" si="159"/>
        <v>0</v>
      </c>
      <c r="H409" s="249">
        <f t="shared" si="152"/>
        <v>0</v>
      </c>
      <c r="I409" s="249">
        <f t="shared" si="102"/>
        <v>0</v>
      </c>
    </row>
    <row r="410" spans="1:10" ht="63.75" hidden="1" x14ac:dyDescent="0.25">
      <c r="A410" s="308"/>
      <c r="B410" s="353" t="s">
        <v>579</v>
      </c>
      <c r="C410" s="254" t="s">
        <v>580</v>
      </c>
      <c r="D410" s="354"/>
      <c r="E410" s="273">
        <f>'Проверочная  таблица'!QY38</f>
        <v>0</v>
      </c>
      <c r="F410" s="273">
        <f>'Проверочная  таблица'!RB38</f>
        <v>0</v>
      </c>
      <c r="G410" s="257">
        <f t="shared" si="159"/>
        <v>0</v>
      </c>
      <c r="H410" s="249">
        <f t="shared" si="152"/>
        <v>0</v>
      </c>
      <c r="I410" s="249">
        <f t="shared" si="102"/>
        <v>0</v>
      </c>
      <c r="J410" s="315">
        <f>D410+D413</f>
        <v>0</v>
      </c>
    </row>
    <row r="411" spans="1:10" hidden="1" x14ac:dyDescent="0.25">
      <c r="A411" s="310"/>
      <c r="B411" s="311" t="s">
        <v>427</v>
      </c>
      <c r="C411" s="346"/>
      <c r="D411" s="313">
        <f>D410</f>
        <v>0</v>
      </c>
      <c r="E411" s="313">
        <f t="shared" ref="E411:F411" si="162">E410</f>
        <v>0</v>
      </c>
      <c r="F411" s="313">
        <f t="shared" si="162"/>
        <v>0</v>
      </c>
      <c r="G411" s="313">
        <f t="shared" si="159"/>
        <v>0</v>
      </c>
      <c r="H411" s="249">
        <f t="shared" si="152"/>
        <v>0</v>
      </c>
      <c r="I411" s="249">
        <f t="shared" si="102"/>
        <v>0</v>
      </c>
    </row>
    <row r="412" spans="1:10" hidden="1" x14ac:dyDescent="0.25">
      <c r="A412" s="310"/>
      <c r="B412" s="311" t="s">
        <v>428</v>
      </c>
      <c r="C412" s="312"/>
      <c r="D412" s="313"/>
      <c r="E412" s="313"/>
      <c r="F412" s="313"/>
      <c r="G412" s="313">
        <f t="shared" si="159"/>
        <v>0</v>
      </c>
      <c r="H412" s="249">
        <f t="shared" si="152"/>
        <v>0</v>
      </c>
      <c r="I412" s="249">
        <f t="shared" si="102"/>
        <v>0</v>
      </c>
      <c r="J412" s="315"/>
    </row>
    <row r="413" spans="1:10" hidden="1" x14ac:dyDescent="0.25">
      <c r="A413" s="280"/>
      <c r="B413" s="264" t="s">
        <v>396</v>
      </c>
      <c r="C413" s="281" t="s">
        <v>580</v>
      </c>
      <c r="D413" s="316"/>
      <c r="E413" s="267">
        <f>'Проверочная  таблица'!QZ38</f>
        <v>0</v>
      </c>
      <c r="F413" s="267">
        <f>'Проверочная  таблица'!RC38</f>
        <v>0</v>
      </c>
      <c r="G413" s="268">
        <f t="shared" si="159"/>
        <v>0</v>
      </c>
      <c r="H413" s="249">
        <f t="shared" si="152"/>
        <v>0</v>
      </c>
      <c r="I413" s="249">
        <f t="shared" si="102"/>
        <v>0</v>
      </c>
    </row>
    <row r="414" spans="1:10" hidden="1" x14ac:dyDescent="0.25">
      <c r="A414" s="280"/>
      <c r="B414" s="317" t="s">
        <v>427</v>
      </c>
      <c r="C414" s="318"/>
      <c r="D414" s="268">
        <f>D413</f>
        <v>0</v>
      </c>
      <c r="E414" s="268">
        <f t="shared" ref="E414:F414" si="163">E413</f>
        <v>0</v>
      </c>
      <c r="F414" s="268">
        <f t="shared" si="163"/>
        <v>0</v>
      </c>
      <c r="G414" s="268">
        <f t="shared" si="159"/>
        <v>0</v>
      </c>
      <c r="H414" s="249">
        <f t="shared" si="152"/>
        <v>0</v>
      </c>
      <c r="I414" s="249">
        <f t="shared" si="102"/>
        <v>0</v>
      </c>
    </row>
    <row r="415" spans="1:10" hidden="1" x14ac:dyDescent="0.25">
      <c r="A415" s="280"/>
      <c r="B415" s="317" t="s">
        <v>428</v>
      </c>
      <c r="C415" s="318"/>
      <c r="D415" s="268"/>
      <c r="E415" s="268"/>
      <c r="F415" s="268"/>
      <c r="G415" s="268">
        <f t="shared" si="159"/>
        <v>0</v>
      </c>
      <c r="H415" s="249">
        <f t="shared" si="152"/>
        <v>0</v>
      </c>
      <c r="I415" s="249">
        <f t="shared" si="102"/>
        <v>0</v>
      </c>
    </row>
    <row r="416" spans="1:10" ht="76.5" hidden="1" x14ac:dyDescent="0.25">
      <c r="A416" s="308"/>
      <c r="B416" s="353" t="s">
        <v>581</v>
      </c>
      <c r="C416" s="254" t="s">
        <v>582</v>
      </c>
      <c r="D416" s="354"/>
      <c r="E416" s="273">
        <f>'Проверочная  таблица'!RW37</f>
        <v>0</v>
      </c>
      <c r="F416" s="273">
        <f>'Проверочная  таблица'!RZ37</f>
        <v>0</v>
      </c>
      <c r="G416" s="257">
        <f t="shared" si="159"/>
        <v>0</v>
      </c>
      <c r="H416" s="249">
        <f t="shared" si="152"/>
        <v>0</v>
      </c>
      <c r="I416" s="249">
        <f t="shared" si="102"/>
        <v>0</v>
      </c>
      <c r="J416" s="315">
        <f>D416+D419</f>
        <v>0</v>
      </c>
    </row>
    <row r="417" spans="1:10" hidden="1" x14ac:dyDescent="0.25">
      <c r="A417" s="310"/>
      <c r="B417" s="311" t="s">
        <v>427</v>
      </c>
      <c r="C417" s="346"/>
      <c r="D417" s="313">
        <f>D416</f>
        <v>0</v>
      </c>
      <c r="E417" s="313">
        <f t="shared" ref="E417:F417" si="164">E416</f>
        <v>0</v>
      </c>
      <c r="F417" s="313">
        <f t="shared" si="164"/>
        <v>0</v>
      </c>
      <c r="G417" s="313">
        <f t="shared" si="159"/>
        <v>0</v>
      </c>
      <c r="H417" s="249">
        <f t="shared" si="152"/>
        <v>0</v>
      </c>
      <c r="I417" s="249">
        <f t="shared" si="102"/>
        <v>0</v>
      </c>
    </row>
    <row r="418" spans="1:10" hidden="1" x14ac:dyDescent="0.25">
      <c r="A418" s="310"/>
      <c r="B418" s="311" t="s">
        <v>428</v>
      </c>
      <c r="C418" s="312"/>
      <c r="D418" s="313"/>
      <c r="E418" s="313"/>
      <c r="F418" s="313"/>
      <c r="G418" s="313">
        <f t="shared" si="159"/>
        <v>0</v>
      </c>
      <c r="H418" s="249">
        <f t="shared" si="152"/>
        <v>0</v>
      </c>
      <c r="I418" s="249">
        <f t="shared" si="102"/>
        <v>0</v>
      </c>
      <c r="J418" s="315"/>
    </row>
    <row r="419" spans="1:10" hidden="1" x14ac:dyDescent="0.25">
      <c r="A419" s="280"/>
      <c r="B419" s="264" t="s">
        <v>396</v>
      </c>
      <c r="C419" s="281" t="s">
        <v>582</v>
      </c>
      <c r="D419" s="316">
        <v>0</v>
      </c>
      <c r="E419" s="267">
        <f>'Проверочная  таблица'!RX37</f>
        <v>0</v>
      </c>
      <c r="F419" s="267">
        <f>'Проверочная  таблица'!SA37</f>
        <v>0</v>
      </c>
      <c r="G419" s="268">
        <f t="shared" si="159"/>
        <v>0</v>
      </c>
      <c r="H419" s="249">
        <f t="shared" si="152"/>
        <v>0</v>
      </c>
      <c r="I419" s="249">
        <f t="shared" si="102"/>
        <v>0</v>
      </c>
    </row>
    <row r="420" spans="1:10" hidden="1" x14ac:dyDescent="0.25">
      <c r="A420" s="280"/>
      <c r="B420" s="317" t="s">
        <v>427</v>
      </c>
      <c r="C420" s="318"/>
      <c r="D420" s="268">
        <f>D419</f>
        <v>0</v>
      </c>
      <c r="E420" s="268">
        <f t="shared" ref="E420:F420" si="165">E419</f>
        <v>0</v>
      </c>
      <c r="F420" s="268">
        <f t="shared" si="165"/>
        <v>0</v>
      </c>
      <c r="G420" s="268">
        <f t="shared" si="159"/>
        <v>0</v>
      </c>
      <c r="H420" s="249">
        <f t="shared" si="152"/>
        <v>0</v>
      </c>
      <c r="I420" s="249">
        <f t="shared" si="102"/>
        <v>0</v>
      </c>
    </row>
    <row r="421" spans="1:10" hidden="1" x14ac:dyDescent="0.25">
      <c r="A421" s="280"/>
      <c r="B421" s="317" t="s">
        <v>428</v>
      </c>
      <c r="C421" s="318"/>
      <c r="D421" s="268"/>
      <c r="E421" s="268"/>
      <c r="F421" s="268"/>
      <c r="G421" s="268">
        <f t="shared" si="159"/>
        <v>0</v>
      </c>
      <c r="H421" s="249">
        <f t="shared" si="152"/>
        <v>0</v>
      </c>
      <c r="I421" s="249">
        <f t="shared" si="102"/>
        <v>0</v>
      </c>
    </row>
    <row r="422" spans="1:10" ht="140.25" x14ac:dyDescent="0.25">
      <c r="A422" s="252"/>
      <c r="B422" s="253" t="s">
        <v>583</v>
      </c>
      <c r="C422" s="254" t="s">
        <v>584</v>
      </c>
      <c r="D422" s="277">
        <v>600000</v>
      </c>
      <c r="E422" s="273">
        <f>'Прочая  субсидия_МР  и  ГО'!T43</f>
        <v>600000</v>
      </c>
      <c r="F422" s="273">
        <f>'Прочая  субсидия_МР  и  ГО'!U43</f>
        <v>600000</v>
      </c>
      <c r="G422" s="257">
        <f t="shared" si="159"/>
        <v>0</v>
      </c>
      <c r="H422" s="249">
        <f>IF(F422&gt;E422,1,0)</f>
        <v>0</v>
      </c>
      <c r="I422" s="249">
        <f>IF(G422&lt;0,1,0)</f>
        <v>0</v>
      </c>
    </row>
    <row r="423" spans="1:10" x14ac:dyDescent="0.25">
      <c r="A423" s="310"/>
      <c r="B423" s="311" t="s">
        <v>427</v>
      </c>
      <c r="C423" s="312"/>
      <c r="D423" s="313">
        <f>D422</f>
        <v>600000</v>
      </c>
      <c r="E423" s="313">
        <f>E422</f>
        <v>600000</v>
      </c>
      <c r="F423" s="313">
        <f>F422</f>
        <v>600000</v>
      </c>
      <c r="G423" s="313">
        <f t="shared" si="159"/>
        <v>0</v>
      </c>
      <c r="H423" s="249">
        <f>IF(F423&gt;E423,1,0)</f>
        <v>0</v>
      </c>
      <c r="I423" s="249">
        <f>IF(G423&lt;0,1,0)</f>
        <v>0</v>
      </c>
    </row>
    <row r="424" spans="1:10" x14ac:dyDescent="0.25">
      <c r="A424" s="310"/>
      <c r="B424" s="311" t="s">
        <v>428</v>
      </c>
      <c r="C424" s="312"/>
      <c r="D424" s="313"/>
      <c r="E424" s="313"/>
      <c r="F424" s="313"/>
      <c r="G424" s="313">
        <f t="shared" si="159"/>
        <v>0</v>
      </c>
      <c r="H424" s="249">
        <f>IF(F424&gt;E424,1,0)</f>
        <v>0</v>
      </c>
      <c r="I424" s="249">
        <f>IF(G424&lt;0,1,0)</f>
        <v>0</v>
      </c>
    </row>
    <row r="425" spans="1:10" ht="63.75" x14ac:dyDescent="0.25">
      <c r="A425" s="252"/>
      <c r="B425" s="353" t="s">
        <v>585</v>
      </c>
      <c r="C425" s="254" t="s">
        <v>586</v>
      </c>
      <c r="D425" s="354">
        <v>131578.95000000001</v>
      </c>
      <c r="E425" s="273">
        <f>'Проверочная  таблица'!II38</f>
        <v>131578.95000000001</v>
      </c>
      <c r="F425" s="273">
        <f>'Проверочная  таблица'!IL38</f>
        <v>131578.95000000001</v>
      </c>
      <c r="G425" s="257">
        <f>D425-E425</f>
        <v>0</v>
      </c>
      <c r="H425" s="249">
        <f t="shared" ref="H425:H453" si="166">IF(F425&gt;E425,1,0)</f>
        <v>0</v>
      </c>
      <c r="I425" s="249">
        <f t="shared" ref="I425:I453" si="167">IF(G425&lt;0,1,0)</f>
        <v>0</v>
      </c>
      <c r="J425" s="315">
        <f>D425+D428</f>
        <v>2631578.9500000002</v>
      </c>
    </row>
    <row r="426" spans="1:10" x14ac:dyDescent="0.25">
      <c r="A426" s="310"/>
      <c r="B426" s="311" t="s">
        <v>427</v>
      </c>
      <c r="C426" s="346"/>
      <c r="D426" s="313">
        <f>D425</f>
        <v>131578.95000000001</v>
      </c>
      <c r="E426" s="313">
        <f>E425</f>
        <v>131578.95000000001</v>
      </c>
      <c r="F426" s="313">
        <f>F425</f>
        <v>131578.95000000001</v>
      </c>
      <c r="G426" s="313">
        <f>G425</f>
        <v>0</v>
      </c>
      <c r="H426" s="249">
        <f t="shared" si="166"/>
        <v>0</v>
      </c>
      <c r="I426" s="249">
        <f t="shared" si="167"/>
        <v>0</v>
      </c>
    </row>
    <row r="427" spans="1:10" x14ac:dyDescent="0.25">
      <c r="A427" s="310"/>
      <c r="B427" s="311" t="s">
        <v>428</v>
      </c>
      <c r="C427" s="312"/>
      <c r="D427" s="313"/>
      <c r="E427" s="313"/>
      <c r="F427" s="313"/>
      <c r="G427" s="313">
        <f>D427-E427</f>
        <v>0</v>
      </c>
      <c r="H427" s="249">
        <f t="shared" si="166"/>
        <v>0</v>
      </c>
      <c r="I427" s="249">
        <f t="shared" si="167"/>
        <v>0</v>
      </c>
    </row>
    <row r="428" spans="1:10" x14ac:dyDescent="0.25">
      <c r="A428" s="280"/>
      <c r="B428" s="264" t="s">
        <v>396</v>
      </c>
      <c r="C428" s="281" t="s">
        <v>586</v>
      </c>
      <c r="D428" s="316">
        <v>2500000</v>
      </c>
      <c r="E428" s="267">
        <f>'Проверочная  таблица'!IJ38</f>
        <v>2500000</v>
      </c>
      <c r="F428" s="267">
        <f>'Проверочная  таблица'!IM38</f>
        <v>2500000</v>
      </c>
      <c r="G428" s="268">
        <f>D428-E428</f>
        <v>0</v>
      </c>
      <c r="H428" s="249">
        <f t="shared" si="166"/>
        <v>0</v>
      </c>
      <c r="I428" s="249">
        <f t="shared" si="167"/>
        <v>0</v>
      </c>
    </row>
    <row r="429" spans="1:10" x14ac:dyDescent="0.25">
      <c r="A429" s="280"/>
      <c r="B429" s="317" t="s">
        <v>427</v>
      </c>
      <c r="C429" s="318"/>
      <c r="D429" s="268">
        <f>D428</f>
        <v>2500000</v>
      </c>
      <c r="E429" s="268">
        <f>E428</f>
        <v>2500000</v>
      </c>
      <c r="F429" s="268">
        <f>F428</f>
        <v>2500000</v>
      </c>
      <c r="G429" s="268">
        <f>G428</f>
        <v>0</v>
      </c>
      <c r="H429" s="249">
        <f t="shared" si="166"/>
        <v>0</v>
      </c>
      <c r="I429" s="249">
        <f t="shared" si="167"/>
        <v>0</v>
      </c>
    </row>
    <row r="430" spans="1:10" x14ac:dyDescent="0.25">
      <c r="A430" s="280"/>
      <c r="B430" s="317" t="s">
        <v>428</v>
      </c>
      <c r="C430" s="318"/>
      <c r="D430" s="268"/>
      <c r="E430" s="268"/>
      <c r="F430" s="268"/>
      <c r="G430" s="268">
        <f>D430-E430</f>
        <v>0</v>
      </c>
      <c r="H430" s="249">
        <f t="shared" si="166"/>
        <v>0</v>
      </c>
      <c r="I430" s="249">
        <f t="shared" si="167"/>
        <v>0</v>
      </c>
    </row>
    <row r="431" spans="1:10" ht="140.25" x14ac:dyDescent="0.25">
      <c r="A431" s="252"/>
      <c r="B431" s="353" t="s">
        <v>587</v>
      </c>
      <c r="C431" s="254" t="s">
        <v>588</v>
      </c>
      <c r="D431" s="354">
        <v>874267.57</v>
      </c>
      <c r="E431" s="273">
        <f>'Проверочная  таблица'!JE37</f>
        <v>874267.56999999983</v>
      </c>
      <c r="F431" s="273">
        <f>'Проверочная  таблица'!JH37</f>
        <v>874267.57</v>
      </c>
      <c r="G431" s="257">
        <f>D431-E431</f>
        <v>0</v>
      </c>
      <c r="H431" s="249">
        <f t="shared" si="166"/>
        <v>0</v>
      </c>
      <c r="I431" s="249">
        <f t="shared" si="167"/>
        <v>0</v>
      </c>
      <c r="J431" s="315">
        <f>D431+D434</f>
        <v>3362567.57</v>
      </c>
    </row>
    <row r="432" spans="1:10" x14ac:dyDescent="0.25">
      <c r="A432" s="310"/>
      <c r="B432" s="311" t="s">
        <v>427</v>
      </c>
      <c r="C432" s="346"/>
      <c r="D432" s="313">
        <f>D431</f>
        <v>874267.57</v>
      </c>
      <c r="E432" s="313">
        <f>E431</f>
        <v>874267.56999999983</v>
      </c>
      <c r="F432" s="313">
        <f>F431</f>
        <v>874267.57</v>
      </c>
      <c r="G432" s="313">
        <f>G431</f>
        <v>0</v>
      </c>
      <c r="H432" s="249">
        <f t="shared" si="166"/>
        <v>0</v>
      </c>
      <c r="I432" s="249">
        <f t="shared" si="167"/>
        <v>0</v>
      </c>
    </row>
    <row r="433" spans="1:10" x14ac:dyDescent="0.25">
      <c r="A433" s="310"/>
      <c r="B433" s="311" t="s">
        <v>428</v>
      </c>
      <c r="C433" s="312"/>
      <c r="D433" s="313"/>
      <c r="E433" s="313"/>
      <c r="F433" s="313"/>
      <c r="G433" s="313">
        <f>D433-E433</f>
        <v>0</v>
      </c>
      <c r="H433" s="249">
        <f t="shared" si="166"/>
        <v>0</v>
      </c>
      <c r="I433" s="249">
        <f t="shared" si="167"/>
        <v>0</v>
      </c>
    </row>
    <row r="434" spans="1:10" x14ac:dyDescent="0.25">
      <c r="A434" s="280"/>
      <c r="B434" s="264" t="s">
        <v>396</v>
      </c>
      <c r="C434" s="281" t="s">
        <v>588</v>
      </c>
      <c r="D434" s="316">
        <v>2488300</v>
      </c>
      <c r="E434" s="267">
        <f>'Проверочная  таблица'!JF37</f>
        <v>2488300</v>
      </c>
      <c r="F434" s="267">
        <f>'Проверочная  таблица'!JI37</f>
        <v>2488300</v>
      </c>
      <c r="G434" s="268">
        <f>D434-E434</f>
        <v>0</v>
      </c>
      <c r="H434" s="249">
        <f t="shared" si="166"/>
        <v>0</v>
      </c>
      <c r="I434" s="249">
        <f t="shared" si="167"/>
        <v>0</v>
      </c>
      <c r="J434" s="315"/>
    </row>
    <row r="435" spans="1:10" x14ac:dyDescent="0.25">
      <c r="A435" s="280"/>
      <c r="B435" s="317" t="s">
        <v>427</v>
      </c>
      <c r="C435" s="318"/>
      <c r="D435" s="268">
        <f>D434</f>
        <v>2488300</v>
      </c>
      <c r="E435" s="268">
        <f>E434</f>
        <v>2488300</v>
      </c>
      <c r="F435" s="268">
        <f>F434</f>
        <v>2488300</v>
      </c>
      <c r="G435" s="268">
        <f>G434</f>
        <v>0</v>
      </c>
      <c r="H435" s="249">
        <f t="shared" si="166"/>
        <v>0</v>
      </c>
      <c r="I435" s="249">
        <f t="shared" si="167"/>
        <v>0</v>
      </c>
    </row>
    <row r="436" spans="1:10" x14ac:dyDescent="0.25">
      <c r="A436" s="280"/>
      <c r="B436" s="317" t="s">
        <v>428</v>
      </c>
      <c r="C436" s="318"/>
      <c r="D436" s="268"/>
      <c r="E436" s="268"/>
      <c r="F436" s="268"/>
      <c r="G436" s="268">
        <f>D436-E436</f>
        <v>0</v>
      </c>
      <c r="H436" s="249">
        <f t="shared" si="166"/>
        <v>0</v>
      </c>
      <c r="I436" s="249">
        <f t="shared" si="167"/>
        <v>0</v>
      </c>
    </row>
    <row r="437" spans="1:10" ht="114.75" hidden="1" x14ac:dyDescent="0.25">
      <c r="A437" s="308"/>
      <c r="B437" s="353" t="s">
        <v>589</v>
      </c>
      <c r="C437" s="254" t="s">
        <v>590</v>
      </c>
      <c r="D437" s="354"/>
      <c r="E437" s="273">
        <f>'Проверочная  таблица'!JK38</f>
        <v>0</v>
      </c>
      <c r="F437" s="273">
        <f>'Проверочная  таблица'!JN38</f>
        <v>0</v>
      </c>
      <c r="G437" s="257">
        <f>D437-E437</f>
        <v>0</v>
      </c>
      <c r="H437" s="249">
        <f t="shared" si="166"/>
        <v>0</v>
      </c>
      <c r="I437" s="249">
        <f t="shared" si="167"/>
        <v>0</v>
      </c>
      <c r="J437" s="315">
        <f>D437+D440</f>
        <v>0</v>
      </c>
    </row>
    <row r="438" spans="1:10" hidden="1" x14ac:dyDescent="0.25">
      <c r="A438" s="310"/>
      <c r="B438" s="311" t="s">
        <v>427</v>
      </c>
      <c r="C438" s="346"/>
      <c r="D438" s="313">
        <f>D437</f>
        <v>0</v>
      </c>
      <c r="E438" s="313">
        <f>E437</f>
        <v>0</v>
      </c>
      <c r="F438" s="313">
        <f>F437</f>
        <v>0</v>
      </c>
      <c r="G438" s="313">
        <f>G437</f>
        <v>0</v>
      </c>
      <c r="H438" s="249">
        <f t="shared" si="166"/>
        <v>0</v>
      </c>
      <c r="I438" s="249">
        <f t="shared" si="167"/>
        <v>0</v>
      </c>
    </row>
    <row r="439" spans="1:10" hidden="1" x14ac:dyDescent="0.25">
      <c r="A439" s="310"/>
      <c r="B439" s="311" t="s">
        <v>428</v>
      </c>
      <c r="C439" s="312"/>
      <c r="D439" s="313"/>
      <c r="E439" s="313"/>
      <c r="F439" s="313"/>
      <c r="G439" s="313">
        <f>D439-E439</f>
        <v>0</v>
      </c>
      <c r="H439" s="249">
        <f t="shared" si="166"/>
        <v>0</v>
      </c>
      <c r="I439" s="249">
        <f t="shared" si="167"/>
        <v>0</v>
      </c>
      <c r="J439" s="315"/>
    </row>
    <row r="440" spans="1:10" hidden="1" x14ac:dyDescent="0.25">
      <c r="A440" s="280"/>
      <c r="B440" s="264" t="s">
        <v>396</v>
      </c>
      <c r="C440" s="281" t="s">
        <v>590</v>
      </c>
      <c r="D440" s="316"/>
      <c r="E440" s="267">
        <f>'Проверочная  таблица'!JL38</f>
        <v>36716.63999999997</v>
      </c>
      <c r="F440" s="267">
        <f>'Проверочная  таблица'!JO38</f>
        <v>0</v>
      </c>
      <c r="G440" s="268">
        <f>D440-E440</f>
        <v>-36716.63999999997</v>
      </c>
      <c r="H440" s="249">
        <f t="shared" si="166"/>
        <v>0</v>
      </c>
      <c r="I440" s="249">
        <f t="shared" si="167"/>
        <v>1</v>
      </c>
    </row>
    <row r="441" spans="1:10" hidden="1" x14ac:dyDescent="0.25">
      <c r="A441" s="280"/>
      <c r="B441" s="317" t="s">
        <v>427</v>
      </c>
      <c r="C441" s="318"/>
      <c r="D441" s="268">
        <f>D440</f>
        <v>0</v>
      </c>
      <c r="E441" s="268">
        <f>E440</f>
        <v>36716.63999999997</v>
      </c>
      <c r="F441" s="268">
        <f>F440</f>
        <v>0</v>
      </c>
      <c r="G441" s="268">
        <f>G440</f>
        <v>-36716.63999999997</v>
      </c>
      <c r="H441" s="249">
        <f t="shared" si="166"/>
        <v>0</v>
      </c>
      <c r="I441" s="249">
        <f t="shared" si="167"/>
        <v>1</v>
      </c>
    </row>
    <row r="442" spans="1:10" hidden="1" x14ac:dyDescent="0.25">
      <c r="A442" s="280"/>
      <c r="B442" s="317" t="s">
        <v>428</v>
      </c>
      <c r="C442" s="318"/>
      <c r="D442" s="268"/>
      <c r="E442" s="268"/>
      <c r="F442" s="268"/>
      <c r="G442" s="268">
        <f>D442-E442</f>
        <v>0</v>
      </c>
      <c r="H442" s="249">
        <f t="shared" si="166"/>
        <v>0</v>
      </c>
      <c r="I442" s="249">
        <f t="shared" si="167"/>
        <v>0</v>
      </c>
    </row>
    <row r="443" spans="1:10" ht="153" x14ac:dyDescent="0.25">
      <c r="A443" s="252"/>
      <c r="B443" s="353" t="s">
        <v>591</v>
      </c>
      <c r="C443" s="254" t="s">
        <v>592</v>
      </c>
      <c r="D443" s="354">
        <f>1294132.43+0.01</f>
        <v>1294132.44</v>
      </c>
      <c r="E443" s="273">
        <f>'Проверочная  таблица'!MZ38</f>
        <v>1294132.44</v>
      </c>
      <c r="F443" s="273">
        <f>'Проверочная  таблица'!NH38</f>
        <v>1294132.45</v>
      </c>
      <c r="G443" s="257">
        <f>D443-E443</f>
        <v>0</v>
      </c>
      <c r="H443" s="249">
        <f t="shared" si="166"/>
        <v>1</v>
      </c>
      <c r="I443" s="249">
        <f t="shared" si="167"/>
        <v>0</v>
      </c>
      <c r="J443" s="315">
        <f>D443+D447</f>
        <v>4977432.43</v>
      </c>
    </row>
    <row r="444" spans="1:10" x14ac:dyDescent="0.25">
      <c r="A444" s="310"/>
      <c r="B444" s="311" t="s">
        <v>427</v>
      </c>
      <c r="C444" s="346"/>
      <c r="D444" s="313"/>
      <c r="E444" s="313"/>
      <c r="F444" s="313"/>
      <c r="G444" s="313">
        <f>G443</f>
        <v>0</v>
      </c>
      <c r="H444" s="249">
        <f t="shared" si="166"/>
        <v>0</v>
      </c>
      <c r="I444" s="249">
        <f t="shared" si="167"/>
        <v>0</v>
      </c>
    </row>
    <row r="445" spans="1:10" x14ac:dyDescent="0.25">
      <c r="A445" s="310"/>
      <c r="B445" s="311" t="s">
        <v>428</v>
      </c>
      <c r="C445" s="312"/>
      <c r="D445" s="313"/>
      <c r="E445" s="313"/>
      <c r="F445" s="313"/>
      <c r="G445" s="313">
        <f>D445-E445</f>
        <v>0</v>
      </c>
      <c r="H445" s="249">
        <f t="shared" si="166"/>
        <v>0</v>
      </c>
      <c r="I445" s="249">
        <f t="shared" si="167"/>
        <v>0</v>
      </c>
    </row>
    <row r="446" spans="1:10" x14ac:dyDescent="0.25">
      <c r="A446" s="310"/>
      <c r="B446" s="311" t="s">
        <v>444</v>
      </c>
      <c r="C446" s="312"/>
      <c r="D446" s="313">
        <f>D443</f>
        <v>1294132.44</v>
      </c>
      <c r="E446" s="313">
        <f t="shared" ref="E446:F446" si="168">E443</f>
        <v>1294132.44</v>
      </c>
      <c r="F446" s="313">
        <f t="shared" si="168"/>
        <v>1294132.45</v>
      </c>
      <c r="G446" s="313">
        <f>D446-E446</f>
        <v>0</v>
      </c>
      <c r="H446" s="249">
        <f t="shared" si="166"/>
        <v>1</v>
      </c>
      <c r="I446" s="249">
        <f t="shared" si="167"/>
        <v>0</v>
      </c>
    </row>
    <row r="447" spans="1:10" x14ac:dyDescent="0.25">
      <c r="A447" s="280"/>
      <c r="B447" s="264" t="s">
        <v>396</v>
      </c>
      <c r="C447" s="281" t="s">
        <v>592</v>
      </c>
      <c r="D447" s="316">
        <f>3683300-0.01</f>
        <v>3683299.99</v>
      </c>
      <c r="E447" s="267">
        <f>'Проверочная  таблица'!NA38</f>
        <v>168192399.99000001</v>
      </c>
      <c r="F447" s="267">
        <f>'Проверочная  таблица'!NI38</f>
        <v>3683299.9699999997</v>
      </c>
      <c r="G447" s="268">
        <f>D447-E447</f>
        <v>-164509100</v>
      </c>
      <c r="H447" s="249">
        <f t="shared" si="166"/>
        <v>0</v>
      </c>
      <c r="I447" s="249">
        <f t="shared" si="167"/>
        <v>1</v>
      </c>
    </row>
    <row r="448" spans="1:10" x14ac:dyDescent="0.25">
      <c r="A448" s="280"/>
      <c r="B448" s="317" t="s">
        <v>427</v>
      </c>
      <c r="C448" s="318"/>
      <c r="D448" s="268"/>
      <c r="E448" s="268"/>
      <c r="F448" s="268"/>
      <c r="G448" s="268">
        <f>G447</f>
        <v>-164509100</v>
      </c>
      <c r="H448" s="249">
        <f t="shared" si="166"/>
        <v>0</v>
      </c>
      <c r="I448" s="249">
        <f t="shared" si="167"/>
        <v>1</v>
      </c>
    </row>
    <row r="449" spans="1:9" x14ac:dyDescent="0.25">
      <c r="A449" s="280"/>
      <c r="B449" s="317" t="s">
        <v>428</v>
      </c>
      <c r="C449" s="318"/>
      <c r="D449" s="268"/>
      <c r="E449" s="268"/>
      <c r="F449" s="268"/>
      <c r="G449" s="268">
        <f>D449-E449</f>
        <v>0</v>
      </c>
      <c r="H449" s="249">
        <f t="shared" si="166"/>
        <v>0</v>
      </c>
      <c r="I449" s="249">
        <f t="shared" si="167"/>
        <v>0</v>
      </c>
    </row>
    <row r="450" spans="1:9" x14ac:dyDescent="0.25">
      <c r="A450" s="280"/>
      <c r="B450" s="317" t="s">
        <v>444</v>
      </c>
      <c r="C450" s="318"/>
      <c r="D450" s="268">
        <f>D447</f>
        <v>3683299.99</v>
      </c>
      <c r="E450" s="268">
        <f t="shared" ref="E450:F450" si="169">E447</f>
        <v>168192399.99000001</v>
      </c>
      <c r="F450" s="268">
        <f t="shared" si="169"/>
        <v>3683299.9699999997</v>
      </c>
      <c r="G450" s="268">
        <f t="shared" ref="G450" si="170">D450-E450</f>
        <v>-164509100</v>
      </c>
      <c r="H450" s="249">
        <f t="shared" si="166"/>
        <v>0</v>
      </c>
      <c r="I450" s="249">
        <f t="shared" si="167"/>
        <v>1</v>
      </c>
    </row>
    <row r="451" spans="1:9" ht="140.25" x14ac:dyDescent="0.25">
      <c r="A451" s="252"/>
      <c r="B451" s="278" t="s">
        <v>429</v>
      </c>
      <c r="C451" s="254" t="s">
        <v>430</v>
      </c>
      <c r="D451" s="277">
        <v>6726687.7300000004</v>
      </c>
      <c r="E451" s="256">
        <f>D451</f>
        <v>6726687.7300000004</v>
      </c>
      <c r="F451" s="309">
        <v>4965519.3899999997</v>
      </c>
      <c r="G451" s="257">
        <f>D451-E451</f>
        <v>0</v>
      </c>
      <c r="H451" s="249">
        <f t="shared" si="166"/>
        <v>0</v>
      </c>
      <c r="I451" s="249">
        <f t="shared" si="167"/>
        <v>0</v>
      </c>
    </row>
    <row r="452" spans="1:9" x14ac:dyDescent="0.25">
      <c r="A452" s="310"/>
      <c r="B452" s="311" t="s">
        <v>427</v>
      </c>
      <c r="C452" s="312"/>
      <c r="D452" s="313">
        <f>D451-D453</f>
        <v>6726687.7300000004</v>
      </c>
      <c r="E452" s="313">
        <f>E451-E453</f>
        <v>6726687.7300000004</v>
      </c>
      <c r="F452" s="313">
        <f>F451-F453</f>
        <v>4965519.3899999997</v>
      </c>
      <c r="G452" s="313">
        <f>D452-E452</f>
        <v>0</v>
      </c>
      <c r="H452" s="249">
        <f t="shared" si="166"/>
        <v>0</v>
      </c>
      <c r="I452" s="249">
        <f t="shared" si="167"/>
        <v>0</v>
      </c>
    </row>
    <row r="453" spans="1:9" x14ac:dyDescent="0.25">
      <c r="A453" s="310"/>
      <c r="B453" s="311" t="s">
        <v>428</v>
      </c>
      <c r="C453" s="312"/>
      <c r="D453" s="337"/>
      <c r="E453" s="314">
        <f>D453</f>
        <v>0</v>
      </c>
      <c r="F453" s="337"/>
      <c r="G453" s="313">
        <f>D453-E453</f>
        <v>0</v>
      </c>
      <c r="H453" s="249">
        <f t="shared" si="166"/>
        <v>0</v>
      </c>
      <c r="I453" s="249">
        <f t="shared" si="167"/>
        <v>0</v>
      </c>
    </row>
    <row r="454" spans="1:9" x14ac:dyDescent="0.25">
      <c r="A454" s="252"/>
      <c r="B454" s="338"/>
      <c r="C454" s="339"/>
      <c r="D454" s="340"/>
      <c r="E454" s="340"/>
      <c r="F454" s="340"/>
      <c r="G454" s="340"/>
      <c r="H454" s="249"/>
      <c r="I454" s="249"/>
    </row>
    <row r="455" spans="1:9" hidden="1" x14ac:dyDescent="0.25">
      <c r="A455" s="245">
        <v>1101</v>
      </c>
      <c r="B455" s="246" t="s">
        <v>593</v>
      </c>
      <c r="C455" s="274"/>
      <c r="D455" s="275">
        <f>D459</f>
        <v>0</v>
      </c>
      <c r="E455" s="275">
        <f t="shared" ref="E455:G457" si="171">E459</f>
        <v>0</v>
      </c>
      <c r="F455" s="275">
        <f t="shared" si="171"/>
        <v>0</v>
      </c>
      <c r="G455" s="275">
        <f t="shared" si="171"/>
        <v>0</v>
      </c>
      <c r="H455" s="249">
        <f t="shared" ref="H455:H461" si="172">IF(F455&gt;E455,1,0)</f>
        <v>0</v>
      </c>
      <c r="I455" s="249">
        <f t="shared" ref="I455:I513" si="173">IF(G455&lt;0,1,0)</f>
        <v>0</v>
      </c>
    </row>
    <row r="456" spans="1:9" hidden="1" x14ac:dyDescent="0.25">
      <c r="A456" s="304"/>
      <c r="B456" s="305" t="s">
        <v>427</v>
      </c>
      <c r="C456" s="306"/>
      <c r="D456" s="319">
        <f>D460</f>
        <v>0</v>
      </c>
      <c r="E456" s="319">
        <f t="shared" si="171"/>
        <v>0</v>
      </c>
      <c r="F456" s="319">
        <f t="shared" si="171"/>
        <v>0</v>
      </c>
      <c r="G456" s="319">
        <f t="shared" si="171"/>
        <v>0</v>
      </c>
      <c r="H456" s="249">
        <f t="shared" si="172"/>
        <v>0</v>
      </c>
      <c r="I456" s="249">
        <f t="shared" si="173"/>
        <v>0</v>
      </c>
    </row>
    <row r="457" spans="1:9" hidden="1" x14ac:dyDescent="0.25">
      <c r="A457" s="304"/>
      <c r="B457" s="305" t="s">
        <v>428</v>
      </c>
      <c r="C457" s="306"/>
      <c r="D457" s="319">
        <f>D461</f>
        <v>0</v>
      </c>
      <c r="E457" s="319">
        <f t="shared" si="171"/>
        <v>0</v>
      </c>
      <c r="F457" s="319">
        <f t="shared" si="171"/>
        <v>0</v>
      </c>
      <c r="G457" s="319">
        <f t="shared" si="171"/>
        <v>0</v>
      </c>
      <c r="H457" s="249">
        <f t="shared" si="172"/>
        <v>0</v>
      </c>
      <c r="I457" s="249">
        <f t="shared" si="173"/>
        <v>0</v>
      </c>
    </row>
    <row r="458" spans="1:9" hidden="1" x14ac:dyDescent="0.25">
      <c r="A458" s="252"/>
      <c r="B458" s="238" t="s">
        <v>375</v>
      </c>
      <c r="C458" s="276"/>
      <c r="D458" s="277"/>
      <c r="E458" s="273"/>
      <c r="F458" s="273"/>
      <c r="G458" s="257"/>
      <c r="H458" s="249">
        <f t="shared" si="172"/>
        <v>0</v>
      </c>
      <c r="I458" s="249">
        <f t="shared" si="173"/>
        <v>0</v>
      </c>
    </row>
    <row r="459" spans="1:9" ht="140.25" hidden="1" x14ac:dyDescent="0.25">
      <c r="A459" s="308"/>
      <c r="B459" s="278" t="s">
        <v>429</v>
      </c>
      <c r="C459" s="254" t="s">
        <v>430</v>
      </c>
      <c r="D459" s="277"/>
      <c r="E459" s="256">
        <f>D459</f>
        <v>0</v>
      </c>
      <c r="F459" s="309"/>
      <c r="G459" s="257">
        <f t="shared" ref="G459" si="174">D459-E459</f>
        <v>0</v>
      </c>
      <c r="H459" s="249">
        <f t="shared" si="172"/>
        <v>0</v>
      </c>
      <c r="I459" s="249">
        <f t="shared" si="173"/>
        <v>0</v>
      </c>
    </row>
    <row r="460" spans="1:9" hidden="1" x14ac:dyDescent="0.25">
      <c r="A460" s="310"/>
      <c r="B460" s="311" t="s">
        <v>427</v>
      </c>
      <c r="C460" s="312"/>
      <c r="D460" s="313">
        <f>D459</f>
        <v>0</v>
      </c>
      <c r="E460" s="313">
        <f t="shared" ref="E460:G460" si="175">E459</f>
        <v>0</v>
      </c>
      <c r="F460" s="313">
        <f t="shared" si="175"/>
        <v>0</v>
      </c>
      <c r="G460" s="313">
        <f t="shared" si="175"/>
        <v>0</v>
      </c>
      <c r="H460" s="249">
        <f t="shared" si="172"/>
        <v>0</v>
      </c>
      <c r="I460" s="249">
        <f t="shared" si="173"/>
        <v>0</v>
      </c>
    </row>
    <row r="461" spans="1:9" hidden="1" x14ac:dyDescent="0.25">
      <c r="A461" s="310"/>
      <c r="B461" s="311" t="s">
        <v>428</v>
      </c>
      <c r="C461" s="312"/>
      <c r="D461" s="314"/>
      <c r="E461" s="314"/>
      <c r="F461" s="314"/>
      <c r="G461" s="314"/>
      <c r="H461" s="249">
        <f t="shared" si="172"/>
        <v>0</v>
      </c>
      <c r="I461" s="249">
        <f t="shared" si="173"/>
        <v>0</v>
      </c>
    </row>
    <row r="462" spans="1:9" hidden="1" x14ac:dyDescent="0.25">
      <c r="A462" s="252"/>
      <c r="B462" s="278"/>
      <c r="C462" s="339"/>
      <c r="D462" s="277"/>
      <c r="E462" s="273"/>
      <c r="F462" s="273"/>
      <c r="G462" s="257"/>
      <c r="H462" s="249"/>
      <c r="I462" s="249">
        <f t="shared" si="173"/>
        <v>0</v>
      </c>
    </row>
    <row r="463" spans="1:9" x14ac:dyDescent="0.25">
      <c r="A463" s="245">
        <v>1102</v>
      </c>
      <c r="B463" s="246" t="s">
        <v>594</v>
      </c>
      <c r="C463" s="274"/>
      <c r="D463" s="275">
        <f t="shared" ref="D463:G465" si="176">D479+D467+D470+D482+D473+D476</f>
        <v>22265400</v>
      </c>
      <c r="E463" s="275">
        <f t="shared" si="176"/>
        <v>5400000</v>
      </c>
      <c r="F463" s="275">
        <f t="shared" si="176"/>
        <v>4343291.8600000003</v>
      </c>
      <c r="G463" s="275">
        <f t="shared" si="176"/>
        <v>16865400</v>
      </c>
      <c r="H463" s="249">
        <f t="shared" ref="H463:H513" si="177">IF(F463&gt;E463,1,0)</f>
        <v>0</v>
      </c>
      <c r="I463" s="249">
        <f t="shared" si="173"/>
        <v>0</v>
      </c>
    </row>
    <row r="464" spans="1:9" x14ac:dyDescent="0.25">
      <c r="A464" s="304"/>
      <c r="B464" s="305" t="s">
        <v>427</v>
      </c>
      <c r="C464" s="306"/>
      <c r="D464" s="319">
        <f t="shared" si="176"/>
        <v>22265400</v>
      </c>
      <c r="E464" s="319">
        <f t="shared" si="176"/>
        <v>5400000</v>
      </c>
      <c r="F464" s="319">
        <f t="shared" si="176"/>
        <v>4343291.8600000003</v>
      </c>
      <c r="G464" s="319">
        <f t="shared" si="176"/>
        <v>16865400</v>
      </c>
      <c r="H464" s="249">
        <f t="shared" si="177"/>
        <v>0</v>
      </c>
      <c r="I464" s="249">
        <f t="shared" si="173"/>
        <v>0</v>
      </c>
    </row>
    <row r="465" spans="1:10" x14ac:dyDescent="0.25">
      <c r="A465" s="304"/>
      <c r="B465" s="305" t="s">
        <v>428</v>
      </c>
      <c r="C465" s="306"/>
      <c r="D465" s="319">
        <f t="shared" si="176"/>
        <v>0</v>
      </c>
      <c r="E465" s="319">
        <f t="shared" si="176"/>
        <v>0</v>
      </c>
      <c r="F465" s="319">
        <f t="shared" si="176"/>
        <v>0</v>
      </c>
      <c r="G465" s="319">
        <f t="shared" si="176"/>
        <v>0</v>
      </c>
      <c r="H465" s="249">
        <f t="shared" si="177"/>
        <v>0</v>
      </c>
      <c r="I465" s="249">
        <f t="shared" si="173"/>
        <v>0</v>
      </c>
    </row>
    <row r="466" spans="1:10" x14ac:dyDescent="0.25">
      <c r="A466" s="252"/>
      <c r="B466" s="238" t="s">
        <v>375</v>
      </c>
      <c r="C466" s="276"/>
      <c r="D466" s="277"/>
      <c r="E466" s="273"/>
      <c r="F466" s="273"/>
      <c r="G466" s="257"/>
      <c r="H466" s="249">
        <f t="shared" si="177"/>
        <v>0</v>
      </c>
      <c r="I466" s="249">
        <f t="shared" si="173"/>
        <v>0</v>
      </c>
    </row>
    <row r="467" spans="1:10" ht="216.75" hidden="1" x14ac:dyDescent="0.25">
      <c r="A467" s="308"/>
      <c r="B467" s="253" t="s">
        <v>595</v>
      </c>
      <c r="C467" s="254" t="s">
        <v>596</v>
      </c>
      <c r="D467" s="277"/>
      <c r="E467" s="273">
        <f>'Проверочная  таблица'!EA37</f>
        <v>0</v>
      </c>
      <c r="F467" s="273">
        <f>'Проверочная  таблица'!ED37</f>
        <v>0</v>
      </c>
      <c r="G467" s="257">
        <f>D467-E467</f>
        <v>0</v>
      </c>
      <c r="H467" s="249">
        <f t="shared" si="177"/>
        <v>0</v>
      </c>
      <c r="I467" s="249">
        <f t="shared" si="173"/>
        <v>0</v>
      </c>
      <c r="J467" s="315">
        <f>D467+D470</f>
        <v>0</v>
      </c>
    </row>
    <row r="468" spans="1:10" hidden="1" x14ac:dyDescent="0.25">
      <c r="A468" s="310"/>
      <c r="B468" s="311" t="s">
        <v>427</v>
      </c>
      <c r="C468" s="312"/>
      <c r="D468" s="313">
        <f>D467</f>
        <v>0</v>
      </c>
      <c r="E468" s="313">
        <f>E467</f>
        <v>0</v>
      </c>
      <c r="F468" s="313">
        <f t="shared" ref="F468:G468" si="178">F467</f>
        <v>0</v>
      </c>
      <c r="G468" s="313">
        <f t="shared" si="178"/>
        <v>0</v>
      </c>
      <c r="H468" s="249">
        <f t="shared" si="177"/>
        <v>0</v>
      </c>
      <c r="I468" s="249">
        <f t="shared" si="173"/>
        <v>0</v>
      </c>
    </row>
    <row r="469" spans="1:10" hidden="1" x14ac:dyDescent="0.25">
      <c r="A469" s="310"/>
      <c r="B469" s="311" t="s">
        <v>428</v>
      </c>
      <c r="C469" s="312"/>
      <c r="D469" s="313"/>
      <c r="E469" s="313"/>
      <c r="F469" s="313"/>
      <c r="G469" s="313"/>
      <c r="H469" s="249">
        <f t="shared" si="177"/>
        <v>0</v>
      </c>
      <c r="I469" s="249">
        <f t="shared" si="173"/>
        <v>0</v>
      </c>
      <c r="J469" s="315"/>
    </row>
    <row r="470" spans="1:10" hidden="1" x14ac:dyDescent="0.25">
      <c r="A470" s="280"/>
      <c r="B470" s="264" t="s">
        <v>396</v>
      </c>
      <c r="C470" s="281" t="s">
        <v>596</v>
      </c>
      <c r="D470" s="316"/>
      <c r="E470" s="267">
        <f>'Проверочная  таблица'!EB37</f>
        <v>0</v>
      </c>
      <c r="F470" s="267">
        <f>'Проверочная  таблица'!EE37</f>
        <v>0</v>
      </c>
      <c r="G470" s="268">
        <f>D470-E470</f>
        <v>0</v>
      </c>
      <c r="H470" s="249">
        <f t="shared" si="177"/>
        <v>0</v>
      </c>
      <c r="I470" s="249">
        <f t="shared" si="173"/>
        <v>0</v>
      </c>
    </row>
    <row r="471" spans="1:10" hidden="1" x14ac:dyDescent="0.25">
      <c r="A471" s="280"/>
      <c r="B471" s="317" t="s">
        <v>427</v>
      </c>
      <c r="C471" s="318"/>
      <c r="D471" s="268">
        <f>D470</f>
        <v>0</v>
      </c>
      <c r="E471" s="268">
        <f>E470</f>
        <v>0</v>
      </c>
      <c r="F471" s="268">
        <f t="shared" ref="F471:G471" si="179">F470</f>
        <v>0</v>
      </c>
      <c r="G471" s="268">
        <f t="shared" si="179"/>
        <v>0</v>
      </c>
      <c r="H471" s="249">
        <f t="shared" si="177"/>
        <v>0</v>
      </c>
      <c r="I471" s="249">
        <f t="shared" si="173"/>
        <v>0</v>
      </c>
    </row>
    <row r="472" spans="1:10" hidden="1" x14ac:dyDescent="0.25">
      <c r="A472" s="280"/>
      <c r="B472" s="317" t="s">
        <v>428</v>
      </c>
      <c r="C472" s="318"/>
      <c r="D472" s="268"/>
      <c r="E472" s="268"/>
      <c r="F472" s="268"/>
      <c r="G472" s="268"/>
      <c r="H472" s="249">
        <f t="shared" si="177"/>
        <v>0</v>
      </c>
      <c r="I472" s="249">
        <f t="shared" si="173"/>
        <v>0</v>
      </c>
    </row>
    <row r="473" spans="1:10" ht="89.25" x14ac:dyDescent="0.25">
      <c r="A473" s="1120"/>
      <c r="B473" s="353" t="s">
        <v>597</v>
      </c>
      <c r="C473" s="254" t="s">
        <v>598</v>
      </c>
      <c r="D473" s="354">
        <v>16865400</v>
      </c>
      <c r="E473" s="273">
        <f>'Проверочная  таблица'!SK37</f>
        <v>0</v>
      </c>
      <c r="F473" s="273">
        <f>'Проверочная  таблица'!SN37</f>
        <v>0</v>
      </c>
      <c r="G473" s="257">
        <f t="shared" ref="G473:G478" si="180">D473-E473</f>
        <v>16865400</v>
      </c>
      <c r="H473" s="249">
        <f t="shared" si="177"/>
        <v>0</v>
      </c>
      <c r="I473" s="249">
        <f t="shared" si="173"/>
        <v>0</v>
      </c>
      <c r="J473" s="315">
        <f>D473+D476</f>
        <v>16865400</v>
      </c>
    </row>
    <row r="474" spans="1:10" x14ac:dyDescent="0.25">
      <c r="A474" s="310"/>
      <c r="B474" s="311" t="s">
        <v>427</v>
      </c>
      <c r="C474" s="346"/>
      <c r="D474" s="313">
        <f>D473</f>
        <v>16865400</v>
      </c>
      <c r="E474" s="313">
        <f t="shared" ref="E474:F474" si="181">E473</f>
        <v>0</v>
      </c>
      <c r="F474" s="313">
        <f t="shared" si="181"/>
        <v>0</v>
      </c>
      <c r="G474" s="313">
        <f t="shared" si="180"/>
        <v>16865400</v>
      </c>
      <c r="H474" s="249">
        <f t="shared" si="177"/>
        <v>0</v>
      </c>
      <c r="I474" s="249">
        <f t="shared" si="173"/>
        <v>0</v>
      </c>
    </row>
    <row r="475" spans="1:10" x14ac:dyDescent="0.25">
      <c r="A475" s="310"/>
      <c r="B475" s="311" t="s">
        <v>428</v>
      </c>
      <c r="C475" s="312"/>
      <c r="D475" s="313"/>
      <c r="E475" s="313"/>
      <c r="F475" s="313"/>
      <c r="G475" s="313">
        <f t="shared" si="180"/>
        <v>0</v>
      </c>
      <c r="H475" s="249">
        <f t="shared" si="177"/>
        <v>0</v>
      </c>
      <c r="I475" s="249">
        <f t="shared" si="173"/>
        <v>0</v>
      </c>
      <c r="J475" s="315"/>
    </row>
    <row r="476" spans="1:10" x14ac:dyDescent="0.25">
      <c r="A476" s="280"/>
      <c r="B476" s="264" t="s">
        <v>396</v>
      </c>
      <c r="C476" s="281" t="s">
        <v>598</v>
      </c>
      <c r="D476" s="316"/>
      <c r="E476" s="267">
        <f>'Проверочная  таблица'!SL37</f>
        <v>0</v>
      </c>
      <c r="F476" s="267">
        <f>'Проверочная  таблица'!SO37</f>
        <v>0</v>
      </c>
      <c r="G476" s="268">
        <f t="shared" si="180"/>
        <v>0</v>
      </c>
      <c r="H476" s="249">
        <f t="shared" si="177"/>
        <v>0</v>
      </c>
      <c r="I476" s="249">
        <f t="shared" si="173"/>
        <v>0</v>
      </c>
    </row>
    <row r="477" spans="1:10" x14ac:dyDescent="0.25">
      <c r="A477" s="280"/>
      <c r="B477" s="317" t="s">
        <v>427</v>
      </c>
      <c r="C477" s="318"/>
      <c r="D477" s="268">
        <f>D476</f>
        <v>0</v>
      </c>
      <c r="E477" s="268">
        <f t="shared" ref="E477:F477" si="182">E476</f>
        <v>0</v>
      </c>
      <c r="F477" s="268">
        <f t="shared" si="182"/>
        <v>0</v>
      </c>
      <c r="G477" s="268">
        <f t="shared" si="180"/>
        <v>0</v>
      </c>
      <c r="H477" s="249">
        <f t="shared" si="177"/>
        <v>0</v>
      </c>
      <c r="I477" s="249">
        <f t="shared" si="173"/>
        <v>0</v>
      </c>
    </row>
    <row r="478" spans="1:10" x14ac:dyDescent="0.25">
      <c r="A478" s="280"/>
      <c r="B478" s="317" t="s">
        <v>428</v>
      </c>
      <c r="C478" s="318"/>
      <c r="D478" s="268"/>
      <c r="E478" s="268"/>
      <c r="F478" s="268"/>
      <c r="G478" s="268">
        <f t="shared" si="180"/>
        <v>0</v>
      </c>
      <c r="H478" s="249">
        <f t="shared" si="177"/>
        <v>0</v>
      </c>
      <c r="I478" s="249">
        <f t="shared" si="173"/>
        <v>0</v>
      </c>
    </row>
    <row r="479" spans="1:10" ht="153" x14ac:dyDescent="0.25">
      <c r="A479" s="252"/>
      <c r="B479" s="278" t="s">
        <v>599</v>
      </c>
      <c r="C479" s="254" t="s">
        <v>600</v>
      </c>
      <c r="D479" s="277">
        <v>5400000</v>
      </c>
      <c r="E479" s="273">
        <f>'Прочая  субсидия_МР  и  ГО'!F43</f>
        <v>5400000</v>
      </c>
      <c r="F479" s="273">
        <f>'Прочая  субсидия_МР  и  ГО'!G43</f>
        <v>4343291.8600000003</v>
      </c>
      <c r="G479" s="257">
        <f>D479-E479</f>
        <v>0</v>
      </c>
      <c r="H479" s="249">
        <f t="shared" si="177"/>
        <v>0</v>
      </c>
      <c r="I479" s="249">
        <f t="shared" si="173"/>
        <v>0</v>
      </c>
    </row>
    <row r="480" spans="1:10" x14ac:dyDescent="0.25">
      <c r="A480" s="310"/>
      <c r="B480" s="311" t="s">
        <v>427</v>
      </c>
      <c r="C480" s="312"/>
      <c r="D480" s="313">
        <f>D479</f>
        <v>5400000</v>
      </c>
      <c r="E480" s="313">
        <f>E479</f>
        <v>5400000</v>
      </c>
      <c r="F480" s="313">
        <f>F479</f>
        <v>4343291.8600000003</v>
      </c>
      <c r="G480" s="313">
        <f>D480-E480</f>
        <v>0</v>
      </c>
      <c r="H480" s="249">
        <f t="shared" si="177"/>
        <v>0</v>
      </c>
      <c r="I480" s="249">
        <f t="shared" si="173"/>
        <v>0</v>
      </c>
    </row>
    <row r="481" spans="1:10" x14ac:dyDescent="0.25">
      <c r="A481" s="310"/>
      <c r="B481" s="311" t="s">
        <v>428</v>
      </c>
      <c r="C481" s="312"/>
      <c r="D481" s="313"/>
      <c r="E481" s="313"/>
      <c r="F481" s="313"/>
      <c r="G481" s="313">
        <f>D481-E481</f>
        <v>0</v>
      </c>
      <c r="H481" s="249">
        <f t="shared" si="177"/>
        <v>0</v>
      </c>
      <c r="I481" s="249">
        <f t="shared" si="173"/>
        <v>0</v>
      </c>
    </row>
    <row r="482" spans="1:10" ht="140.25" hidden="1" x14ac:dyDescent="0.25">
      <c r="A482" s="308"/>
      <c r="B482" s="278" t="s">
        <v>429</v>
      </c>
      <c r="C482" s="254" t="s">
        <v>430</v>
      </c>
      <c r="D482" s="277"/>
      <c r="E482" s="256">
        <f>D482</f>
        <v>0</v>
      </c>
      <c r="F482" s="309"/>
      <c r="G482" s="257">
        <f t="shared" ref="G482:G484" si="183">D482-E482</f>
        <v>0</v>
      </c>
      <c r="H482" s="249">
        <f t="shared" si="177"/>
        <v>0</v>
      </c>
      <c r="I482" s="249">
        <f t="shared" si="173"/>
        <v>0</v>
      </c>
    </row>
    <row r="483" spans="1:10" hidden="1" x14ac:dyDescent="0.25">
      <c r="A483" s="310"/>
      <c r="B483" s="311" t="s">
        <v>427</v>
      </c>
      <c r="C483" s="312"/>
      <c r="D483" s="313">
        <f>D482-D484</f>
        <v>0</v>
      </c>
      <c r="E483" s="313">
        <f t="shared" ref="E483:F483" si="184">E482-E484</f>
        <v>0</v>
      </c>
      <c r="F483" s="313">
        <f t="shared" si="184"/>
        <v>0</v>
      </c>
      <c r="G483" s="313">
        <f t="shared" si="183"/>
        <v>0</v>
      </c>
      <c r="H483" s="249">
        <f t="shared" si="177"/>
        <v>0</v>
      </c>
      <c r="I483" s="249">
        <f t="shared" si="173"/>
        <v>0</v>
      </c>
    </row>
    <row r="484" spans="1:10" hidden="1" x14ac:dyDescent="0.25">
      <c r="A484" s="310"/>
      <c r="B484" s="311" t="s">
        <v>428</v>
      </c>
      <c r="C484" s="312"/>
      <c r="D484" s="337"/>
      <c r="E484" s="314">
        <f>D484</f>
        <v>0</v>
      </c>
      <c r="F484" s="337"/>
      <c r="G484" s="313">
        <f t="shared" si="183"/>
        <v>0</v>
      </c>
      <c r="H484" s="249">
        <f t="shared" si="177"/>
        <v>0</v>
      </c>
      <c r="I484" s="249">
        <f t="shared" si="173"/>
        <v>0</v>
      </c>
    </row>
    <row r="485" spans="1:10" x14ac:dyDescent="0.25">
      <c r="A485" s="252"/>
      <c r="B485" s="338"/>
      <c r="C485" s="339"/>
      <c r="D485" s="340"/>
      <c r="E485" s="340"/>
      <c r="F485" s="340"/>
      <c r="G485" s="340"/>
      <c r="H485" s="249"/>
      <c r="I485" s="249"/>
      <c r="J485" s="315"/>
    </row>
    <row r="486" spans="1:10" x14ac:dyDescent="0.25">
      <c r="A486" s="245">
        <v>1103</v>
      </c>
      <c r="B486" s="246" t="s">
        <v>601</v>
      </c>
      <c r="C486" s="274"/>
      <c r="D486" s="275">
        <f>D490</f>
        <v>8500000</v>
      </c>
      <c r="E486" s="275">
        <f t="shared" ref="E486:G488" si="185">E490</f>
        <v>8500000</v>
      </c>
      <c r="F486" s="275">
        <f t="shared" si="185"/>
        <v>4690978.2699999996</v>
      </c>
      <c r="G486" s="275">
        <f t="shared" si="185"/>
        <v>0</v>
      </c>
      <c r="H486" s="249">
        <f t="shared" ref="H486:H492" si="186">IF(F486&gt;E486,1,0)</f>
        <v>0</v>
      </c>
      <c r="I486" s="249">
        <f t="shared" ref="I486:I492" si="187">IF(G486&lt;0,1,0)</f>
        <v>0</v>
      </c>
      <c r="J486" s="315"/>
    </row>
    <row r="487" spans="1:10" x14ac:dyDescent="0.25">
      <c r="A487" s="304"/>
      <c r="B487" s="305" t="s">
        <v>427</v>
      </c>
      <c r="C487" s="306"/>
      <c r="D487" s="319">
        <f t="shared" ref="D487:D488" si="188">D491</f>
        <v>8500000</v>
      </c>
      <c r="E487" s="319">
        <f t="shared" si="185"/>
        <v>8500000</v>
      </c>
      <c r="F487" s="319">
        <f t="shared" si="185"/>
        <v>4690978.2699999996</v>
      </c>
      <c r="G487" s="319">
        <f t="shared" si="185"/>
        <v>0</v>
      </c>
      <c r="H487" s="249">
        <f t="shared" si="186"/>
        <v>0</v>
      </c>
      <c r="I487" s="249">
        <f t="shared" si="187"/>
        <v>0</v>
      </c>
      <c r="J487" s="315"/>
    </row>
    <row r="488" spans="1:10" x14ac:dyDescent="0.25">
      <c r="A488" s="304"/>
      <c r="B488" s="305" t="s">
        <v>428</v>
      </c>
      <c r="C488" s="306"/>
      <c r="D488" s="319">
        <f t="shared" si="188"/>
        <v>0</v>
      </c>
      <c r="E488" s="319">
        <f t="shared" si="185"/>
        <v>0</v>
      </c>
      <c r="F488" s="319">
        <f t="shared" si="185"/>
        <v>0</v>
      </c>
      <c r="G488" s="319">
        <f t="shared" si="185"/>
        <v>0</v>
      </c>
      <c r="H488" s="249">
        <f t="shared" si="186"/>
        <v>0</v>
      </c>
      <c r="I488" s="249">
        <f t="shared" si="187"/>
        <v>0</v>
      </c>
      <c r="J488" s="315"/>
    </row>
    <row r="489" spans="1:10" x14ac:dyDescent="0.25">
      <c r="A489" s="252"/>
      <c r="B489" s="238" t="s">
        <v>375</v>
      </c>
      <c r="C489" s="276"/>
      <c r="D489" s="277"/>
      <c r="E489" s="273"/>
      <c r="F489" s="273"/>
      <c r="G489" s="257"/>
      <c r="H489" s="249">
        <f t="shared" si="186"/>
        <v>0</v>
      </c>
      <c r="I489" s="249">
        <f t="shared" si="187"/>
        <v>0</v>
      </c>
      <c r="J489" s="315"/>
    </row>
    <row r="490" spans="1:10" ht="153" x14ac:dyDescent="0.25">
      <c r="A490" s="252"/>
      <c r="B490" s="253" t="s">
        <v>602</v>
      </c>
      <c r="C490" s="254" t="s">
        <v>603</v>
      </c>
      <c r="D490" s="277">
        <v>8500000</v>
      </c>
      <c r="E490" s="273">
        <f>'Прочая  субсидия_МР  и  ГО'!H43</f>
        <v>8500000</v>
      </c>
      <c r="F490" s="273">
        <f>'Прочая  субсидия_МР  и  ГО'!I43</f>
        <v>4690978.2699999996</v>
      </c>
      <c r="G490" s="257">
        <f t="shared" ref="G490" si="189">D490-E490</f>
        <v>0</v>
      </c>
      <c r="H490" s="249">
        <f t="shared" si="186"/>
        <v>0</v>
      </c>
      <c r="I490" s="249">
        <f t="shared" si="187"/>
        <v>0</v>
      </c>
    </row>
    <row r="491" spans="1:10" x14ac:dyDescent="0.25">
      <c r="A491" s="310"/>
      <c r="B491" s="311" t="s">
        <v>427</v>
      </c>
      <c r="C491" s="312"/>
      <c r="D491" s="313">
        <f>D490</f>
        <v>8500000</v>
      </c>
      <c r="E491" s="313">
        <f t="shared" ref="E491:G491" si="190">E490</f>
        <v>8500000</v>
      </c>
      <c r="F491" s="313">
        <f t="shared" si="190"/>
        <v>4690978.2699999996</v>
      </c>
      <c r="G491" s="313">
        <f t="shared" si="190"/>
        <v>0</v>
      </c>
      <c r="H491" s="249">
        <f t="shared" si="186"/>
        <v>0</v>
      </c>
      <c r="I491" s="249">
        <f t="shared" si="187"/>
        <v>0</v>
      </c>
    </row>
    <row r="492" spans="1:10" x14ac:dyDescent="0.25">
      <c r="A492" s="310"/>
      <c r="B492" s="311" t="s">
        <v>428</v>
      </c>
      <c r="C492" s="312"/>
      <c r="D492" s="313"/>
      <c r="E492" s="313"/>
      <c r="F492" s="313"/>
      <c r="G492" s="313"/>
      <c r="H492" s="249">
        <f t="shared" si="186"/>
        <v>0</v>
      </c>
      <c r="I492" s="249">
        <f t="shared" si="187"/>
        <v>0</v>
      </c>
    </row>
    <row r="493" spans="1:10" x14ac:dyDescent="0.25">
      <c r="A493" s="252"/>
      <c r="B493" s="338"/>
      <c r="C493" s="339"/>
      <c r="D493" s="340"/>
      <c r="E493" s="340"/>
      <c r="F493" s="340"/>
      <c r="G493" s="340"/>
      <c r="H493" s="249"/>
      <c r="I493" s="249"/>
      <c r="J493" s="315"/>
    </row>
    <row r="494" spans="1:10" ht="25.5" x14ac:dyDescent="0.25">
      <c r="A494" s="245">
        <v>1403</v>
      </c>
      <c r="B494" s="246" t="s">
        <v>411</v>
      </c>
      <c r="C494" s="274"/>
      <c r="D494" s="275">
        <f t="shared" ref="D494" si="191">D505+D508+D499+D502</f>
        <v>1585666639.4000001</v>
      </c>
      <c r="E494" s="275">
        <f t="shared" ref="E494:G494" si="192">E505+E508+E499+E502</f>
        <v>1715532974.6000001</v>
      </c>
      <c r="F494" s="275">
        <f t="shared" si="192"/>
        <v>1081449271.0799999</v>
      </c>
      <c r="G494" s="275">
        <f t="shared" si="192"/>
        <v>-129866335.20000014</v>
      </c>
      <c r="H494" s="249">
        <f t="shared" si="177"/>
        <v>0</v>
      </c>
      <c r="I494" s="249">
        <f t="shared" si="173"/>
        <v>1</v>
      </c>
    </row>
    <row r="495" spans="1:10" x14ac:dyDescent="0.25">
      <c r="A495" s="304"/>
      <c r="B495" s="305" t="s">
        <v>427</v>
      </c>
      <c r="C495" s="306"/>
      <c r="D495" s="319">
        <f>D500+D503+D506+D509</f>
        <v>234058526.31999999</v>
      </c>
      <c r="E495" s="319">
        <f t="shared" ref="E495:G495" si="193">E500+E503+E506+E509</f>
        <v>363927879.73000014</v>
      </c>
      <c r="F495" s="319">
        <f t="shared" si="193"/>
        <v>129064389.61</v>
      </c>
      <c r="G495" s="319">
        <f t="shared" si="193"/>
        <v>-129869353.41000015</v>
      </c>
      <c r="H495" s="249">
        <f t="shared" si="177"/>
        <v>0</v>
      </c>
      <c r="I495" s="249">
        <f t="shared" si="173"/>
        <v>1</v>
      </c>
    </row>
    <row r="496" spans="1:10" x14ac:dyDescent="0.25">
      <c r="A496" s="304"/>
      <c r="B496" s="305" t="s">
        <v>428</v>
      </c>
      <c r="C496" s="306"/>
      <c r="D496" s="319">
        <f>D501+D504+D507+D510</f>
        <v>1267160399.95</v>
      </c>
      <c r="E496" s="319">
        <f t="shared" ref="E496:G496" si="194">E501+E504+E507+E510</f>
        <v>1267157381.74</v>
      </c>
      <c r="F496" s="319">
        <f t="shared" si="194"/>
        <v>930489137.63</v>
      </c>
      <c r="G496" s="319">
        <f t="shared" si="194"/>
        <v>3018.2100000083447</v>
      </c>
      <c r="H496" s="249">
        <f t="shared" si="177"/>
        <v>0</v>
      </c>
      <c r="I496" s="249">
        <f t="shared" si="173"/>
        <v>0</v>
      </c>
    </row>
    <row r="497" spans="1:11" x14ac:dyDescent="0.25">
      <c r="A497" s="304"/>
      <c r="B497" s="305" t="s">
        <v>444</v>
      </c>
      <c r="C497" s="306"/>
      <c r="D497" s="319">
        <f>D494-D495-D496</f>
        <v>84447713.130000114</v>
      </c>
      <c r="E497" s="319">
        <f t="shared" ref="E497:G497" si="195">E494-E495-E496</f>
        <v>84447713.129999876</v>
      </c>
      <c r="F497" s="319">
        <f t="shared" si="195"/>
        <v>21895743.839999914</v>
      </c>
      <c r="G497" s="319">
        <f t="shared" si="195"/>
        <v>0</v>
      </c>
      <c r="H497" s="249">
        <f t="shared" ref="H497" si="196">IF(F497&gt;E497,1,0)</f>
        <v>0</v>
      </c>
      <c r="I497" s="249">
        <f t="shared" ref="I497" si="197">IF(G497&lt;0,1,0)</f>
        <v>0</v>
      </c>
    </row>
    <row r="498" spans="1:11" x14ac:dyDescent="0.25">
      <c r="A498" s="252"/>
      <c r="B498" s="238" t="s">
        <v>375</v>
      </c>
      <c r="C498" s="276"/>
      <c r="D498" s="277"/>
      <c r="E498" s="273"/>
      <c r="F498" s="273"/>
      <c r="G498" s="257"/>
      <c r="H498" s="249">
        <f t="shared" si="177"/>
        <v>0</v>
      </c>
      <c r="I498" s="249">
        <f t="shared" si="173"/>
        <v>0</v>
      </c>
    </row>
    <row r="499" spans="1:11" ht="127.5" x14ac:dyDescent="0.25">
      <c r="A499" s="252"/>
      <c r="B499" s="278" t="s">
        <v>604</v>
      </c>
      <c r="C499" s="276" t="s">
        <v>605</v>
      </c>
      <c r="D499" s="330">
        <v>67196200</v>
      </c>
      <c r="E499" s="273">
        <f>'Проверочная  таблица'!SU38</f>
        <v>80526919.089999974</v>
      </c>
      <c r="F499" s="273">
        <f>'Проверочная  таблица'!TB38</f>
        <v>49743975.079999998</v>
      </c>
      <c r="G499" s="257">
        <f t="shared" ref="G499:G504" si="198">D499-E499</f>
        <v>-13330719.089999974</v>
      </c>
      <c r="H499" s="249">
        <f t="shared" si="177"/>
        <v>0</v>
      </c>
      <c r="I499" s="249">
        <f t="shared" si="173"/>
        <v>1</v>
      </c>
      <c r="J499" s="315">
        <f>D499+D502</f>
        <v>1343924000</v>
      </c>
    </row>
    <row r="500" spans="1:11" x14ac:dyDescent="0.25">
      <c r="A500" s="310"/>
      <c r="B500" s="311" t="s">
        <v>427</v>
      </c>
      <c r="C500" s="312"/>
      <c r="D500" s="314">
        <f>D499-D501</f>
        <v>11702926.32</v>
      </c>
      <c r="E500" s="314">
        <f>E499-E501</f>
        <v>25033645.409999974</v>
      </c>
      <c r="F500" s="314">
        <f t="shared" ref="F500" si="199">F499-F501</f>
        <v>6453219.4899999946</v>
      </c>
      <c r="G500" s="313">
        <f t="shared" si="198"/>
        <v>-13330719.089999974</v>
      </c>
      <c r="H500" s="249">
        <f t="shared" si="177"/>
        <v>0</v>
      </c>
      <c r="I500" s="249">
        <f t="shared" si="173"/>
        <v>1</v>
      </c>
    </row>
    <row r="501" spans="1:11" x14ac:dyDescent="0.25">
      <c r="A501" s="310"/>
      <c r="B501" s="311" t="s">
        <v>428</v>
      </c>
      <c r="C501" s="312"/>
      <c r="D501" s="331">
        <v>55493273.68</v>
      </c>
      <c r="E501" s="331">
        <v>55493273.68</v>
      </c>
      <c r="F501" s="331">
        <v>43290755.590000004</v>
      </c>
      <c r="G501" s="313">
        <f t="shared" si="198"/>
        <v>0</v>
      </c>
      <c r="H501" s="249">
        <f t="shared" si="177"/>
        <v>0</v>
      </c>
      <c r="I501" s="249">
        <f t="shared" si="173"/>
        <v>0</v>
      </c>
      <c r="K501" s="1257" t="s">
        <v>366</v>
      </c>
    </row>
    <row r="502" spans="1:11" x14ac:dyDescent="0.25">
      <c r="A502" s="280"/>
      <c r="B502" s="264" t="s">
        <v>396</v>
      </c>
      <c r="C502" s="349" t="s">
        <v>605</v>
      </c>
      <c r="D502" s="316">
        <v>1276727800</v>
      </c>
      <c r="E502" s="267">
        <f>'Проверочная  таблица'!SV38</f>
        <v>1393266434.3200002</v>
      </c>
      <c r="F502" s="267">
        <f>'Проверочная  таблица'!TC38</f>
        <v>945135526.63</v>
      </c>
      <c r="G502" s="268">
        <f t="shared" si="198"/>
        <v>-116538634.32000017</v>
      </c>
      <c r="H502" s="249">
        <f t="shared" si="177"/>
        <v>0</v>
      </c>
      <c r="I502" s="249">
        <f t="shared" si="173"/>
        <v>1</v>
      </c>
    </row>
    <row r="503" spans="1:11" x14ac:dyDescent="0.25">
      <c r="A503" s="280"/>
      <c r="B503" s="317" t="s">
        <v>427</v>
      </c>
      <c r="C503" s="318"/>
      <c r="D503" s="267">
        <f>D502-D504</f>
        <v>222355600</v>
      </c>
      <c r="E503" s="267">
        <f>E502-E504</f>
        <v>338894234.32000017</v>
      </c>
      <c r="F503" s="267">
        <f t="shared" ref="F503" si="200">F502-F504</f>
        <v>122611170.12</v>
      </c>
      <c r="G503" s="268">
        <f t="shared" si="198"/>
        <v>-116538634.32000017</v>
      </c>
      <c r="H503" s="249">
        <f t="shared" si="177"/>
        <v>0</v>
      </c>
      <c r="I503" s="249">
        <f t="shared" si="173"/>
        <v>1</v>
      </c>
    </row>
    <row r="504" spans="1:11" x14ac:dyDescent="0.25">
      <c r="A504" s="280"/>
      <c r="B504" s="317" t="s">
        <v>428</v>
      </c>
      <c r="C504" s="318"/>
      <c r="D504" s="331">
        <v>1054372200</v>
      </c>
      <c r="E504" s="331">
        <v>1054372200</v>
      </c>
      <c r="F504" s="331">
        <v>822524356.50999999</v>
      </c>
      <c r="G504" s="268">
        <f t="shared" si="198"/>
        <v>0</v>
      </c>
      <c r="H504" s="249">
        <f t="shared" si="177"/>
        <v>0</v>
      </c>
      <c r="I504" s="249">
        <f t="shared" si="173"/>
        <v>0</v>
      </c>
      <c r="J504" s="315"/>
      <c r="K504" s="1257" t="s">
        <v>366</v>
      </c>
    </row>
    <row r="505" spans="1:11" ht="140.25" hidden="1" x14ac:dyDescent="0.25">
      <c r="A505" s="308"/>
      <c r="B505" s="278" t="s">
        <v>429</v>
      </c>
      <c r="C505" s="254" t="s">
        <v>430</v>
      </c>
      <c r="D505" s="277"/>
      <c r="E505" s="260"/>
      <c r="F505" s="357"/>
      <c r="G505" s="257">
        <f t="shared" ref="G505:G507" si="201">D505-E505</f>
        <v>0</v>
      </c>
      <c r="H505" s="249">
        <f t="shared" si="177"/>
        <v>0</v>
      </c>
      <c r="I505" s="249">
        <f t="shared" si="173"/>
        <v>0</v>
      </c>
    </row>
    <row r="506" spans="1:11" hidden="1" x14ac:dyDescent="0.25">
      <c r="A506" s="310"/>
      <c r="B506" s="311" t="s">
        <v>427</v>
      </c>
      <c r="C506" s="312"/>
      <c r="D506" s="314">
        <f>D505-D507</f>
        <v>0</v>
      </c>
      <c r="E506" s="314">
        <f>E505-E507</f>
        <v>0</v>
      </c>
      <c r="F506" s="314">
        <f>F505-F507</f>
        <v>0</v>
      </c>
      <c r="G506" s="313">
        <f t="shared" si="201"/>
        <v>0</v>
      </c>
      <c r="H506" s="249">
        <f t="shared" si="177"/>
        <v>0</v>
      </c>
      <c r="I506" s="249">
        <f t="shared" si="173"/>
        <v>0</v>
      </c>
    </row>
    <row r="507" spans="1:11" hidden="1" x14ac:dyDescent="0.25">
      <c r="A507" s="310"/>
      <c r="B507" s="311" t="s">
        <v>428</v>
      </c>
      <c r="C507" s="312"/>
      <c r="D507" s="337"/>
      <c r="E507" s="337"/>
      <c r="F507" s="337"/>
      <c r="G507" s="313">
        <f t="shared" si="201"/>
        <v>0</v>
      </c>
      <c r="H507" s="249">
        <f t="shared" si="177"/>
        <v>0</v>
      </c>
      <c r="I507" s="249">
        <f t="shared" si="173"/>
        <v>0</v>
      </c>
    </row>
    <row r="508" spans="1:11" ht="140.25" x14ac:dyDescent="0.25">
      <c r="A508" s="252"/>
      <c r="B508" s="278" t="s">
        <v>606</v>
      </c>
      <c r="C508" s="254" t="s">
        <v>607</v>
      </c>
      <c r="D508" s="277">
        <f>149608210.75+92134428.65</f>
        <v>241742639.40000001</v>
      </c>
      <c r="E508" s="273">
        <f>'Прочая  субсидия_МР  и  ГО'!AL43</f>
        <v>241739621.19</v>
      </c>
      <c r="F508" s="273">
        <f>'Прочая  субсидия_МР  и  ГО'!AM43</f>
        <v>86569769.370000005</v>
      </c>
      <c r="G508" s="257">
        <f>D508-E508</f>
        <v>3018.2100000083447</v>
      </c>
      <c r="H508" s="249">
        <f t="shared" si="177"/>
        <v>0</v>
      </c>
      <c r="I508" s="249">
        <f t="shared" si="173"/>
        <v>0</v>
      </c>
    </row>
    <row r="509" spans="1:11" x14ac:dyDescent="0.25">
      <c r="A509" s="310"/>
      <c r="B509" s="311" t="s">
        <v>427</v>
      </c>
      <c r="C509" s="312"/>
      <c r="D509" s="313"/>
      <c r="E509" s="313"/>
      <c r="F509" s="313"/>
      <c r="G509" s="313">
        <f>D509-E509</f>
        <v>0</v>
      </c>
      <c r="H509" s="249">
        <f t="shared" si="177"/>
        <v>0</v>
      </c>
      <c r="I509" s="249">
        <f t="shared" si="173"/>
        <v>0</v>
      </c>
    </row>
    <row r="510" spans="1:11" x14ac:dyDescent="0.25">
      <c r="A510" s="310"/>
      <c r="B510" s="311" t="s">
        <v>428</v>
      </c>
      <c r="C510" s="312"/>
      <c r="D510" s="313">
        <f>D508-D511</f>
        <v>157294926.27000001</v>
      </c>
      <c r="E510" s="313">
        <f>E508-E511</f>
        <v>157291908.06</v>
      </c>
      <c r="F510" s="313">
        <f>F508-F511</f>
        <v>64674025.530000001</v>
      </c>
      <c r="G510" s="313">
        <f>D510-E510</f>
        <v>3018.2100000083447</v>
      </c>
      <c r="H510" s="249">
        <f t="shared" si="177"/>
        <v>0</v>
      </c>
      <c r="I510" s="249">
        <f t="shared" si="173"/>
        <v>0</v>
      </c>
    </row>
    <row r="511" spans="1:11" x14ac:dyDescent="0.25">
      <c r="A511" s="310"/>
      <c r="B511" s="311" t="s">
        <v>444</v>
      </c>
      <c r="C511" s="312"/>
      <c r="D511" s="1199">
        <v>84447713.129999995</v>
      </c>
      <c r="E511" s="313">
        <f>D511</f>
        <v>84447713.129999995</v>
      </c>
      <c r="F511" s="1199">
        <v>21895743.84</v>
      </c>
      <c r="G511" s="313">
        <f t="shared" ref="G511" si="202">G508-G509-G510</f>
        <v>0</v>
      </c>
      <c r="H511" s="249"/>
      <c r="I511" s="249"/>
      <c r="K511" s="1257" t="s">
        <v>366</v>
      </c>
    </row>
    <row r="512" spans="1:11" x14ac:dyDescent="0.25">
      <c r="A512" s="358"/>
      <c r="B512" s="358"/>
      <c r="C512" s="359"/>
      <c r="D512" s="277"/>
      <c r="E512" s="277"/>
      <c r="F512" s="277"/>
      <c r="G512" s="277"/>
      <c r="H512" s="249">
        <f t="shared" si="177"/>
        <v>0</v>
      </c>
      <c r="I512" s="249">
        <f t="shared" si="173"/>
        <v>0</v>
      </c>
    </row>
    <row r="513" spans="1:11" s="356" customFormat="1" x14ac:dyDescent="0.25">
      <c r="A513" s="360"/>
      <c r="B513" s="361" t="s">
        <v>8</v>
      </c>
      <c r="C513" s="361"/>
      <c r="D513" s="362">
        <f>D8+D44+D61+D99+D115+D138+D204+D245+D255+D267+D333+D365+D382+D455+D463+D486+D494+D34</f>
        <v>16608318684.009998</v>
      </c>
      <c r="E513" s="362">
        <f t="shared" ref="E513:G513" si="203">E8+E44+E61+E99+E115+E138+E204+E245+E255+E267+E333+E365+E382+E455+E463+E486+E494+E34</f>
        <v>17601386097.32</v>
      </c>
      <c r="F513" s="362">
        <f t="shared" si="203"/>
        <v>9093594681.5</v>
      </c>
      <c r="G513" s="362">
        <f t="shared" si="203"/>
        <v>-993067413.31000066</v>
      </c>
      <c r="H513" s="249">
        <f t="shared" si="177"/>
        <v>0</v>
      </c>
      <c r="I513" s="249">
        <f t="shared" si="173"/>
        <v>1</v>
      </c>
      <c r="J513" s="289"/>
      <c r="K513" s="1257"/>
    </row>
    <row r="514" spans="1:11" s="356" customFormat="1" x14ac:dyDescent="0.25">
      <c r="A514" s="304"/>
      <c r="B514" s="363" t="s">
        <v>427</v>
      </c>
      <c r="C514" s="306"/>
      <c r="D514" s="364">
        <f>D9+D45+D62+D100+D116+D139+D205+D246+D256+D268+D334+D366+D383+D456+D464+D487+D495+D35</f>
        <v>4504683345.3699999</v>
      </c>
      <c r="E514" s="364">
        <f t="shared" ref="E514:G514" si="204">E9+E45+E62+E100+E116+E139+E205+E246+E256+E268+E334+E366+E383+E456+E464+E487+E495+E35</f>
        <v>4707387473.670001</v>
      </c>
      <c r="F514" s="364">
        <f t="shared" si="204"/>
        <v>2660339842.8499999</v>
      </c>
      <c r="G514" s="364">
        <f t="shared" si="204"/>
        <v>-367213228.30000049</v>
      </c>
      <c r="H514" s="249">
        <f>IF(F514&gt;E514,1,0)</f>
        <v>0</v>
      </c>
      <c r="I514" s="249">
        <f>IF(G514&lt;0,1,0)</f>
        <v>1</v>
      </c>
      <c r="J514" s="289"/>
      <c r="K514" s="1257"/>
    </row>
    <row r="515" spans="1:11" s="356" customFormat="1" x14ac:dyDescent="0.25">
      <c r="A515" s="304"/>
      <c r="B515" s="363" t="s">
        <v>428</v>
      </c>
      <c r="C515" s="306"/>
      <c r="D515" s="364">
        <f>D10+D46+D63+D101+D117+D140+D206+D247+D257+D269+D335+D367+D384+D457+D465+D488+D496+D36</f>
        <v>5605661508.6400003</v>
      </c>
      <c r="E515" s="364">
        <f t="shared" ref="E515:G515" si="205">E10+E46+E63+E101+E117+E140+E206+E247+E257+E269+E335+E367+E384+E457+E465+E488+E496+E36</f>
        <v>4811221417.8899994</v>
      </c>
      <c r="F515" s="364">
        <f t="shared" si="205"/>
        <v>2477566067.9000001</v>
      </c>
      <c r="G515" s="364">
        <f t="shared" si="205"/>
        <v>794440090.74999988</v>
      </c>
      <c r="H515" s="249">
        <f>IF(F515&gt;E515,1,0)</f>
        <v>0</v>
      </c>
      <c r="I515" s="249">
        <f>IF(G515&lt;0,1,0)</f>
        <v>0</v>
      </c>
      <c r="J515" s="289"/>
      <c r="K515" s="1257"/>
    </row>
    <row r="516" spans="1:11" s="356" customFormat="1" x14ac:dyDescent="0.25">
      <c r="A516" s="304"/>
      <c r="B516" s="363" t="s">
        <v>444</v>
      </c>
      <c r="C516" s="306"/>
      <c r="D516" s="364">
        <f>D270+D258+D248+D207+D141+D47+D497+D102+D336+D64+D385</f>
        <v>6497973830</v>
      </c>
      <c r="E516" s="364">
        <f t="shared" ref="E516:G516" si="206">E270+E258+E248+E207+E141+E47+E497+E102+E336+E64+E385</f>
        <v>8082777205.7599993</v>
      </c>
      <c r="F516" s="364">
        <f t="shared" si="206"/>
        <v>3955688770.75</v>
      </c>
      <c r="G516" s="364">
        <f t="shared" si="206"/>
        <v>-1420294275.7600002</v>
      </c>
      <c r="H516" s="249">
        <f>IF(F516&gt;E516,1,0)</f>
        <v>0</v>
      </c>
      <c r="I516" s="249">
        <f>IF(G516&lt;0,1,0)</f>
        <v>1</v>
      </c>
      <c r="J516" s="289"/>
      <c r="K516" s="1257"/>
    </row>
    <row r="517" spans="1:11" s="356" customFormat="1" x14ac:dyDescent="0.25">
      <c r="A517" s="365"/>
      <c r="B517" s="366"/>
      <c r="C517" s="367"/>
      <c r="D517" s="368">
        <f>D513-D514-D515-D516</f>
        <v>0</v>
      </c>
      <c r="E517" s="368">
        <f t="shared" ref="E517:G517" si="207">E513-E514-E515-E516</f>
        <v>0</v>
      </c>
      <c r="F517" s="368">
        <f t="shared" si="207"/>
        <v>0</v>
      </c>
      <c r="G517" s="368">
        <f t="shared" si="207"/>
        <v>0</v>
      </c>
      <c r="H517" s="369">
        <f>SUM(H8:H515)</f>
        <v>2</v>
      </c>
      <c r="I517" s="369">
        <f>SUM(I8:I515)</f>
        <v>50</v>
      </c>
      <c r="J517" s="289"/>
      <c r="K517" s="1257"/>
    </row>
    <row r="518" spans="1:11" s="356" customFormat="1" x14ac:dyDescent="0.25">
      <c r="A518" s="365"/>
      <c r="B518" s="366"/>
      <c r="C518" s="367"/>
      <c r="D518" s="289"/>
      <c r="E518" s="370">
        <f>E513-'Проверочная  таблица'!AN37</f>
        <v>-263291576.29999924</v>
      </c>
      <c r="F518" s="371">
        <f>F513-'Проверочная  таблица'!AO37</f>
        <v>0</v>
      </c>
      <c r="G518" s="368"/>
      <c r="H518" s="249"/>
      <c r="I518" s="249"/>
      <c r="J518" s="289"/>
      <c r="K518" s="1257"/>
    </row>
    <row r="519" spans="1:11" s="356" customFormat="1" x14ac:dyDescent="0.25">
      <c r="A519" s="365"/>
      <c r="B519" s="366"/>
      <c r="C519" s="372" t="s">
        <v>608</v>
      </c>
      <c r="D519" s="1264">
        <v>4504683345.3699999</v>
      </c>
      <c r="E519" s="1277" t="s">
        <v>609</v>
      </c>
      <c r="F519" s="1264">
        <v>2660339842.8499999</v>
      </c>
      <c r="G519" s="1258">
        <f>G513-[1]Субсидия_факт!$N$40</f>
        <v>-2126539346.3300006</v>
      </c>
      <c r="H519" s="249"/>
      <c r="I519" s="249"/>
      <c r="J519" s="289"/>
      <c r="K519" s="1257"/>
    </row>
    <row r="520" spans="1:11" s="356" customFormat="1" x14ac:dyDescent="0.25">
      <c r="A520" s="365"/>
      <c r="B520" s="366"/>
      <c r="C520" s="372" t="s">
        <v>610</v>
      </c>
      <c r="D520" s="373">
        <f>D519-D514</f>
        <v>0</v>
      </c>
      <c r="E520" s="1277" t="s">
        <v>421</v>
      </c>
      <c r="F520" s="373">
        <f>F519-F514</f>
        <v>0</v>
      </c>
      <c r="G520" s="1862" t="s">
        <v>611</v>
      </c>
      <c r="H520" s="249"/>
      <c r="I520" s="249"/>
      <c r="J520" s="289"/>
      <c r="K520" s="1257"/>
    </row>
    <row r="521" spans="1:11" s="356" customFormat="1" x14ac:dyDescent="0.25">
      <c r="A521" s="365"/>
      <c r="B521" s="366"/>
      <c r="C521" s="372" t="s">
        <v>612</v>
      </c>
      <c r="D521" s="1264">
        <v>5605661508.6400003</v>
      </c>
      <c r="E521" s="1277" t="s">
        <v>613</v>
      </c>
      <c r="F521" s="1264">
        <v>2477566067.9000001</v>
      </c>
      <c r="G521" s="1862"/>
      <c r="H521" s="249"/>
      <c r="I521" s="249"/>
      <c r="J521" s="289"/>
      <c r="K521" s="1257"/>
    </row>
    <row r="522" spans="1:11" s="356" customFormat="1" x14ac:dyDescent="0.25">
      <c r="A522" s="365"/>
      <c r="B522" s="366"/>
      <c r="C522" s="372" t="s">
        <v>610</v>
      </c>
      <c r="D522" s="373">
        <f>D521-D515</f>
        <v>0</v>
      </c>
      <c r="E522" s="1277" t="s">
        <v>421</v>
      </c>
      <c r="F522" s="373">
        <f>F521-F515</f>
        <v>0</v>
      </c>
      <c r="G522" s="1259">
        <f>G513-'[1]Нераспределенная  субсидия'!$F$46</f>
        <v>-2126539346.3300006</v>
      </c>
      <c r="H522" s="249"/>
      <c r="I522" s="249"/>
      <c r="J522" s="289"/>
      <c r="K522" s="1257"/>
    </row>
    <row r="523" spans="1:11" s="356" customFormat="1" x14ac:dyDescent="0.25">
      <c r="A523" s="365"/>
      <c r="B523" s="366"/>
      <c r="C523" s="372" t="s">
        <v>614</v>
      </c>
      <c r="D523" s="1264">
        <v>6497973830</v>
      </c>
      <c r="E523" s="1277" t="s">
        <v>615</v>
      </c>
      <c r="F523" s="1264">
        <v>3955688770.75</v>
      </c>
      <c r="G523" s="368"/>
      <c r="H523" s="249"/>
      <c r="I523" s="249"/>
      <c r="J523" s="289"/>
      <c r="K523" s="1257"/>
    </row>
    <row r="524" spans="1:11" s="356" customFormat="1" x14ac:dyDescent="0.25">
      <c r="A524" s="365"/>
      <c r="B524" s="366"/>
      <c r="C524" s="372" t="s">
        <v>610</v>
      </c>
      <c r="D524" s="373">
        <f>D523-D516</f>
        <v>0</v>
      </c>
      <c r="E524" s="1277" t="s">
        <v>421</v>
      </c>
      <c r="F524" s="373">
        <f>F523-F516</f>
        <v>0</v>
      </c>
      <c r="G524" s="368"/>
      <c r="H524" s="249"/>
      <c r="I524" s="249"/>
      <c r="J524" s="289"/>
      <c r="K524" s="1257"/>
    </row>
    <row r="525" spans="1:11" s="356" customFormat="1" x14ac:dyDescent="0.25">
      <c r="A525" s="365"/>
      <c r="B525" s="366"/>
      <c r="C525" s="367"/>
      <c r="D525" s="368"/>
      <c r="E525" s="368"/>
      <c r="F525" s="368"/>
      <c r="G525" s="368"/>
      <c r="H525" s="249"/>
      <c r="I525" s="249"/>
      <c r="J525" s="289"/>
      <c r="K525" s="1257"/>
    </row>
    <row r="526" spans="1:11" s="356" customFormat="1" x14ac:dyDescent="0.25">
      <c r="A526" s="365"/>
      <c r="B526" s="366"/>
      <c r="C526" s="367"/>
      <c r="D526" s="368"/>
      <c r="E526" s="368"/>
      <c r="F526" s="368"/>
      <c r="G526" s="368"/>
      <c r="H526" s="249"/>
      <c r="I526" s="249"/>
      <c r="J526" s="289"/>
      <c r="K526" s="1257"/>
    </row>
    <row r="527" spans="1:11" s="356" customFormat="1" x14ac:dyDescent="0.25">
      <c r="A527" s="365"/>
      <c r="B527" s="366"/>
      <c r="C527" s="1863" t="s">
        <v>416</v>
      </c>
      <c r="D527" s="1863"/>
      <c r="E527" s="1863"/>
      <c r="F527" s="1863"/>
      <c r="G527" s="1863"/>
      <c r="H527" s="249"/>
      <c r="I527" s="249"/>
      <c r="J527" s="289"/>
      <c r="K527" s="1257"/>
    </row>
    <row r="528" spans="1:11" s="356" customFormat="1" ht="14.1" customHeight="1" x14ac:dyDescent="0.25">
      <c r="A528" s="365"/>
      <c r="B528" s="366"/>
      <c r="C528" s="1124" t="s">
        <v>616</v>
      </c>
      <c r="D528" s="1125">
        <f t="shared" ref="D528:G529" si="208">D222+D303+D448+D441+D288+D435+D401+D471+D242+D188+D129+D233+D503+D280+D345+D352+D147+D135+D96+D120+D477+D420+D414+D41+D194+D315+D77+D408+D359+D391+D22+D57+D70+D214+D429+D321</f>
        <v>1035609407.21</v>
      </c>
      <c r="E528" s="1125">
        <f t="shared" si="208"/>
        <v>1236385278.6400001</v>
      </c>
      <c r="F528" s="1125">
        <f t="shared" si="208"/>
        <v>732391755.12</v>
      </c>
      <c r="G528" s="1125">
        <f t="shared" si="208"/>
        <v>-365284971.43000019</v>
      </c>
      <c r="H528" s="249"/>
      <c r="I528" s="249"/>
      <c r="J528" s="289"/>
      <c r="K528" s="1257"/>
    </row>
    <row r="529" spans="1:11" s="356" customFormat="1" x14ac:dyDescent="0.25">
      <c r="A529" s="365"/>
      <c r="B529" s="366"/>
      <c r="C529" s="1124" t="s">
        <v>617</v>
      </c>
      <c r="D529" s="1125">
        <f t="shared" si="208"/>
        <v>2674792870.5599999</v>
      </c>
      <c r="E529" s="1125">
        <f t="shared" si="208"/>
        <v>2576093877.9200001</v>
      </c>
      <c r="F529" s="1125">
        <f t="shared" si="208"/>
        <v>1486240438.6500001</v>
      </c>
      <c r="G529" s="1125">
        <f t="shared" si="208"/>
        <v>98698992.639999986</v>
      </c>
      <c r="H529" s="249"/>
      <c r="I529" s="249"/>
      <c r="J529" s="289"/>
      <c r="K529" s="1257"/>
    </row>
    <row r="530" spans="1:11" s="356" customFormat="1" x14ac:dyDescent="0.25">
      <c r="A530" s="365"/>
      <c r="B530" s="366"/>
      <c r="C530" s="1124" t="s">
        <v>618</v>
      </c>
      <c r="D530" s="1125">
        <f>D290+D224+D59+D72+D216+D282+D354+D450+D403</f>
        <v>2969452120.5</v>
      </c>
      <c r="E530" s="1125">
        <f>E290+E224+E59+E72+E216+E282+E354+E450+E403</f>
        <v>3270472026.1999998</v>
      </c>
      <c r="F530" s="1125">
        <f>F290+F224+F59+F72+F216+F282+F354+F450+F403</f>
        <v>2071660179.9199998</v>
      </c>
      <c r="G530" s="1125">
        <f>G290+G224+G59+G72+G216+G282+G354+G450+G403</f>
        <v>-301019905.70000005</v>
      </c>
      <c r="H530" s="249"/>
      <c r="I530" s="249"/>
      <c r="J530" s="289"/>
      <c r="K530" s="1257"/>
    </row>
    <row r="531" spans="1:11" s="356" customFormat="1" x14ac:dyDescent="0.25">
      <c r="A531" s="365"/>
      <c r="B531" s="366"/>
      <c r="C531" s="1124" t="s">
        <v>420</v>
      </c>
      <c r="D531" s="1125">
        <f>SUM(D528:D530)</f>
        <v>6679854398.2700005</v>
      </c>
      <c r="E531" s="1125">
        <f t="shared" ref="E531:G531" si="209">SUM(E528:E530)</f>
        <v>7082951182.7600002</v>
      </c>
      <c r="F531" s="1125">
        <f t="shared" si="209"/>
        <v>4290292373.6899996</v>
      </c>
      <c r="G531" s="1125">
        <f t="shared" si="209"/>
        <v>-567605884.49000025</v>
      </c>
      <c r="H531" s="249"/>
      <c r="I531" s="249"/>
      <c r="J531" s="289"/>
      <c r="K531" s="1257"/>
    </row>
    <row r="532" spans="1:11" s="356" customFormat="1" x14ac:dyDescent="0.25">
      <c r="A532" s="365"/>
      <c r="B532" s="366"/>
      <c r="C532" s="367"/>
      <c r="D532" s="368"/>
      <c r="E532" s="368"/>
      <c r="F532" s="368"/>
      <c r="G532" s="368"/>
      <c r="H532" s="249"/>
      <c r="I532" s="249"/>
      <c r="J532" s="289"/>
      <c r="K532" s="1257"/>
    </row>
    <row r="533" spans="1:11" s="356" customFormat="1" ht="15.75" thickBot="1" x14ac:dyDescent="0.3">
      <c r="A533" s="365"/>
      <c r="B533" s="366"/>
      <c r="C533" s="367"/>
      <c r="D533" s="292"/>
      <c r="E533" s="368"/>
      <c r="F533" s="368"/>
      <c r="G533" s="368"/>
      <c r="H533" s="249"/>
      <c r="I533" s="249"/>
      <c r="J533" s="289"/>
      <c r="K533" s="1257"/>
    </row>
    <row r="534" spans="1:11" s="356" customFormat="1" ht="45.75" thickBot="1" x14ac:dyDescent="0.3">
      <c r="A534" s="365"/>
      <c r="B534" s="366"/>
      <c r="C534" s="367"/>
      <c r="D534" s="1279">
        <v>6679854398.2700005</v>
      </c>
      <c r="E534" s="260" t="s">
        <v>619</v>
      </c>
      <c r="F534" s="1279">
        <v>4290292373.6900001</v>
      </c>
      <c r="G534" s="368"/>
      <c r="H534" s="249"/>
      <c r="I534" s="249"/>
      <c r="J534" s="289"/>
      <c r="K534" s="1257"/>
    </row>
    <row r="535" spans="1:11" s="356" customFormat="1" x14ac:dyDescent="0.25">
      <c r="A535" s="365"/>
      <c r="B535" s="366"/>
      <c r="C535" s="366"/>
      <c r="D535" s="366"/>
      <c r="E535" s="366"/>
      <c r="F535" s="366"/>
      <c r="G535" s="366"/>
      <c r="H535" s="366"/>
      <c r="I535" s="249"/>
      <c r="J535" s="289"/>
      <c r="K535" s="1257"/>
    </row>
    <row r="536" spans="1:11" s="356" customFormat="1" x14ac:dyDescent="0.25">
      <c r="A536" s="365"/>
      <c r="B536" s="366"/>
      <c r="C536" s="376" t="s">
        <v>421</v>
      </c>
      <c r="D536" s="373">
        <f>D534-D531</f>
        <v>0</v>
      </c>
      <c r="E536" s="368"/>
      <c r="F536" s="373">
        <f>F534-F531</f>
        <v>0</v>
      </c>
      <c r="G536" s="368"/>
      <c r="H536" s="249"/>
      <c r="I536" s="249"/>
      <c r="J536" s="289"/>
      <c r="K536" s="1257"/>
    </row>
    <row r="537" spans="1:11" s="356" customFormat="1" x14ac:dyDescent="0.25">
      <c r="A537" s="365"/>
      <c r="B537" s="366"/>
      <c r="C537" s="367"/>
      <c r="D537" s="368"/>
      <c r="E537" s="368"/>
      <c r="F537" s="368"/>
      <c r="G537" s="368"/>
      <c r="H537" s="249"/>
      <c r="I537" s="249"/>
      <c r="J537" s="289"/>
      <c r="K537" s="1257"/>
    </row>
    <row r="538" spans="1:11" s="356" customFormat="1" x14ac:dyDescent="0.25">
      <c r="A538" s="365"/>
      <c r="B538" s="366"/>
      <c r="C538" s="367"/>
      <c r="D538" s="368"/>
      <c r="E538" s="368"/>
      <c r="F538" s="368"/>
      <c r="G538" s="368"/>
      <c r="H538" s="249"/>
      <c r="I538" s="249"/>
      <c r="J538" s="289"/>
      <c r="K538" s="1257"/>
    </row>
    <row r="539" spans="1:11" s="356" customFormat="1" ht="73.5" customHeight="1" x14ac:dyDescent="0.25">
      <c r="A539" s="365"/>
      <c r="B539" s="366"/>
      <c r="C539" s="260" t="s">
        <v>1374</v>
      </c>
      <c r="D539" s="377">
        <f>D119+D153+D149</f>
        <v>353435000</v>
      </c>
      <c r="E539" s="377">
        <f>E119+E153+E149</f>
        <v>1219110729.7800002</v>
      </c>
      <c r="F539" s="377">
        <f>F119+F153+F149</f>
        <v>37574331.689999998</v>
      </c>
      <c r="G539" s="377">
        <f>G119+G153+G149</f>
        <v>-865675729.78000009</v>
      </c>
      <c r="H539" s="249"/>
      <c r="I539" s="249"/>
      <c r="J539" s="289"/>
      <c r="K539" s="1257"/>
    </row>
    <row r="540" spans="1:11" s="356" customFormat="1" x14ac:dyDescent="0.25">
      <c r="A540" s="365"/>
      <c r="B540" s="366"/>
      <c r="C540" s="367"/>
      <c r="D540" s="368"/>
      <c r="E540" s="368"/>
      <c r="F540" s="368"/>
      <c r="G540" s="368"/>
      <c r="H540" s="249"/>
      <c r="I540" s="249"/>
      <c r="J540" s="289"/>
      <c r="K540" s="1257"/>
    </row>
    <row r="541" spans="1:11" s="356" customFormat="1" x14ac:dyDescent="0.25">
      <c r="A541" s="365"/>
      <c r="B541" s="366"/>
      <c r="C541" s="367"/>
      <c r="D541" s="368"/>
      <c r="E541" s="368"/>
      <c r="F541" s="368"/>
      <c r="G541" s="368"/>
      <c r="H541" s="249"/>
      <c r="I541" s="249"/>
      <c r="J541" s="289"/>
      <c r="K541" s="1257"/>
    </row>
    <row r="542" spans="1:11" ht="15.75" x14ac:dyDescent="0.25">
      <c r="C542" s="378" t="s">
        <v>620</v>
      </c>
      <c r="D542" s="379">
        <f>[1]Субсидия_факт!$N$39</f>
        <v>16608318684.01</v>
      </c>
      <c r="E542" s="371"/>
      <c r="F542" s="380">
        <f>[1]Субсидия_факт!$F$36</f>
        <v>16609975.459969999</v>
      </c>
      <c r="G542" s="1274">
        <f>F542*1000-D513</f>
        <v>1656775.9600009918</v>
      </c>
    </row>
    <row r="543" spans="1:11" ht="25.5" x14ac:dyDescent="0.25">
      <c r="C543" s="381" t="s">
        <v>610</v>
      </c>
      <c r="D543" s="382">
        <f>D542-D513</f>
        <v>0</v>
      </c>
      <c r="E543" s="371"/>
      <c r="F543" s="383" t="s">
        <v>621</v>
      </c>
      <c r="G543" s="383" t="s">
        <v>622</v>
      </c>
    </row>
    <row r="544" spans="1:11" x14ac:dyDescent="0.25">
      <c r="C544" s="378"/>
      <c r="E544" s="371"/>
      <c r="F544" s="371"/>
      <c r="G544" s="371"/>
    </row>
    <row r="545" spans="1:9" x14ac:dyDescent="0.25">
      <c r="F545" s="384"/>
      <c r="G545" s="384"/>
    </row>
    <row r="546" spans="1:9" x14ac:dyDescent="0.25">
      <c r="C546" s="378"/>
      <c r="D546" s="378"/>
      <c r="E546" s="370">
        <f>E547-'Проверочная  таблица'!AR38</f>
        <v>-148174776.30000001</v>
      </c>
      <c r="F546" s="370">
        <f>F547-'Проверочная  таблица'!AU38</f>
        <v>0</v>
      </c>
    </row>
    <row r="547" spans="1:9" ht="165.75" x14ac:dyDescent="0.25">
      <c r="A547" s="1858"/>
      <c r="B547" s="278" t="s">
        <v>623</v>
      </c>
      <c r="C547" s="254" t="s">
        <v>624</v>
      </c>
      <c r="D547" s="385">
        <f t="shared" ref="D547:G549" si="210">D451+D329+D263+D12+D459+D505+D361+D375+D482</f>
        <v>6726687.7300000004</v>
      </c>
      <c r="E547" s="385">
        <f t="shared" si="210"/>
        <v>6726687.7300000004</v>
      </c>
      <c r="F547" s="385">
        <f t="shared" si="210"/>
        <v>4965519.3899999997</v>
      </c>
      <c r="G547" s="385">
        <f t="shared" si="210"/>
        <v>0</v>
      </c>
      <c r="H547" s="249">
        <f>IF(F547&gt;E547,1,0)</f>
        <v>0</v>
      </c>
      <c r="I547" s="249">
        <f>IF(G547&lt;0,1,0)</f>
        <v>0</v>
      </c>
    </row>
    <row r="548" spans="1:9" x14ac:dyDescent="0.25">
      <c r="A548" s="1858"/>
      <c r="B548" s="386" t="s">
        <v>427</v>
      </c>
      <c r="C548" s="387"/>
      <c r="D548" s="388">
        <f t="shared" si="210"/>
        <v>6726687.7300000004</v>
      </c>
      <c r="E548" s="388">
        <f t="shared" si="210"/>
        <v>6726687.7300000004</v>
      </c>
      <c r="F548" s="388">
        <f t="shared" si="210"/>
        <v>4965519.3899999997</v>
      </c>
      <c r="G548" s="388">
        <f t="shared" si="210"/>
        <v>0</v>
      </c>
      <c r="H548" s="249">
        <f>IF(F548&gt;E548,1,0)</f>
        <v>0</v>
      </c>
      <c r="I548" s="249">
        <f>IF(G548&lt;0,1,0)</f>
        <v>0</v>
      </c>
    </row>
    <row r="549" spans="1:9" x14ac:dyDescent="0.25">
      <c r="A549" s="1858"/>
      <c r="B549" s="386" t="s">
        <v>428</v>
      </c>
      <c r="C549" s="389"/>
      <c r="D549" s="388">
        <f t="shared" si="210"/>
        <v>0</v>
      </c>
      <c r="E549" s="388">
        <f t="shared" si="210"/>
        <v>0</v>
      </c>
      <c r="F549" s="388">
        <f t="shared" si="210"/>
        <v>0</v>
      </c>
      <c r="G549" s="388">
        <f t="shared" si="210"/>
        <v>0</v>
      </c>
      <c r="H549" s="249">
        <f>IF(F549&gt;E549,1,0)</f>
        <v>0</v>
      </c>
      <c r="I549" s="249">
        <f>IF(G549&lt;0,1,0)</f>
        <v>0</v>
      </c>
    </row>
  </sheetData>
  <mergeCells count="6">
    <mergeCell ref="A547:A549"/>
    <mergeCell ref="A2:G2"/>
    <mergeCell ref="A3:G3"/>
    <mergeCell ref="A4:G4"/>
    <mergeCell ref="G520:G521"/>
    <mergeCell ref="C527:G527"/>
  </mergeCells>
  <pageMargins left="0.78740157480314965" right="0.39370078740157483" top="0.78740157480314965" bottom="0.78740157480314965" header="0.51181102362204722" footer="0.51181102362204722"/>
  <pageSetup paperSize="9" scale="52" fitToHeight="15" orientation="portrait" horizontalDpi="300" verticalDpi="300" r:id="rId1"/>
  <headerFooter alignWithMargins="0">
    <oddFooter>&amp;L&amp;P&amp;R&amp;Z&amp;F&amp;A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
  <sheetViews>
    <sheetView zoomScale="80" zoomScaleNormal="80" workbookViewId="0">
      <pane xSplit="1" ySplit="7" topLeftCell="B8" activePane="bottomRight" state="frozen"/>
      <selection pane="topRight" activeCell="B1" sqref="B1"/>
      <selection pane="bottomLeft" activeCell="A6" sqref="A6"/>
      <selection pane="bottomRight" activeCell="G15" sqref="G15"/>
    </sheetView>
  </sheetViews>
  <sheetFormatPr defaultColWidth="9.140625" defaultRowHeight="15" x14ac:dyDescent="0.25"/>
  <cols>
    <col min="1" max="1" width="12" style="242" customWidth="1"/>
    <col min="2" max="2" width="51.140625" style="242" customWidth="1"/>
    <col min="3" max="3" width="17.42578125" style="242" customWidth="1"/>
    <col min="4" max="4" width="20" style="242" customWidth="1"/>
    <col min="5" max="5" width="20.28515625" style="242" customWidth="1"/>
    <col min="6" max="6" width="18.140625" style="242" customWidth="1"/>
    <col min="7" max="7" width="20.28515625" style="242" customWidth="1"/>
    <col min="8" max="8" width="14.5703125" style="242" customWidth="1"/>
    <col min="9" max="9" width="15.42578125" style="212" customWidth="1"/>
    <col min="10" max="10" width="17" style="242" bestFit="1" customWidth="1"/>
    <col min="11" max="16384" width="9.140625" style="242"/>
  </cols>
  <sheetData>
    <row r="2" spans="1:10" ht="15.75" x14ac:dyDescent="0.25">
      <c r="A2" s="1850" t="s">
        <v>422</v>
      </c>
      <c r="B2" s="1850"/>
      <c r="C2" s="1850"/>
      <c r="D2" s="1850"/>
      <c r="E2" s="1850"/>
      <c r="F2" s="1850"/>
      <c r="G2" s="1850"/>
    </row>
    <row r="3" spans="1:10" ht="15.75" x14ac:dyDescent="0.25">
      <c r="A3" s="1851" t="str">
        <f>'Проверочная  таблица'!E3</f>
        <v>ПО  СОСТОЯНИЮ  НА  1  ОКТЯБРЯ  2024  ГОДА</v>
      </c>
      <c r="B3" s="1851"/>
      <c r="C3" s="1851"/>
      <c r="D3" s="1851"/>
      <c r="E3" s="1851"/>
      <c r="F3" s="1851"/>
      <c r="G3" s="1851"/>
    </row>
    <row r="4" spans="1:10" ht="15.75" x14ac:dyDescent="0.25">
      <c r="A4" s="1864" t="s">
        <v>423</v>
      </c>
      <c r="B4" s="1864"/>
      <c r="C4" s="1864"/>
      <c r="D4" s="1864"/>
      <c r="E4" s="1864"/>
      <c r="F4" s="1864"/>
      <c r="G4" s="1864"/>
    </row>
    <row r="6" spans="1:10" x14ac:dyDescent="0.25">
      <c r="F6" s="242" t="s">
        <v>370</v>
      </c>
    </row>
    <row r="7" spans="1:10" s="243" customFormat="1" ht="25.5" x14ac:dyDescent="0.25">
      <c r="A7" s="238" t="s">
        <v>371</v>
      </c>
      <c r="B7" s="238" t="s">
        <v>356</v>
      </c>
      <c r="C7" s="238" t="s">
        <v>357</v>
      </c>
      <c r="D7" s="238" t="s">
        <v>358</v>
      </c>
      <c r="E7" s="238" t="s">
        <v>363</v>
      </c>
      <c r="F7" s="238" t="s">
        <v>364</v>
      </c>
      <c r="G7" s="238" t="s">
        <v>372</v>
      </c>
      <c r="I7" s="244"/>
    </row>
    <row r="8" spans="1:10" s="243" customFormat="1" x14ac:dyDescent="0.25">
      <c r="A8" s="245" t="s">
        <v>1346</v>
      </c>
      <c r="B8" s="246" t="s">
        <v>1352</v>
      </c>
      <c r="C8" s="247"/>
      <c r="D8" s="298">
        <f>D9</f>
        <v>46507300</v>
      </c>
      <c r="E8" s="298">
        <f t="shared" ref="E8:G8" si="0">E9</f>
        <v>46452800</v>
      </c>
      <c r="F8" s="298">
        <f t="shared" si="0"/>
        <v>24185333.350000001</v>
      </c>
      <c r="G8" s="298">
        <f t="shared" si="0"/>
        <v>54500</v>
      </c>
      <c r="H8" s="249">
        <f t="shared" ref="H8:H14" si="1">IF(F8&gt;E8,1,0)</f>
        <v>0</v>
      </c>
      <c r="I8" s="249">
        <f t="shared" ref="I8:I14" si="2">IF(G8&lt;0,1,0)</f>
        <v>0</v>
      </c>
    </row>
    <row r="9" spans="1:10" s="243" customFormat="1" ht="38.25" x14ac:dyDescent="0.25">
      <c r="A9" s="250"/>
      <c r="B9" s="253" t="s">
        <v>1348</v>
      </c>
      <c r="C9" s="215" t="s">
        <v>1347</v>
      </c>
      <c r="D9" s="256">
        <f>E9+54500</f>
        <v>46507300</v>
      </c>
      <c r="E9" s="273">
        <f>'Проверочная  таблица'!VL37+'Проверочная  таблица'!VN37</f>
        <v>46452800</v>
      </c>
      <c r="F9" s="273">
        <f>'Проверочная  таблица'!VM37+'Проверочная  таблица'!VO37</f>
        <v>24185333.350000001</v>
      </c>
      <c r="G9" s="257">
        <f>D9-E9</f>
        <v>54500</v>
      </c>
      <c r="H9" s="249">
        <f t="shared" si="1"/>
        <v>0</v>
      </c>
      <c r="I9" s="249">
        <f t="shared" si="2"/>
        <v>0</v>
      </c>
    </row>
    <row r="10" spans="1:10" s="243" customFormat="1" x14ac:dyDescent="0.25">
      <c r="A10" s="250"/>
      <c r="B10" s="253"/>
      <c r="C10" s="215"/>
      <c r="D10" s="260"/>
      <c r="E10" s="273"/>
      <c r="F10" s="273"/>
      <c r="G10" s="257"/>
      <c r="H10" s="249"/>
      <c r="I10" s="249"/>
    </row>
    <row r="11" spans="1:10" s="243" customFormat="1" x14ac:dyDescent="0.25">
      <c r="A11" s="245" t="s">
        <v>1349</v>
      </c>
      <c r="B11" s="246" t="s">
        <v>1351</v>
      </c>
      <c r="C11" s="247"/>
      <c r="D11" s="298">
        <f>D12</f>
        <v>3181200</v>
      </c>
      <c r="E11" s="298">
        <f t="shared" ref="E11:G11" si="3">E12</f>
        <v>0</v>
      </c>
      <c r="F11" s="298">
        <f t="shared" si="3"/>
        <v>0</v>
      </c>
      <c r="G11" s="298">
        <f t="shared" si="3"/>
        <v>3181200</v>
      </c>
      <c r="H11" s="249">
        <f t="shared" ref="H11:H12" si="4">IF(F11&gt;E11,1,0)</f>
        <v>0</v>
      </c>
      <c r="I11" s="249">
        <f t="shared" ref="I11:I12" si="5">IF(G11&lt;0,1,0)</f>
        <v>0</v>
      </c>
    </row>
    <row r="12" spans="1:10" s="243" customFormat="1" ht="102" x14ac:dyDescent="0.25">
      <c r="A12" s="250"/>
      <c r="B12" s="253" t="s">
        <v>1353</v>
      </c>
      <c r="C12" s="215" t="s">
        <v>1350</v>
      </c>
      <c r="D12" s="256">
        <f>E12+3181200</f>
        <v>3181200</v>
      </c>
      <c r="E12" s="273">
        <f>'Проверочная  таблица'!VR37</f>
        <v>0</v>
      </c>
      <c r="F12" s="273">
        <f>'Проверочная  таблица'!VS37</f>
        <v>0</v>
      </c>
      <c r="G12" s="257">
        <f>D12-E12</f>
        <v>3181200</v>
      </c>
      <c r="H12" s="249">
        <f t="shared" si="4"/>
        <v>0</v>
      </c>
      <c r="I12" s="249">
        <f t="shared" si="5"/>
        <v>0</v>
      </c>
    </row>
    <row r="13" spans="1:10" s="243" customFormat="1" x14ac:dyDescent="0.25">
      <c r="A13" s="252"/>
      <c r="B13" s="253"/>
      <c r="C13" s="254"/>
      <c r="D13" s="283"/>
      <c r="E13" s="256"/>
      <c r="F13" s="256"/>
      <c r="G13" s="257">
        <f>D13-E13</f>
        <v>0</v>
      </c>
      <c r="H13" s="249">
        <f t="shared" si="1"/>
        <v>0</v>
      </c>
      <c r="I13" s="249">
        <f t="shared" si="2"/>
        <v>0</v>
      </c>
      <c r="J13" s="262"/>
    </row>
    <row r="14" spans="1:10" s="285" customFormat="1" x14ac:dyDescent="0.25">
      <c r="A14" s="1865" t="s">
        <v>31</v>
      </c>
      <c r="B14" s="1865"/>
      <c r="C14" s="283"/>
      <c r="D14" s="283">
        <f>D8+D11</f>
        <v>49688500</v>
      </c>
      <c r="E14" s="283">
        <f t="shared" ref="E14:G14" si="6">E8+E11</f>
        <v>46452800</v>
      </c>
      <c r="F14" s="283">
        <f t="shared" si="6"/>
        <v>24185333.350000001</v>
      </c>
      <c r="G14" s="283">
        <f t="shared" si="6"/>
        <v>3235700</v>
      </c>
      <c r="H14" s="249">
        <f t="shared" si="1"/>
        <v>0</v>
      </c>
      <c r="I14" s="249">
        <f t="shared" si="2"/>
        <v>0</v>
      </c>
    </row>
    <row r="15" spans="1:10" x14ac:dyDescent="0.25">
      <c r="D15" s="286"/>
      <c r="E15" s="286"/>
      <c r="G15" s="286">
        <f>G14-[1]Субвенция_факт!$D$38</f>
        <v>0</v>
      </c>
    </row>
  </sheetData>
  <mergeCells count="4">
    <mergeCell ref="A2:G2"/>
    <mergeCell ref="A3:G3"/>
    <mergeCell ref="A4:G4"/>
    <mergeCell ref="A14:B14"/>
  </mergeCells>
  <pageMargins left="0.78740157480314965" right="0.39370078740157483" top="0.78740157480314965" bottom="0.78740157480314965" header="0.51181102362204722" footer="0.51181102362204722"/>
  <pageSetup paperSize="9" scale="47" fitToHeight="2" orientation="portrait" r:id="rId1"/>
  <headerFooter alignWithMargins="0">
    <oddFooter>&amp;R&amp;Z&amp;F&amp;A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70"/>
  <sheetViews>
    <sheetView zoomScale="80" zoomScaleNormal="80" zoomScaleSheetLayoutView="70" workbookViewId="0">
      <pane xSplit="3" ySplit="8" topLeftCell="D61" activePane="bottomRight" state="frozen"/>
      <selection pane="topRight" activeCell="D1" sqref="D1"/>
      <selection pane="bottomLeft" activeCell="A9" sqref="A9"/>
      <selection pane="bottomRight" activeCell="F64" sqref="F64"/>
    </sheetView>
  </sheetViews>
  <sheetFormatPr defaultColWidth="9.140625" defaultRowHeight="15" x14ac:dyDescent="0.25"/>
  <cols>
    <col min="1" max="1" width="12" style="242" customWidth="1"/>
    <col min="2" max="2" width="51.140625" style="242" customWidth="1"/>
    <col min="3" max="3" width="17.42578125" style="242" customWidth="1"/>
    <col min="4" max="6" width="22" style="242" bestFit="1" customWidth="1"/>
    <col min="7" max="7" width="21.28515625" style="242" customWidth="1"/>
    <col min="8" max="8" width="11.42578125" style="242" bestFit="1" customWidth="1"/>
    <col min="9" max="9" width="20.140625" style="212" bestFit="1" customWidth="1"/>
    <col min="10" max="10" width="18" style="242" bestFit="1" customWidth="1"/>
    <col min="11" max="16384" width="9.140625" style="242"/>
  </cols>
  <sheetData>
    <row r="2" spans="1:9" ht="15.75" x14ac:dyDescent="0.25">
      <c r="A2" s="1850" t="s">
        <v>368</v>
      </c>
      <c r="B2" s="1850"/>
      <c r="C2" s="1850"/>
      <c r="D2" s="1850"/>
      <c r="E2" s="1850"/>
      <c r="F2" s="1850"/>
      <c r="G2" s="1850"/>
    </row>
    <row r="3" spans="1:9" ht="15.75" x14ac:dyDescent="0.25">
      <c r="A3" s="1851" t="str">
        <f>'Проверочная  таблица'!E3</f>
        <v>ПО  СОСТОЯНИЮ  НА  1  ОКТЯБРЯ  2024  ГОДА</v>
      </c>
      <c r="B3" s="1851"/>
      <c r="C3" s="1851"/>
      <c r="D3" s="1851"/>
      <c r="E3" s="1851"/>
      <c r="F3" s="1851"/>
      <c r="G3" s="1851"/>
    </row>
    <row r="4" spans="1:9" ht="15.75" x14ac:dyDescent="0.25">
      <c r="A4" s="1864" t="s">
        <v>369</v>
      </c>
      <c r="B4" s="1864"/>
      <c r="C4" s="1864"/>
      <c r="D4" s="1864"/>
      <c r="E4" s="1864"/>
      <c r="F4" s="1864"/>
      <c r="G4" s="1864"/>
    </row>
    <row r="6" spans="1:9" x14ac:dyDescent="0.25">
      <c r="F6" s="242" t="s">
        <v>370</v>
      </c>
    </row>
    <row r="7" spans="1:9" s="243" customFormat="1" ht="25.5" x14ac:dyDescent="0.25">
      <c r="A7" s="238" t="s">
        <v>371</v>
      </c>
      <c r="B7" s="238" t="s">
        <v>356</v>
      </c>
      <c r="C7" s="238" t="s">
        <v>357</v>
      </c>
      <c r="D7" s="238" t="s">
        <v>358</v>
      </c>
      <c r="E7" s="238" t="s">
        <v>363</v>
      </c>
      <c r="F7" s="238" t="s">
        <v>364</v>
      </c>
      <c r="G7" s="238" t="s">
        <v>372</v>
      </c>
      <c r="I7" s="244"/>
    </row>
    <row r="8" spans="1:9" s="243" customFormat="1" x14ac:dyDescent="0.25">
      <c r="A8" s="245" t="s">
        <v>373</v>
      </c>
      <c r="B8" s="246" t="s">
        <v>374</v>
      </c>
      <c r="C8" s="247"/>
      <c r="D8" s="248">
        <f>SUM(D10:D13)</f>
        <v>275430423</v>
      </c>
      <c r="E8" s="248">
        <f t="shared" ref="E8:G8" si="0">SUM(E10:E13)</f>
        <v>326684913.22000003</v>
      </c>
      <c r="F8" s="248">
        <f t="shared" si="0"/>
        <v>195170839.93000001</v>
      </c>
      <c r="G8" s="248">
        <f t="shared" si="0"/>
        <v>-51254490.219999999</v>
      </c>
      <c r="H8" s="249">
        <f>IF(F8&gt;E8,1,0)</f>
        <v>0</v>
      </c>
      <c r="I8" s="249">
        <f>IF(G8&lt;0,1,0)</f>
        <v>1</v>
      </c>
    </row>
    <row r="9" spans="1:9" s="243" customFormat="1" x14ac:dyDescent="0.25">
      <c r="A9" s="250"/>
      <c r="B9" s="238" t="s">
        <v>375</v>
      </c>
      <c r="C9" s="215"/>
      <c r="D9" s="215"/>
      <c r="E9" s="251"/>
      <c r="F9" s="251"/>
      <c r="G9" s="215"/>
      <c r="H9" s="249">
        <f>IF(F9&gt;E9,1,0)</f>
        <v>0</v>
      </c>
      <c r="I9" s="249">
        <f>IF(G9&lt;0,1,0)</f>
        <v>0</v>
      </c>
    </row>
    <row r="10" spans="1:9" s="243" customFormat="1" ht="127.5" x14ac:dyDescent="0.25">
      <c r="A10" s="252"/>
      <c r="B10" s="253" t="s">
        <v>376</v>
      </c>
      <c r="C10" s="254" t="s">
        <v>377</v>
      </c>
      <c r="D10" s="255">
        <v>20000000</v>
      </c>
      <c r="E10" s="256">
        <f>'Проверочная  таблица'!YD37</f>
        <v>67789770.780000001</v>
      </c>
      <c r="F10" s="256">
        <f>'Проверочная  таблица'!YO37</f>
        <v>0</v>
      </c>
      <c r="G10" s="257">
        <f>D10-E10</f>
        <v>-47789770.780000001</v>
      </c>
      <c r="H10" s="249">
        <f>IF(F10&gt;E10,1,0)</f>
        <v>0</v>
      </c>
      <c r="I10" s="249">
        <f>IF(G10&lt;0,1,0)</f>
        <v>1</v>
      </c>
    </row>
    <row r="11" spans="1:9" s="243" customFormat="1" ht="140.25" x14ac:dyDescent="0.25">
      <c r="A11" s="252"/>
      <c r="B11" s="253" t="s">
        <v>1387</v>
      </c>
      <c r="C11" s="254" t="s">
        <v>378</v>
      </c>
      <c r="D11" s="255">
        <v>35500000</v>
      </c>
      <c r="E11" s="256">
        <f>'Проверочная  таблица'!YE37</f>
        <v>63618812.569999985</v>
      </c>
      <c r="F11" s="256">
        <f>'Проверочная  таблица'!YP37</f>
        <v>0</v>
      </c>
      <c r="G11" s="257">
        <f>D11-E11</f>
        <v>-28118812.569999985</v>
      </c>
      <c r="H11" s="249">
        <f>IF(F11&gt;E11,1,0)</f>
        <v>0</v>
      </c>
      <c r="I11" s="249">
        <f>IF(G11&lt;0,1,0)</f>
        <v>1</v>
      </c>
    </row>
    <row r="12" spans="1:9" s="243" customFormat="1" ht="114.75" x14ac:dyDescent="0.25">
      <c r="A12" s="252"/>
      <c r="B12" s="253" t="s">
        <v>379</v>
      </c>
      <c r="C12" s="254" t="s">
        <v>380</v>
      </c>
      <c r="D12" s="255">
        <f>50000000+65369380+104561043</f>
        <v>219930423</v>
      </c>
      <c r="E12" s="256">
        <f>'Проверочная  таблица'!YF38</f>
        <v>195276329.87</v>
      </c>
      <c r="F12" s="256">
        <f>'Проверочная  таблица'!YQ38</f>
        <v>195170839.93000001</v>
      </c>
      <c r="G12" s="257">
        <f>D12-E12</f>
        <v>24654093.129999995</v>
      </c>
      <c r="H12" s="249">
        <f>IF(F12&gt;E12,1,0)</f>
        <v>0</v>
      </c>
      <c r="I12" s="249">
        <f>IF(G12&lt;0,1,0)</f>
        <v>0</v>
      </c>
    </row>
    <row r="13" spans="1:9" s="243" customFormat="1" x14ac:dyDescent="0.25">
      <c r="A13" s="238"/>
      <c r="B13" s="238"/>
      <c r="C13" s="238"/>
      <c r="D13" s="238"/>
      <c r="E13" s="238"/>
      <c r="F13" s="238"/>
      <c r="G13" s="238"/>
      <c r="I13" s="244"/>
    </row>
    <row r="14" spans="1:9" s="243" customFormat="1" x14ac:dyDescent="0.25">
      <c r="A14" s="245" t="s">
        <v>381</v>
      </c>
      <c r="B14" s="246" t="s">
        <v>382</v>
      </c>
      <c r="C14" s="247"/>
      <c r="D14" s="248">
        <f>SUM(D16:D18)</f>
        <v>521984357.69</v>
      </c>
      <c r="E14" s="248">
        <f t="shared" ref="E14:G14" si="1">SUM(E16:E18)</f>
        <v>656287617.69000006</v>
      </c>
      <c r="F14" s="248">
        <f t="shared" si="1"/>
        <v>433937315.35000002</v>
      </c>
      <c r="G14" s="248">
        <f t="shared" si="1"/>
        <v>-134303260</v>
      </c>
      <c r="H14" s="249">
        <f>IF(F14&gt;E14,1,0)</f>
        <v>0</v>
      </c>
      <c r="I14" s="249">
        <f>IF(G14&lt;0,1,0)</f>
        <v>1</v>
      </c>
    </row>
    <row r="15" spans="1:9" s="243" customFormat="1" x14ac:dyDescent="0.25">
      <c r="A15" s="250"/>
      <c r="B15" s="238" t="s">
        <v>375</v>
      </c>
      <c r="C15" s="215"/>
      <c r="D15" s="215"/>
      <c r="E15" s="251"/>
      <c r="F15" s="251"/>
      <c r="G15" s="215"/>
      <c r="H15" s="249">
        <f>IF(F15&gt;E15,1,0)</f>
        <v>0</v>
      </c>
      <c r="I15" s="249">
        <f>IF(G15&lt;0,1,0)</f>
        <v>0</v>
      </c>
    </row>
    <row r="16" spans="1:9" s="243" customFormat="1" ht="178.5" x14ac:dyDescent="0.25">
      <c r="A16" s="252"/>
      <c r="B16" s="253" t="s">
        <v>383</v>
      </c>
      <c r="C16" s="258" t="s">
        <v>384</v>
      </c>
      <c r="D16" s="255">
        <v>355374797.69</v>
      </c>
      <c r="E16" s="256">
        <f>'Проверочная  таблица'!XZ37</f>
        <v>470758457.69</v>
      </c>
      <c r="F16" s="256">
        <f>'Проверочная  таблица'!YK37</f>
        <v>248408155.34999999</v>
      </c>
      <c r="G16" s="257">
        <f>D16-E16</f>
        <v>-115383660</v>
      </c>
      <c r="H16" s="249">
        <f>IF(F16&gt;E16,1,0)</f>
        <v>0</v>
      </c>
      <c r="I16" s="249">
        <f>IF(G16&lt;0,1,0)</f>
        <v>1</v>
      </c>
    </row>
    <row r="17" spans="1:10" s="243" customFormat="1" ht="140.25" x14ac:dyDescent="0.25">
      <c r="A17" s="252"/>
      <c r="B17" s="253" t="s">
        <v>385</v>
      </c>
      <c r="C17" s="258" t="s">
        <v>386</v>
      </c>
      <c r="D17" s="255">
        <v>166609560</v>
      </c>
      <c r="E17" s="256">
        <f>'Проверочная  таблица'!YA38</f>
        <v>185529160</v>
      </c>
      <c r="F17" s="256">
        <f>'Проверочная  таблица'!YL38</f>
        <v>185529160</v>
      </c>
      <c r="G17" s="257">
        <f>D17-E17</f>
        <v>-18919600</v>
      </c>
      <c r="H17" s="249">
        <f t="shared" ref="H17:H18" si="2">IF(F17&gt;E17,1,0)</f>
        <v>0</v>
      </c>
      <c r="I17" s="249">
        <f t="shared" ref="I17:I18" si="3">IF(G17&lt;0,1,0)</f>
        <v>1</v>
      </c>
    </row>
    <row r="18" spans="1:10" s="243" customFormat="1" x14ac:dyDescent="0.25">
      <c r="A18" s="252"/>
      <c r="B18" s="253"/>
      <c r="C18" s="258"/>
      <c r="D18" s="259"/>
      <c r="E18" s="256"/>
      <c r="F18" s="256"/>
      <c r="G18" s="257"/>
      <c r="H18" s="249">
        <f t="shared" si="2"/>
        <v>0</v>
      </c>
      <c r="I18" s="249">
        <f t="shared" si="3"/>
        <v>0</v>
      </c>
    </row>
    <row r="19" spans="1:10" x14ac:dyDescent="0.25">
      <c r="A19" s="245" t="s">
        <v>10</v>
      </c>
      <c r="B19" s="246" t="s">
        <v>387</v>
      </c>
      <c r="C19" s="247"/>
      <c r="D19" s="248">
        <f>SUM(D21:D24)</f>
        <v>345237041.68999994</v>
      </c>
      <c r="E19" s="248">
        <f>SUM(E21:E24)</f>
        <v>343580265.72999996</v>
      </c>
      <c r="F19" s="248">
        <f>SUM(F21:F24)</f>
        <v>219404547.12999997</v>
      </c>
      <c r="G19" s="248">
        <f>SUM(G21:G24)</f>
        <v>1656775.9599999934</v>
      </c>
      <c r="H19" s="249">
        <f>IF(F19&gt;E19,1,0)</f>
        <v>0</v>
      </c>
      <c r="I19" s="249">
        <f>IF(G19&lt;0,1,0)</f>
        <v>0</v>
      </c>
    </row>
    <row r="20" spans="1:10" x14ac:dyDescent="0.25">
      <c r="A20" s="250"/>
      <c r="B20" s="238" t="s">
        <v>375</v>
      </c>
      <c r="C20" s="215"/>
      <c r="D20" s="215"/>
      <c r="E20" s="251"/>
      <c r="F20" s="251"/>
      <c r="G20" s="215"/>
      <c r="H20" s="249">
        <f>IF(F20&gt;E20,1,0)</f>
        <v>0</v>
      </c>
      <c r="I20" s="249">
        <f>IF(G20&lt;0,1,0)</f>
        <v>0</v>
      </c>
    </row>
    <row r="21" spans="1:10" ht="127.5" x14ac:dyDescent="0.25">
      <c r="A21" s="250"/>
      <c r="B21" s="253" t="s">
        <v>388</v>
      </c>
      <c r="C21" s="254" t="s">
        <v>389</v>
      </c>
      <c r="D21" s="260">
        <v>240950249.08000001</v>
      </c>
      <c r="E21" s="261">
        <f>'Проверочная  таблица'!XK38</f>
        <v>240950249.07999998</v>
      </c>
      <c r="F21" s="261">
        <f>'Проверочная  таблица'!XM38</f>
        <v>160058225.89999998</v>
      </c>
      <c r="G21" s="257">
        <f t="shared" ref="G21" si="4">D21-E21</f>
        <v>0</v>
      </c>
      <c r="H21" s="249">
        <f>IF(F21&gt;E21,1,0)</f>
        <v>0</v>
      </c>
      <c r="I21" s="249">
        <f>IF(G21&lt;0,1,0)</f>
        <v>0</v>
      </c>
    </row>
    <row r="22" spans="1:10" ht="89.25" x14ac:dyDescent="0.25">
      <c r="A22" s="250"/>
      <c r="B22" s="253" t="s">
        <v>390</v>
      </c>
      <c r="C22" s="254" t="s">
        <v>391</v>
      </c>
      <c r="D22" s="260">
        <f>87341721.71-27073280.76</f>
        <v>60268440.949999988</v>
      </c>
      <c r="E22" s="261">
        <f>'Проверочная  таблица'!XY38</f>
        <v>60268440.949999996</v>
      </c>
      <c r="F22" s="261">
        <f>'Проверочная  таблица'!YJ38</f>
        <v>58561035.629999995</v>
      </c>
      <c r="G22" s="257">
        <f>D22-E22</f>
        <v>0</v>
      </c>
      <c r="H22" s="249">
        <f>IF(F22&gt;E22,1,0)</f>
        <v>0</v>
      </c>
      <c r="I22" s="249">
        <f>IF(G22&lt;0,1,0)</f>
        <v>0</v>
      </c>
    </row>
    <row r="23" spans="1:10" ht="102" x14ac:dyDescent="0.25">
      <c r="A23" s="1208"/>
      <c r="B23" s="253" t="s">
        <v>409</v>
      </c>
      <c r="C23" s="254" t="s">
        <v>410</v>
      </c>
      <c r="D23" s="255">
        <v>44018351.659999996</v>
      </c>
      <c r="E23" s="1207">
        <f>Бюджетирование!F37</f>
        <v>42361575.700000003</v>
      </c>
      <c r="F23" s="1207">
        <f>Бюджетирование!G37</f>
        <v>785285.6</v>
      </c>
      <c r="G23" s="257">
        <f>D23-E23</f>
        <v>1656775.9599999934</v>
      </c>
      <c r="H23" s="249">
        <f>IF(F23&gt;E23,1,0)</f>
        <v>0</v>
      </c>
      <c r="I23" s="249">
        <f>IF(G23&lt;0,1,0)</f>
        <v>0</v>
      </c>
    </row>
    <row r="24" spans="1:10" x14ac:dyDescent="0.25">
      <c r="A24" s="250"/>
      <c r="B24" s="253"/>
      <c r="C24" s="254"/>
      <c r="D24" s="260"/>
      <c r="E24" s="261"/>
      <c r="F24" s="261"/>
      <c r="G24" s="257"/>
      <c r="H24" s="249"/>
      <c r="I24" s="249"/>
    </row>
    <row r="25" spans="1:10" x14ac:dyDescent="0.25">
      <c r="A25" s="245" t="s">
        <v>392</v>
      </c>
      <c r="B25" s="246" t="s">
        <v>393</v>
      </c>
      <c r="C25" s="247"/>
      <c r="D25" s="248">
        <f>SUM(D27:D33)</f>
        <v>1284582986.46</v>
      </c>
      <c r="E25" s="248">
        <f t="shared" ref="E25:G25" si="5">SUM(E27:E33)</f>
        <v>1552808601.46</v>
      </c>
      <c r="F25" s="248">
        <f t="shared" si="5"/>
        <v>671316671.0999999</v>
      </c>
      <c r="G25" s="248">
        <f t="shared" si="5"/>
        <v>-268225615</v>
      </c>
      <c r="H25" s="249">
        <f>IF(F25&gt;E25,1,0)</f>
        <v>0</v>
      </c>
      <c r="I25" s="249">
        <f>IF(G25&lt;0,1,0)</f>
        <v>1</v>
      </c>
    </row>
    <row r="26" spans="1:10" x14ac:dyDescent="0.25">
      <c r="A26" s="250"/>
      <c r="B26" s="238" t="s">
        <v>375</v>
      </c>
      <c r="C26" s="215"/>
      <c r="D26" s="215"/>
      <c r="E26" s="251"/>
      <c r="F26" s="251"/>
      <c r="G26" s="215"/>
      <c r="H26" s="249">
        <f>IF(F26&gt;E26,1,0)</f>
        <v>0</v>
      </c>
      <c r="I26" s="249">
        <f>IF(G26&lt;0,1,0)</f>
        <v>0</v>
      </c>
    </row>
    <row r="27" spans="1:10" ht="165.75" x14ac:dyDescent="0.25">
      <c r="A27" s="250"/>
      <c r="B27" s="253" t="s">
        <v>1355</v>
      </c>
      <c r="C27" s="254" t="s">
        <v>1354</v>
      </c>
      <c r="D27" s="260"/>
      <c r="E27" s="1262">
        <f>'Проверочная  таблица'!WM37</f>
        <v>0</v>
      </c>
      <c r="F27" s="1262">
        <f>'Проверочная  таблица'!WP37</f>
        <v>0</v>
      </c>
      <c r="G27" s="257">
        <f>D27-E27</f>
        <v>0</v>
      </c>
      <c r="H27" s="249"/>
      <c r="I27" s="249"/>
      <c r="J27" s="262">
        <f>D27+D28</f>
        <v>5754840</v>
      </c>
    </row>
    <row r="28" spans="1:10" x14ac:dyDescent="0.25">
      <c r="A28" s="263"/>
      <c r="B28" s="264" t="s">
        <v>396</v>
      </c>
      <c r="C28" s="265" t="s">
        <v>1354</v>
      </c>
      <c r="D28" s="266">
        <v>5754840</v>
      </c>
      <c r="E28" s="267">
        <f>'Проверочная  таблица'!WN37</f>
        <v>0</v>
      </c>
      <c r="F28" s="267">
        <f>'Проверочная  таблица'!WQ37</f>
        <v>0</v>
      </c>
      <c r="G28" s="268">
        <f t="shared" ref="G28" si="6">D28-E28</f>
        <v>5754840</v>
      </c>
      <c r="H28" s="249"/>
      <c r="I28" s="249"/>
    </row>
    <row r="29" spans="1:10" ht="178.5" x14ac:dyDescent="0.25">
      <c r="A29" s="250"/>
      <c r="B29" s="253" t="s">
        <v>394</v>
      </c>
      <c r="C29" s="254" t="s">
        <v>395</v>
      </c>
      <c r="D29" s="260"/>
      <c r="E29" s="261">
        <f>'Проверочная  таблица'!XE37</f>
        <v>483719000</v>
      </c>
      <c r="F29" s="261">
        <f>'Проверочная  таблица'!XH37</f>
        <v>0</v>
      </c>
      <c r="G29" s="257">
        <f>D29-E29</f>
        <v>-483719000</v>
      </c>
      <c r="H29" s="249">
        <f>IF(F29&gt;E29,1,0)</f>
        <v>0</v>
      </c>
      <c r="I29" s="249">
        <f>IF(G29&lt;0,1,0)</f>
        <v>1</v>
      </c>
      <c r="J29" s="262">
        <f>D29+D30</f>
        <v>732492160</v>
      </c>
    </row>
    <row r="30" spans="1:10" s="270" customFormat="1" ht="14.25" x14ac:dyDescent="0.25">
      <c r="A30" s="263"/>
      <c r="B30" s="264" t="s">
        <v>396</v>
      </c>
      <c r="C30" s="265" t="s">
        <v>395</v>
      </c>
      <c r="D30" s="266">
        <f>483719000+49723400+199049760</f>
        <v>732492160</v>
      </c>
      <c r="E30" s="267">
        <f>'Проверочная  таблица'!XF37</f>
        <v>533442400</v>
      </c>
      <c r="F30" s="267">
        <f>'Проверочная  таблица'!XI37</f>
        <v>481578110.50999999</v>
      </c>
      <c r="G30" s="268">
        <f t="shared" ref="G30" si="7">D30-E30</f>
        <v>199049760</v>
      </c>
      <c r="H30" s="269">
        <f t="shared" ref="H30" si="8">IF(F30&gt;E30,1,0)</f>
        <v>0</v>
      </c>
      <c r="I30" s="269">
        <f t="shared" ref="I30" si="9">IF(G30&lt;0,1,0)</f>
        <v>0</v>
      </c>
    </row>
    <row r="31" spans="1:10" ht="89.25" x14ac:dyDescent="0.25">
      <c r="A31" s="250"/>
      <c r="B31" s="253" t="s">
        <v>397</v>
      </c>
      <c r="C31" s="254" t="s">
        <v>398</v>
      </c>
      <c r="D31" s="260">
        <f>100000000+16188782.79+410000000-29000000-10000000</f>
        <v>487188782.78999996</v>
      </c>
      <c r="E31" s="261">
        <f>'Проверочная  таблица'!XX37</f>
        <v>476499997.78999996</v>
      </c>
      <c r="F31" s="261">
        <f>'Проверочная  таблица'!YI37</f>
        <v>145023301.06999999</v>
      </c>
      <c r="G31" s="257">
        <f>D31-E31</f>
        <v>10688785</v>
      </c>
      <c r="H31" s="249">
        <f>IF(F31&gt;E31,1,0)</f>
        <v>0</v>
      </c>
      <c r="I31" s="249">
        <f>IF(G31&lt;0,1,0)</f>
        <v>0</v>
      </c>
      <c r="J31" s="1238"/>
    </row>
    <row r="32" spans="1:10" ht="114.75" x14ac:dyDescent="0.25">
      <c r="A32" s="250"/>
      <c r="B32" s="253" t="s">
        <v>399</v>
      </c>
      <c r="C32" s="254" t="s">
        <v>400</v>
      </c>
      <c r="D32" s="260">
        <f>2966347.37-8987.19</f>
        <v>2957360.18</v>
      </c>
      <c r="E32" s="261">
        <f>'Проверочная  таблица'!WY37</f>
        <v>2957360.1800000006</v>
      </c>
      <c r="F32" s="261">
        <f>'Проверочная  таблица'!XB37</f>
        <v>2235763.08</v>
      </c>
      <c r="G32" s="257">
        <f t="shared" ref="G32:G33" si="10">D32-E32</f>
        <v>0</v>
      </c>
      <c r="H32" s="249">
        <f t="shared" ref="H32:H39" si="11">IF(F32&gt;E32,1,0)</f>
        <v>0</v>
      </c>
      <c r="I32" s="249">
        <f t="shared" ref="I32:I39" si="12">IF(G32&lt;0,1,0)</f>
        <v>0</v>
      </c>
      <c r="J32" s="271">
        <f>D32+D33</f>
        <v>59147203.670000002</v>
      </c>
    </row>
    <row r="33" spans="1:10" ht="14.25" x14ac:dyDescent="0.25">
      <c r="A33" s="263"/>
      <c r="B33" s="264" t="s">
        <v>396</v>
      </c>
      <c r="C33" s="265" t="s">
        <v>400</v>
      </c>
      <c r="D33" s="266">
        <f>56360600-170756.51</f>
        <v>56189843.490000002</v>
      </c>
      <c r="E33" s="272">
        <f>'Проверочная  таблица'!WZ37</f>
        <v>56189843.490000002</v>
      </c>
      <c r="F33" s="272">
        <f>'Проверочная  таблица'!XC37</f>
        <v>42479496.439999998</v>
      </c>
      <c r="G33" s="268">
        <f t="shared" si="10"/>
        <v>0</v>
      </c>
      <c r="H33" s="269">
        <f t="shared" si="11"/>
        <v>0</v>
      </c>
      <c r="I33" s="269">
        <f t="shared" si="12"/>
        <v>0</v>
      </c>
    </row>
    <row r="34" spans="1:10" x14ac:dyDescent="0.25">
      <c r="A34" s="252"/>
      <c r="B34" s="253"/>
      <c r="C34" s="254"/>
      <c r="D34" s="255"/>
      <c r="E34" s="273"/>
      <c r="F34" s="273"/>
      <c r="G34" s="257"/>
      <c r="H34" s="269">
        <f t="shared" si="11"/>
        <v>0</v>
      </c>
      <c r="I34" s="269">
        <f t="shared" si="12"/>
        <v>0</v>
      </c>
    </row>
    <row r="35" spans="1:10" x14ac:dyDescent="0.25">
      <c r="A35" s="245" t="s">
        <v>401</v>
      </c>
      <c r="B35" s="246" t="s">
        <v>402</v>
      </c>
      <c r="C35" s="274"/>
      <c r="D35" s="275">
        <f>D37+D38</f>
        <v>96014740</v>
      </c>
      <c r="E35" s="275">
        <f>E37+E38</f>
        <v>148864922.25</v>
      </c>
      <c r="F35" s="275">
        <f>F37+F38</f>
        <v>15963290.640000001</v>
      </c>
      <c r="G35" s="275">
        <f>G37+G38</f>
        <v>-52850182.250000007</v>
      </c>
      <c r="H35" s="269">
        <f t="shared" si="11"/>
        <v>0</v>
      </c>
      <c r="I35" s="269">
        <f t="shared" si="12"/>
        <v>1</v>
      </c>
    </row>
    <row r="36" spans="1:10" x14ac:dyDescent="0.25">
      <c r="A36" s="252"/>
      <c r="B36" s="238" t="s">
        <v>375</v>
      </c>
      <c r="C36" s="276"/>
      <c r="D36" s="277"/>
      <c r="E36" s="273"/>
      <c r="F36" s="273"/>
      <c r="G36" s="257"/>
      <c r="H36" s="269">
        <f t="shared" si="11"/>
        <v>0</v>
      </c>
      <c r="I36" s="269">
        <f t="shared" si="12"/>
        <v>0</v>
      </c>
    </row>
    <row r="37" spans="1:10" ht="89.25" x14ac:dyDescent="0.25">
      <c r="A37" s="252"/>
      <c r="B37" s="278" t="s">
        <v>403</v>
      </c>
      <c r="C37" s="254" t="s">
        <v>404</v>
      </c>
      <c r="D37" s="277">
        <v>4800739.34</v>
      </c>
      <c r="E37" s="279">
        <f>'Проверочная  таблица'!WS37</f>
        <v>12859608.940000001</v>
      </c>
      <c r="F37" s="279">
        <f>'Проверочная  таблица'!WV37</f>
        <v>798164.93</v>
      </c>
      <c r="G37" s="257">
        <f t="shared" ref="G37" si="13">D37-E37</f>
        <v>-8058869.6000000015</v>
      </c>
      <c r="H37" s="269">
        <f t="shared" si="11"/>
        <v>0</v>
      </c>
      <c r="I37" s="269">
        <f t="shared" si="12"/>
        <v>1</v>
      </c>
      <c r="J37" s="271">
        <f>D37+D38</f>
        <v>96014740</v>
      </c>
    </row>
    <row r="38" spans="1:10" x14ac:dyDescent="0.25">
      <c r="A38" s="280"/>
      <c r="B38" s="264" t="s">
        <v>396</v>
      </c>
      <c r="C38" s="281" t="s">
        <v>404</v>
      </c>
      <c r="D38" s="282">
        <v>91214000.659999996</v>
      </c>
      <c r="E38" s="267">
        <f>'Проверочная  таблица'!WT37</f>
        <v>136005313.31</v>
      </c>
      <c r="F38" s="267">
        <f>'Проверочная  таблица'!WW37</f>
        <v>15165125.710000001</v>
      </c>
      <c r="G38" s="268">
        <f>D38-E38</f>
        <v>-44791312.650000006</v>
      </c>
      <c r="H38" s="269">
        <f t="shared" si="11"/>
        <v>0</v>
      </c>
      <c r="I38" s="269">
        <f t="shared" si="12"/>
        <v>1</v>
      </c>
    </row>
    <row r="39" spans="1:10" x14ac:dyDescent="0.25">
      <c r="A39" s="252"/>
      <c r="B39" s="253"/>
      <c r="C39" s="254"/>
      <c r="D39" s="255"/>
      <c r="E39" s="273"/>
      <c r="F39" s="273"/>
      <c r="G39" s="257"/>
      <c r="H39" s="269">
        <f t="shared" si="11"/>
        <v>0</v>
      </c>
      <c r="I39" s="269">
        <f t="shared" si="12"/>
        <v>0</v>
      </c>
    </row>
    <row r="40" spans="1:10" x14ac:dyDescent="0.25">
      <c r="A40" s="245">
        <v>1102</v>
      </c>
      <c r="B40" s="246" t="s">
        <v>405</v>
      </c>
      <c r="C40" s="247"/>
      <c r="D40" s="248">
        <f>SUM(D42:D44)</f>
        <v>346047294.10000002</v>
      </c>
      <c r="E40" s="248">
        <f t="shared" ref="E40:G40" si="14">SUM(E42:E44)</f>
        <v>346047294.10000002</v>
      </c>
      <c r="F40" s="248">
        <f t="shared" si="14"/>
        <v>176246821.08000001</v>
      </c>
      <c r="G40" s="248">
        <f t="shared" si="14"/>
        <v>0</v>
      </c>
      <c r="H40" s="249">
        <f>IF(F40&gt;E40,1,0)</f>
        <v>0</v>
      </c>
      <c r="I40" s="249">
        <f>IF(G40&lt;0,1,0)</f>
        <v>0</v>
      </c>
    </row>
    <row r="41" spans="1:10" x14ac:dyDescent="0.25">
      <c r="A41" s="250"/>
      <c r="B41" s="238" t="s">
        <v>375</v>
      </c>
      <c r="C41" s="215"/>
      <c r="D41" s="215"/>
      <c r="E41" s="251"/>
      <c r="F41" s="251"/>
      <c r="G41" s="215"/>
      <c r="H41" s="249">
        <f>IF(F41&gt;E41,1,0)</f>
        <v>0</v>
      </c>
      <c r="I41" s="249">
        <f>IF(G41&lt;0,1,0)</f>
        <v>0</v>
      </c>
    </row>
    <row r="42" spans="1:10" ht="76.5" x14ac:dyDescent="0.25">
      <c r="A42" s="252"/>
      <c r="B42" s="253" t="s">
        <v>406</v>
      </c>
      <c r="C42" s="254" t="s">
        <v>407</v>
      </c>
      <c r="D42" s="255">
        <v>335640263.04000002</v>
      </c>
      <c r="E42" s="256">
        <f>'Проверочная  таблица'!XW37</f>
        <v>335640263.04000002</v>
      </c>
      <c r="F42" s="256">
        <f>'Проверочная  таблица'!YH37</f>
        <v>176246821.08000001</v>
      </c>
      <c r="G42" s="257">
        <f>D42-E42</f>
        <v>0</v>
      </c>
      <c r="H42" s="249">
        <f>IF(F42&gt;E42,1,0)</f>
        <v>0</v>
      </c>
      <c r="I42" s="249">
        <f>IF(G42&lt;0,1,0)</f>
        <v>0</v>
      </c>
    </row>
    <row r="43" spans="1:10" ht="102" x14ac:dyDescent="0.25">
      <c r="A43" s="1206"/>
      <c r="B43" s="253" t="s">
        <v>409</v>
      </c>
      <c r="C43" s="254" t="s">
        <v>410</v>
      </c>
      <c r="D43" s="255">
        <v>10407031.060000001</v>
      </c>
      <c r="E43" s="1207">
        <f>Бюджетирование!F38</f>
        <v>10407031.059999999</v>
      </c>
      <c r="F43" s="1207">
        <f>Бюджетирование!G38</f>
        <v>0</v>
      </c>
      <c r="G43" s="257">
        <f>D43-E43</f>
        <v>0</v>
      </c>
      <c r="H43" s="249">
        <f>IF(F43&gt;E43,1,0)</f>
        <v>0</v>
      </c>
      <c r="I43" s="249">
        <f>IF(G43&lt;0,1,0)</f>
        <v>0</v>
      </c>
    </row>
    <row r="44" spans="1:10" x14ac:dyDescent="0.25">
      <c r="A44" s="252"/>
      <c r="B44" s="253"/>
      <c r="C44" s="254"/>
      <c r="D44" s="255"/>
      <c r="E44" s="256"/>
      <c r="F44" s="256"/>
      <c r="G44" s="257"/>
      <c r="H44" s="249"/>
      <c r="I44" s="249"/>
    </row>
    <row r="45" spans="1:10" hidden="1" x14ac:dyDescent="0.25">
      <c r="A45" s="245">
        <v>1402</v>
      </c>
      <c r="B45" s="246" t="s">
        <v>408</v>
      </c>
      <c r="C45" s="247"/>
      <c r="D45" s="248">
        <f>SUM(D47:D47)</f>
        <v>0</v>
      </c>
      <c r="E45" s="248">
        <f>SUM(E47:E47)</f>
        <v>0</v>
      </c>
      <c r="F45" s="248">
        <f>SUM(F47:F47)</f>
        <v>0</v>
      </c>
      <c r="G45" s="248">
        <f>SUM(G47:G47)</f>
        <v>0</v>
      </c>
      <c r="H45" s="249">
        <f>IF(F45&gt;E45,1,0)</f>
        <v>0</v>
      </c>
      <c r="I45" s="249">
        <f>IF(G45&lt;0,1,0)</f>
        <v>0</v>
      </c>
    </row>
    <row r="46" spans="1:10" hidden="1" x14ac:dyDescent="0.25">
      <c r="A46" s="250"/>
      <c r="B46" s="238" t="s">
        <v>375</v>
      </c>
      <c r="C46" s="215"/>
      <c r="D46" s="215"/>
      <c r="E46" s="251"/>
      <c r="F46" s="251"/>
      <c r="G46" s="215"/>
      <c r="H46" s="249">
        <f>IF(F46&gt;E46,1,0)</f>
        <v>0</v>
      </c>
      <c r="I46" s="249">
        <f>IF(G46&lt;0,1,0)</f>
        <v>0</v>
      </c>
    </row>
    <row r="47" spans="1:10" ht="102" hidden="1" x14ac:dyDescent="0.25">
      <c r="A47" s="252"/>
      <c r="B47" s="253" t="s">
        <v>409</v>
      </c>
      <c r="C47" s="254" t="s">
        <v>410</v>
      </c>
      <c r="D47" s="255"/>
      <c r="E47" s="1207"/>
      <c r="F47" s="1207"/>
      <c r="G47" s="257">
        <f>D47-E47</f>
        <v>0</v>
      </c>
      <c r="H47" s="249">
        <f>IF(F47&gt;E47,1,0)</f>
        <v>0</v>
      </c>
      <c r="I47" s="249">
        <f>IF(G47&lt;0,1,0)</f>
        <v>0</v>
      </c>
    </row>
    <row r="48" spans="1:10" hidden="1" x14ac:dyDescent="0.25">
      <c r="A48" s="252"/>
      <c r="B48" s="253"/>
      <c r="C48" s="254"/>
      <c r="D48" s="255"/>
      <c r="E48" s="256"/>
      <c r="F48" s="256"/>
      <c r="G48" s="257"/>
      <c r="H48" s="249"/>
      <c r="I48" s="249"/>
    </row>
    <row r="49" spans="1:9" ht="25.5" x14ac:dyDescent="0.25">
      <c r="A49" s="245">
        <v>1403</v>
      </c>
      <c r="B49" s="246" t="s">
        <v>411</v>
      </c>
      <c r="C49" s="247"/>
      <c r="D49" s="248">
        <f>SUM(D51:D52)</f>
        <v>735063223.83000004</v>
      </c>
      <c r="E49" s="248">
        <f t="shared" ref="E49:G49" si="15">SUM(E51:E52)</f>
        <v>725966447.93000007</v>
      </c>
      <c r="F49" s="248">
        <f t="shared" si="15"/>
        <v>198677444.36000004</v>
      </c>
      <c r="G49" s="248">
        <f t="shared" si="15"/>
        <v>9096775.8999999762</v>
      </c>
      <c r="H49" s="249">
        <f>IF(F49&gt;E49,1,0)</f>
        <v>0</v>
      </c>
      <c r="I49" s="249">
        <f>IF(G49&lt;0,1,0)</f>
        <v>0</v>
      </c>
    </row>
    <row r="50" spans="1:9" x14ac:dyDescent="0.25">
      <c r="A50" s="250"/>
      <c r="B50" s="238" t="s">
        <v>375</v>
      </c>
      <c r="C50" s="215"/>
      <c r="D50" s="215"/>
      <c r="E50" s="251"/>
      <c r="F50" s="251"/>
      <c r="G50" s="215"/>
      <c r="H50" s="249">
        <f>IF(F50&gt;E50,1,0)</f>
        <v>0</v>
      </c>
      <c r="I50" s="249">
        <f>IF(G50&lt;0,1,0)</f>
        <v>0</v>
      </c>
    </row>
    <row r="51" spans="1:9" ht="127.5" x14ac:dyDescent="0.25">
      <c r="A51" s="252"/>
      <c r="B51" s="253" t="s">
        <v>412</v>
      </c>
      <c r="C51" s="254" t="s">
        <v>413</v>
      </c>
      <c r="D51" s="255">
        <f>500000000+140000000+29000000+10000000</f>
        <v>679000000</v>
      </c>
      <c r="E51" s="256">
        <f>'Проверочная  таблица'!YB38</f>
        <v>669903224.10000002</v>
      </c>
      <c r="F51" s="256">
        <f>'Проверочная  таблица'!YM38</f>
        <v>188188837.81000003</v>
      </c>
      <c r="G51" s="257">
        <f>D51-E51</f>
        <v>9096775.8999999762</v>
      </c>
      <c r="H51" s="249">
        <f>IF(F51&gt;E51,1,0)</f>
        <v>0</v>
      </c>
      <c r="I51" s="249">
        <f>IF(G51&lt;0,1,0)</f>
        <v>0</v>
      </c>
    </row>
    <row r="52" spans="1:9" ht="102" x14ac:dyDescent="0.25">
      <c r="A52" s="1115"/>
      <c r="B52" s="253" t="s">
        <v>409</v>
      </c>
      <c r="C52" s="254" t="s">
        <v>410</v>
      </c>
      <c r="D52" s="255">
        <f>10488606.55+45574617.28</f>
        <v>56063223.829999998</v>
      </c>
      <c r="E52" s="1207">
        <f>Бюджетирование!F39</f>
        <v>56063223.830000006</v>
      </c>
      <c r="F52" s="1207">
        <f>Бюджетирование!G39</f>
        <v>10488606.550000001</v>
      </c>
      <c r="G52" s="257">
        <f>D52-E52</f>
        <v>0</v>
      </c>
      <c r="H52" s="249">
        <f>IF(F52&gt;E52,1,0)</f>
        <v>0</v>
      </c>
      <c r="I52" s="249">
        <f>IF(G52&lt;0,1,0)</f>
        <v>0</v>
      </c>
    </row>
    <row r="53" spans="1:9" x14ac:dyDescent="0.25">
      <c r="A53" s="252"/>
      <c r="B53" s="253"/>
      <c r="C53" s="254"/>
      <c r="D53" s="255"/>
      <c r="E53" s="273"/>
      <c r="F53" s="273"/>
      <c r="G53" s="257"/>
      <c r="H53" s="249"/>
      <c r="I53" s="249"/>
    </row>
    <row r="54" spans="1:9" s="285" customFormat="1" x14ac:dyDescent="0.25">
      <c r="A54" s="1865" t="s">
        <v>31</v>
      </c>
      <c r="B54" s="1865"/>
      <c r="C54" s="283"/>
      <c r="D54" s="283">
        <f>D25+D19+D40+D14+D49+D35+D8+D45</f>
        <v>3604360066.77</v>
      </c>
      <c r="E54" s="283">
        <f t="shared" ref="E54:G54" si="16">E25+E19+E40+E14+E49+E35+E8+E45</f>
        <v>4100240062.3800001</v>
      </c>
      <c r="F54" s="283">
        <f t="shared" si="16"/>
        <v>1910716929.5900002</v>
      </c>
      <c r="G54" s="283">
        <f t="shared" si="16"/>
        <v>-495879995.61000001</v>
      </c>
      <c r="H54" s="284">
        <f>SUM(H19:H31)</f>
        <v>0</v>
      </c>
      <c r="I54" s="284">
        <f>SUM(I19:I31)</f>
        <v>2</v>
      </c>
    </row>
    <row r="55" spans="1:9" x14ac:dyDescent="0.25">
      <c r="D55" s="286">
        <f>D54-'[1]Иные межбюджетные трансферты'!$B$39+'[1]Иные межбюджетные трансферты'!$B$45</f>
        <v>0</v>
      </c>
      <c r="E55" s="286">
        <f>E54-'[1]Иные межбюджетные трансферты'!$B$35</f>
        <v>803184249.69999981</v>
      </c>
      <c r="G55" s="286">
        <f>G54-'[1]Иные межбюджетные трансферты'!$B$37*1000</f>
        <v>-803184249.70000005</v>
      </c>
    </row>
    <row r="56" spans="1:9" x14ac:dyDescent="0.25">
      <c r="I56" s="1142"/>
    </row>
    <row r="57" spans="1:9" x14ac:dyDescent="0.25">
      <c r="C57" s="1863" t="s">
        <v>414</v>
      </c>
      <c r="D57" s="1863"/>
      <c r="E57" s="1863"/>
      <c r="F57" s="1863"/>
      <c r="G57" s="1863"/>
      <c r="I57" s="1143"/>
    </row>
    <row r="58" spans="1:9" x14ac:dyDescent="0.25">
      <c r="C58" s="287" t="s">
        <v>415</v>
      </c>
      <c r="D58" s="288">
        <f>D54-D61</f>
        <v>2718709222.6199999</v>
      </c>
      <c r="E58" s="288">
        <f>E54-E61</f>
        <v>3374602505.5799999</v>
      </c>
      <c r="F58" s="288">
        <f>F54-F61</f>
        <v>1371494196.9300003</v>
      </c>
      <c r="G58" s="288">
        <f>G54-G61</f>
        <v>-655893282.96000004</v>
      </c>
    </row>
    <row r="59" spans="1:9" x14ac:dyDescent="0.25">
      <c r="C59" s="289"/>
      <c r="D59" s="289"/>
      <c r="E59" s="289"/>
      <c r="F59" s="289"/>
      <c r="G59" s="289"/>
    </row>
    <row r="60" spans="1:9" x14ac:dyDescent="0.25">
      <c r="C60" s="1863" t="s">
        <v>416</v>
      </c>
      <c r="D60" s="1863"/>
      <c r="E60" s="1863"/>
      <c r="F60" s="1863"/>
      <c r="G60" s="1863"/>
    </row>
    <row r="61" spans="1:9" x14ac:dyDescent="0.25">
      <c r="C61" s="287" t="s">
        <v>415</v>
      </c>
      <c r="D61" s="288">
        <f>D30+D38+D33+D28</f>
        <v>885650844.14999998</v>
      </c>
      <c r="E61" s="288">
        <f t="shared" ref="E61:G61" si="17">E30+E38+E33+E28</f>
        <v>725637556.79999995</v>
      </c>
      <c r="F61" s="288">
        <f t="shared" si="17"/>
        <v>539222732.65999997</v>
      </c>
      <c r="G61" s="288">
        <f t="shared" si="17"/>
        <v>160013287.34999999</v>
      </c>
    </row>
    <row r="62" spans="1:9" ht="15.75" thickBot="1" x14ac:dyDescent="0.3"/>
    <row r="63" spans="1:9" ht="15.75" thickBot="1" x14ac:dyDescent="0.3">
      <c r="C63" s="285" t="s">
        <v>417</v>
      </c>
      <c r="D63" s="375">
        <v>894935744.14999998</v>
      </c>
      <c r="E63" s="289"/>
      <c r="F63" s="375">
        <v>545164804.29999995</v>
      </c>
      <c r="G63" s="289"/>
    </row>
    <row r="64" spans="1:9" ht="42.95" customHeight="1" x14ac:dyDescent="0.25">
      <c r="B64" s="290" t="s">
        <v>418</v>
      </c>
      <c r="C64" s="291" t="s">
        <v>419</v>
      </c>
      <c r="D64" s="10">
        <v>9284900</v>
      </c>
      <c r="E64" s="289"/>
      <c r="F64" s="10">
        <v>5942071.6399999997</v>
      </c>
      <c r="G64" s="289"/>
    </row>
    <row r="65" spans="1:9" x14ac:dyDescent="0.25">
      <c r="B65" s="292"/>
      <c r="C65" s="285"/>
      <c r="D65" s="293"/>
      <c r="E65" s="289"/>
      <c r="F65" s="294"/>
      <c r="G65" s="289"/>
    </row>
    <row r="66" spans="1:9" x14ac:dyDescent="0.25">
      <c r="C66" s="285" t="s">
        <v>420</v>
      </c>
      <c r="D66" s="295">
        <f>SUM(D64:D65)</f>
        <v>9284900</v>
      </c>
      <c r="E66" s="289"/>
      <c r="F66" s="295">
        <f>SUM(F64:F65)</f>
        <v>5942071.6399999997</v>
      </c>
      <c r="G66" s="289"/>
    </row>
    <row r="67" spans="1:9" x14ac:dyDescent="0.25">
      <c r="C67" s="296" t="s">
        <v>421</v>
      </c>
      <c r="D67" s="297">
        <f>D63-D61-D66</f>
        <v>0</v>
      </c>
      <c r="E67" s="289"/>
      <c r="F67" s="297">
        <f>F63-F61-F66</f>
        <v>-1.3969838619232178E-8</v>
      </c>
      <c r="G67" s="289"/>
    </row>
    <row r="68" spans="1:9" x14ac:dyDescent="0.25">
      <c r="C68" s="289"/>
      <c r="D68" s="289"/>
      <c r="E68" s="289"/>
      <c r="F68" s="289"/>
      <c r="G68" s="289"/>
    </row>
    <row r="70" spans="1:9" ht="102" x14ac:dyDescent="0.25">
      <c r="A70" s="252"/>
      <c r="B70" s="253" t="s">
        <v>409</v>
      </c>
      <c r="C70" s="254" t="s">
        <v>410</v>
      </c>
      <c r="D70" s="259">
        <f>D52+D47+D43+D23</f>
        <v>110488606.55</v>
      </c>
      <c r="E70" s="259">
        <f t="shared" ref="E70:G70" si="18">E52+E47+E43+E23</f>
        <v>108831830.59</v>
      </c>
      <c r="F70" s="259">
        <f t="shared" si="18"/>
        <v>11273892.15</v>
      </c>
      <c r="G70" s="259">
        <f t="shared" si="18"/>
        <v>1656775.9599999934</v>
      </c>
      <c r="H70" s="249">
        <f>IF(F70&gt;E70,1,0)</f>
        <v>0</v>
      </c>
      <c r="I70" s="249">
        <f>IF(G70&lt;0,1,0)</f>
        <v>0</v>
      </c>
    </row>
  </sheetData>
  <mergeCells count="6">
    <mergeCell ref="C60:G60"/>
    <mergeCell ref="A2:G2"/>
    <mergeCell ref="A3:G3"/>
    <mergeCell ref="A4:G4"/>
    <mergeCell ref="A54:B54"/>
    <mergeCell ref="C57:G57"/>
  </mergeCells>
  <pageMargins left="0.78740157480314965" right="0.39370078740157483" top="0.78740157480314965" bottom="0.78740157480314965" header="0.51181102362204722" footer="0.51181102362204722"/>
  <pageSetup paperSize="9" scale="50" fitToHeight="2" orientation="portrait" r:id="rId1"/>
  <headerFooter alignWithMargins="0">
    <oddFooter>&amp;R&amp;Z&amp;F&amp;A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I35"/>
  <sheetViews>
    <sheetView topLeftCell="A2" zoomScale="70" zoomScaleNormal="70" zoomScaleSheetLayoutView="70" workbookViewId="0">
      <pane xSplit="1" ySplit="4" topLeftCell="B6" activePane="bottomRight" state="frozen"/>
      <selection activeCell="D27" sqref="D27"/>
      <selection pane="topRight" activeCell="D27" sqref="D27"/>
      <selection pane="bottomLeft" activeCell="D27" sqref="D27"/>
      <selection pane="bottomRight" activeCell="H26" sqref="H26"/>
    </sheetView>
  </sheetViews>
  <sheetFormatPr defaultColWidth="8.85546875" defaultRowHeight="15" x14ac:dyDescent="0.25"/>
  <cols>
    <col min="1" max="1" width="66.7109375" style="241" customWidth="1"/>
    <col min="2" max="2" width="18" style="213" customWidth="1"/>
    <col min="3" max="5" width="21.85546875" style="212" customWidth="1"/>
    <col min="6" max="7" width="21.85546875" style="214" customWidth="1"/>
    <col min="8" max="8" width="22" style="212" customWidth="1"/>
    <col min="9" max="9" width="20.85546875" style="212" customWidth="1"/>
    <col min="10" max="16384" width="8.85546875" style="212"/>
  </cols>
  <sheetData>
    <row r="2" spans="1:9" x14ac:dyDescent="0.25">
      <c r="A2" s="1845" t="s">
        <v>367</v>
      </c>
      <c r="B2" s="1845"/>
      <c r="C2" s="1845"/>
      <c r="D2" s="1845"/>
      <c r="E2" s="1845"/>
      <c r="F2" s="1845"/>
      <c r="G2" s="1845"/>
      <c r="H2" s="1845"/>
      <c r="I2" s="1845"/>
    </row>
    <row r="4" spans="1:9" x14ac:dyDescent="0.25">
      <c r="I4" s="212" t="s">
        <v>355</v>
      </c>
    </row>
    <row r="5" spans="1:9" x14ac:dyDescent="0.25">
      <c r="A5" s="238" t="s">
        <v>356</v>
      </c>
      <c r="B5" s="238" t="s">
        <v>357</v>
      </c>
      <c r="C5" s="238" t="s">
        <v>358</v>
      </c>
      <c r="D5" s="232" t="s">
        <v>359</v>
      </c>
      <c r="E5" s="232" t="s">
        <v>360</v>
      </c>
      <c r="F5" s="239" t="s">
        <v>361</v>
      </c>
      <c r="G5" s="239" t="s">
        <v>362</v>
      </c>
      <c r="H5" s="238" t="s">
        <v>363</v>
      </c>
      <c r="I5" s="238" t="s">
        <v>364</v>
      </c>
    </row>
    <row r="6" spans="1:9" s="223" customFormat="1" ht="60" x14ac:dyDescent="0.25">
      <c r="A6" s="226" t="str">
        <f>Субсидия!B275</f>
        <v>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v>
      </c>
      <c r="B6" s="219" t="str">
        <f>Субсидия!C275</f>
        <v>04 1 E1 52390</v>
      </c>
      <c r="C6" s="222">
        <f>Субсидия!D279</f>
        <v>844127500</v>
      </c>
      <c r="D6" s="10">
        <v>844127500</v>
      </c>
      <c r="E6" s="10">
        <v>721311012.22000003</v>
      </c>
      <c r="F6" s="240">
        <f t="shared" ref="F6:F32" si="0">C6-D6</f>
        <v>0</v>
      </c>
      <c r="G6" s="240">
        <f t="shared" ref="G6:G32" si="1">I6-E6</f>
        <v>0</v>
      </c>
      <c r="H6" s="222">
        <f>Субсидия!E279</f>
        <v>844127500</v>
      </c>
      <c r="I6" s="222">
        <f>Субсидия!F279</f>
        <v>721311012.22000003</v>
      </c>
    </row>
    <row r="7" spans="1:9" s="223" customFormat="1" ht="105" x14ac:dyDescent="0.25">
      <c r="A7" s="226" t="str">
        <f>Субсидия!B299</f>
        <v>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в рамках регионального проекта "Успех каждого ребенка" государственной программы Липецкой области "Развитие образования Липецкой области"</v>
      </c>
      <c r="B7" s="219" t="str">
        <f>Субсидия!C299</f>
        <v>04 1 E2 50980</v>
      </c>
      <c r="C7" s="222">
        <f>Субсидия!D302</f>
        <v>5982800</v>
      </c>
      <c r="D7" s="10">
        <v>5982800</v>
      </c>
      <c r="E7" s="10">
        <v>4526356.16</v>
      </c>
      <c r="F7" s="240">
        <f t="shared" si="0"/>
        <v>0</v>
      </c>
      <c r="G7" s="240">
        <f t="shared" si="1"/>
        <v>0</v>
      </c>
      <c r="H7" s="222">
        <f>Субсидия!E302</f>
        <v>5982800</v>
      </c>
      <c r="I7" s="222">
        <f>Субсидия!F302</f>
        <v>4526356.16</v>
      </c>
    </row>
    <row r="8" spans="1:9" s="223" customFormat="1" ht="90" x14ac:dyDescent="0.25">
      <c r="A8" s="226" t="str">
        <f>Субсидия!B311</f>
        <v>Реализация мероприятий по модернизации школьных систем образования (с однолетним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v>
      </c>
      <c r="B8" s="219" t="str">
        <f>Субсидия!C311</f>
        <v xml:space="preserve">04 2 01 R7501 </v>
      </c>
      <c r="C8" s="222">
        <f>Субсидия!D314</f>
        <v>478133400</v>
      </c>
      <c r="D8" s="10">
        <v>478133400</v>
      </c>
      <c r="E8" s="10">
        <v>357895782.44999999</v>
      </c>
      <c r="F8" s="240">
        <f t="shared" si="0"/>
        <v>0</v>
      </c>
      <c r="G8" s="240">
        <f t="shared" si="1"/>
        <v>28472813.310000002</v>
      </c>
      <c r="H8" s="222">
        <f>Субсидия!E314</f>
        <v>478133400</v>
      </c>
      <c r="I8" s="222">
        <f>Субсидия!F314</f>
        <v>386368595.75999999</v>
      </c>
    </row>
    <row r="9" spans="1:9" s="223" customFormat="1" ht="90" x14ac:dyDescent="0.25">
      <c r="A9" s="226" t="str">
        <f>Субсидия!B317</f>
        <v>Реализация мероприятий по модернизации школьных систем образования (с двухлетним циклом выполнения работ) в рамках регионального проекта "Модернизация школьных систем образования" государственной программы Липецкой области "Развитие образования Липецкой области"</v>
      </c>
      <c r="B9" s="219" t="str">
        <f>Субсидия!C317</f>
        <v>04 2 01 R7502</v>
      </c>
      <c r="C9" s="222">
        <f>Субсидия!D320</f>
        <v>78.84</v>
      </c>
      <c r="D9" s="10">
        <v>78.84</v>
      </c>
      <c r="E9" s="10">
        <v>0</v>
      </c>
      <c r="F9" s="240">
        <f t="shared" ref="F9" si="2">C9-D9</f>
        <v>0</v>
      </c>
      <c r="G9" s="240">
        <f t="shared" ref="G9" si="3">I9-E9</f>
        <v>0</v>
      </c>
      <c r="H9" s="222">
        <f>Субсидия!E320</f>
        <v>0</v>
      </c>
      <c r="I9" s="222">
        <f>Субсидия!F320</f>
        <v>0</v>
      </c>
    </row>
    <row r="10" spans="1:9" s="223" customFormat="1" ht="60" x14ac:dyDescent="0.25">
      <c r="A10" s="226" t="str">
        <f>Субсидия!B387</f>
        <v xml:space="preserve">Создание модельных муниципальных библиотек в рамках регионального проекта "Культурная среда" государственной программы Липецкой области "Развитие культуры и туризма в Липецкой области" </v>
      </c>
      <c r="B10" s="219" t="str">
        <f>Субсидия!C387</f>
        <v>05 1 A1 54540</v>
      </c>
      <c r="C10" s="222">
        <f>Субсидия!D390</f>
        <v>21850000</v>
      </c>
      <c r="D10" s="10">
        <v>21850000</v>
      </c>
      <c r="E10" s="10">
        <v>11088637.470000001</v>
      </c>
      <c r="F10" s="240">
        <f t="shared" si="0"/>
        <v>0</v>
      </c>
      <c r="G10" s="240">
        <f t="shared" si="1"/>
        <v>8320714.2599999998</v>
      </c>
      <c r="H10" s="222">
        <f>Субсидия!E390</f>
        <v>21850000</v>
      </c>
      <c r="I10" s="222">
        <f>Субсидия!F390</f>
        <v>19409351.73</v>
      </c>
    </row>
    <row r="11" spans="1:9" s="223" customFormat="1" ht="135" x14ac:dyDescent="0.25">
      <c r="A11" s="226" t="str">
        <f>Субсидия!B396</f>
        <v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v>
      </c>
      <c r="B11" s="219" t="str">
        <f>Субсидия!C396</f>
        <v>05 1 A1 55131</v>
      </c>
      <c r="C11" s="222">
        <f>Субсидия!D400</f>
        <v>29785800</v>
      </c>
      <c r="D11" s="10">
        <v>29785800</v>
      </c>
      <c r="E11" s="10">
        <v>17996930.719999999</v>
      </c>
      <c r="F11" s="240">
        <f t="shared" si="0"/>
        <v>0</v>
      </c>
      <c r="G11" s="240">
        <f t="shared" si="1"/>
        <v>674643.59000000358</v>
      </c>
      <c r="H11" s="222">
        <f>Субсидия!E400</f>
        <v>29785800</v>
      </c>
      <c r="I11" s="222">
        <f>Субсидия!F400</f>
        <v>18671574.310000002</v>
      </c>
    </row>
    <row r="12" spans="1:9" s="223" customFormat="1" ht="105" x14ac:dyDescent="0.25">
      <c r="A12" s="226" t="str">
        <f>Субсидия!B347</f>
        <v>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v>
      </c>
      <c r="B12" s="219" t="str">
        <f>Субсидия!C347</f>
        <v>05 1 A1 5519Б</v>
      </c>
      <c r="C12" s="222">
        <f>Субсидия!D351</f>
        <v>4757600</v>
      </c>
      <c r="D12" s="10">
        <v>4757600</v>
      </c>
      <c r="E12" s="10">
        <v>484797.61</v>
      </c>
      <c r="F12" s="240">
        <f t="shared" si="0"/>
        <v>0</v>
      </c>
      <c r="G12" s="240">
        <f t="shared" si="1"/>
        <v>0</v>
      </c>
      <c r="H12" s="222">
        <f>Субсидия!E351</f>
        <v>4757600</v>
      </c>
      <c r="I12" s="222">
        <f>Субсидия!F351</f>
        <v>484797.61</v>
      </c>
    </row>
    <row r="13" spans="1:9" s="223" customFormat="1" ht="60" x14ac:dyDescent="0.25">
      <c r="A13" s="226" t="str">
        <f>Субсидия!B404</f>
        <v xml:space="preserve">Оснащение региональных и муниципальных театров в рамках регионального проекта "Культурная среда" государственной программы Липецкой области "Развитие культуры и туризма в Липецкой области" </v>
      </c>
      <c r="B13" s="219" t="str">
        <f>Субсидия!C404</f>
        <v>05 1 A1 55840</v>
      </c>
      <c r="C13" s="222">
        <f>Субсидия!D407</f>
        <v>6625800</v>
      </c>
      <c r="D13" s="10">
        <v>6625800</v>
      </c>
      <c r="E13" s="10">
        <v>2103223.0099999998</v>
      </c>
      <c r="F13" s="240">
        <f t="shared" si="0"/>
        <v>0</v>
      </c>
      <c r="G13" s="240">
        <f t="shared" si="1"/>
        <v>1014600</v>
      </c>
      <c r="H13" s="222">
        <f>Субсидия!E407</f>
        <v>6625800</v>
      </c>
      <c r="I13" s="222">
        <f>Субсидия!F407</f>
        <v>3117823.01</v>
      </c>
    </row>
    <row r="14" spans="1:9" s="223" customFormat="1" ht="60" x14ac:dyDescent="0.25">
      <c r="A14" s="226" t="str">
        <f>Субсидия!B425</f>
        <v xml:space="preserve">Создание виртуальных концертных залов в рамках регионального проекта  "Цифровая культура" государственной программы Липецкой области "Развитие культуры и туризма в Липецкой области" </v>
      </c>
      <c r="B14" s="219" t="str">
        <f>Субсидия!C425</f>
        <v>05 1 A3 54530</v>
      </c>
      <c r="C14" s="222">
        <f>Субсидия!D428</f>
        <v>2500000</v>
      </c>
      <c r="D14" s="10">
        <v>2500000</v>
      </c>
      <c r="E14" s="10">
        <v>0</v>
      </c>
      <c r="F14" s="240">
        <f t="shared" si="0"/>
        <v>0</v>
      </c>
      <c r="G14" s="240">
        <f t="shared" si="1"/>
        <v>2500000</v>
      </c>
      <c r="H14" s="222">
        <f>Субсидия!E428</f>
        <v>2500000</v>
      </c>
      <c r="I14" s="222">
        <f>Субсидия!F428</f>
        <v>2500000</v>
      </c>
    </row>
    <row r="15" spans="1:9" s="223" customFormat="1" ht="135" x14ac:dyDescent="0.25">
      <c r="A15" s="226" t="str">
        <f>Субсидия!B431</f>
        <v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5" s="219" t="str">
        <f>Субсидия!C431</f>
        <v>05 4 02 R4660</v>
      </c>
      <c r="C15" s="222">
        <f>Субсидия!D434</f>
        <v>2488300</v>
      </c>
      <c r="D15" s="10">
        <v>2488300</v>
      </c>
      <c r="E15" s="10">
        <v>2488300</v>
      </c>
      <c r="F15" s="240">
        <f t="shared" si="0"/>
        <v>0</v>
      </c>
      <c r="G15" s="240">
        <f t="shared" si="1"/>
        <v>0</v>
      </c>
      <c r="H15" s="222">
        <f>Субсидия!E434</f>
        <v>2488300</v>
      </c>
      <c r="I15" s="222">
        <f>Субсидия!F434</f>
        <v>2488300</v>
      </c>
    </row>
    <row r="16" spans="1:9" s="223" customFormat="1" ht="150" x14ac:dyDescent="0.25">
      <c r="A16" s="226" t="str">
        <f>Субсидия!B443</f>
        <v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6" s="219" t="str">
        <f>Субсидия!C443</f>
        <v xml:space="preserve">05 4 02 R5191 </v>
      </c>
      <c r="C16" s="222">
        <f>Субсидия!D447</f>
        <v>3683299.99</v>
      </c>
      <c r="D16" s="10">
        <v>3683299.99</v>
      </c>
      <c r="E16" s="10">
        <v>3683299.97</v>
      </c>
      <c r="F16" s="240">
        <f t="shared" si="0"/>
        <v>0</v>
      </c>
      <c r="G16" s="240">
        <f t="shared" si="1"/>
        <v>0</v>
      </c>
      <c r="H16" s="222">
        <f>Субсидия!E447</f>
        <v>168192399.99000001</v>
      </c>
      <c r="I16" s="222">
        <f>Субсидия!F447</f>
        <v>3683299.9699999997</v>
      </c>
    </row>
    <row r="17" spans="1:9" s="223" customFormat="1" ht="135" x14ac:dyDescent="0.25">
      <c r="A17" s="226" t="str">
        <f>Субсидия!B209</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7" s="219" t="str">
        <f>Субсидия!C209</f>
        <v>06 1 F2 54240</v>
      </c>
      <c r="C17" s="222">
        <f>Субсидия!D213</f>
        <v>164509100</v>
      </c>
      <c r="D17" s="10">
        <v>164509100</v>
      </c>
      <c r="E17" s="10">
        <v>164509100</v>
      </c>
      <c r="F17" s="240">
        <f t="shared" si="0"/>
        <v>0</v>
      </c>
      <c r="G17" s="240">
        <f t="shared" si="1"/>
        <v>0</v>
      </c>
      <c r="H17" s="222">
        <f>Субсидия!E213</f>
        <v>167793311.36000001</v>
      </c>
      <c r="I17" s="222">
        <f>Субсидия!F213</f>
        <v>164509100</v>
      </c>
    </row>
    <row r="18" spans="1:9" s="223" customFormat="1" ht="105" x14ac:dyDescent="0.25">
      <c r="A18" s="226" t="str">
        <f>Субсидия!B217</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8" s="219" t="str">
        <f>Субсидия!C217</f>
        <v>06 1 F2 55550</v>
      </c>
      <c r="C18" s="222">
        <f>Субсидия!D221</f>
        <v>272384500</v>
      </c>
      <c r="D18" s="10">
        <v>272384500</v>
      </c>
      <c r="E18" s="10">
        <v>208735204.40000001</v>
      </c>
      <c r="F18" s="240">
        <f t="shared" si="0"/>
        <v>0</v>
      </c>
      <c r="G18" s="240">
        <f t="shared" si="1"/>
        <v>12664967.620000005</v>
      </c>
      <c r="H18" s="222">
        <f>Субсидия!E221</f>
        <v>416944914.11000001</v>
      </c>
      <c r="I18" s="222">
        <f>Субсидия!F221</f>
        <v>221400172.02000001</v>
      </c>
    </row>
    <row r="19" spans="1:9" s="223" customFormat="1" ht="150" x14ac:dyDescent="0.25">
      <c r="A19" s="226" t="str">
        <f>Субсидия!B143</f>
        <v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9" s="219" t="str">
        <f>Субсидия!C143</f>
        <v>06 1 F5 52432</v>
      </c>
      <c r="C19" s="222">
        <f>Субсидия!D146</f>
        <v>115116800</v>
      </c>
      <c r="D19" s="10">
        <v>115116800</v>
      </c>
      <c r="E19" s="10">
        <v>104137919.87</v>
      </c>
      <c r="F19" s="240">
        <f t="shared" si="0"/>
        <v>0</v>
      </c>
      <c r="G19" s="240">
        <f t="shared" si="1"/>
        <v>0</v>
      </c>
      <c r="H19" s="222">
        <f>Субсидия!E146</f>
        <v>197611636.71000001</v>
      </c>
      <c r="I19" s="222">
        <f>Субсидия!F146</f>
        <v>104137919.87</v>
      </c>
    </row>
    <row r="20" spans="1:9" s="223" customFormat="1" ht="270" x14ac:dyDescent="0.25">
      <c r="A20" s="226" t="str">
        <f>Субсидия!B125</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20" s="219" t="str">
        <f>Субсидия!C125</f>
        <v xml:space="preserve">07 2 01 R5762 </v>
      </c>
      <c r="C20" s="222">
        <f>Субсидия!D128</f>
        <v>219498600</v>
      </c>
      <c r="D20" s="10">
        <v>219498600</v>
      </c>
      <c r="E20" s="10">
        <v>98942086.900000006</v>
      </c>
      <c r="F20" s="240">
        <f t="shared" si="0"/>
        <v>0</v>
      </c>
      <c r="G20" s="240">
        <f t="shared" si="1"/>
        <v>10422416.349999994</v>
      </c>
      <c r="H20" s="222">
        <f>Субсидия!E128</f>
        <v>211966500</v>
      </c>
      <c r="I20" s="222">
        <f>Субсидия!F128</f>
        <v>109364503.25</v>
      </c>
    </row>
    <row r="21" spans="1:9" s="223" customFormat="1" ht="195" x14ac:dyDescent="0.25">
      <c r="A21" s="226" t="str">
        <f>Субсидия!B131</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v>
      </c>
      <c r="B21" s="219" t="str">
        <f>Субсидия!C134</f>
        <v xml:space="preserve">07 2 01 R5764 </v>
      </c>
      <c r="C21" s="219">
        <f>Субсидия!D134</f>
        <v>80816000</v>
      </c>
      <c r="D21" s="10">
        <v>80816000</v>
      </c>
      <c r="E21" s="10">
        <v>0</v>
      </c>
      <c r="F21" s="240">
        <f t="shared" ref="F21" si="4">C21-D21</f>
        <v>0</v>
      </c>
      <c r="G21" s="240">
        <f t="shared" ref="G21" si="5">I21-E21</f>
        <v>0</v>
      </c>
      <c r="H21" s="222">
        <f>Субсидия!E134</f>
        <v>3243333.44</v>
      </c>
      <c r="I21" s="222">
        <f>Субсидия!F134</f>
        <v>0</v>
      </c>
    </row>
    <row r="22" spans="1:9" s="223" customFormat="1" ht="135" x14ac:dyDescent="0.25">
      <c r="A22" s="226" t="str">
        <f>Субсидия!B229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благоустройству общественных пространств на сельских территориях) в рамках регионального проекта "Благоустройство сельских территорий" комплексной государственной программы Липецкой области "Комплексное развитие сельских территорий Липецкой области"</v>
      </c>
      <c r="B22" s="219" t="str">
        <f>Субсидия!C229</f>
        <v>07 2 02 R5763</v>
      </c>
      <c r="C22" s="222">
        <f>Субсидия!D232</f>
        <v>10309200</v>
      </c>
      <c r="D22" s="10">
        <v>10309200</v>
      </c>
      <c r="E22" s="10">
        <v>4431457.33</v>
      </c>
      <c r="F22" s="240">
        <f t="shared" si="0"/>
        <v>0</v>
      </c>
      <c r="G22" s="240">
        <f t="shared" si="1"/>
        <v>2751324.9700000007</v>
      </c>
      <c r="H22" s="222">
        <f>Субсидия!E232</f>
        <v>10309200</v>
      </c>
      <c r="I22" s="222">
        <f>Субсидия!F232</f>
        <v>7182782.3000000007</v>
      </c>
    </row>
    <row r="23" spans="1:9" s="223" customFormat="1" ht="135" x14ac:dyDescent="0.25">
      <c r="A23" s="226" t="str">
        <f>Субсидия!B65</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3" s="219" t="str">
        <f>Субсидия!C65</f>
        <v>07 2 03 R3722</v>
      </c>
      <c r="C23" s="222">
        <f>Субсидия!D69</f>
        <v>245465200</v>
      </c>
      <c r="D23" s="10">
        <v>245465200</v>
      </c>
      <c r="E23" s="10">
        <v>198982205.94999999</v>
      </c>
      <c r="F23" s="240">
        <f t="shared" si="0"/>
        <v>0</v>
      </c>
      <c r="G23" s="240">
        <f t="shared" si="1"/>
        <v>26629961.580000013</v>
      </c>
      <c r="H23" s="222">
        <f>Субсидия!E69</f>
        <v>234131380.22999999</v>
      </c>
      <c r="I23" s="222">
        <f>Субсидия!F69</f>
        <v>225612167.53</v>
      </c>
    </row>
    <row r="24" spans="1:9" s="223" customFormat="1" ht="120" x14ac:dyDescent="0.25">
      <c r="A24" s="226" t="str">
        <f>Субсидия!B499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24" s="219" t="str">
        <f>Субсидия!C499</f>
        <v>07 2 04 R5766</v>
      </c>
      <c r="C24" s="222">
        <f>Субсидия!D502</f>
        <v>1276727800</v>
      </c>
      <c r="D24" s="10">
        <v>1276727800</v>
      </c>
      <c r="E24" s="10">
        <v>879272850.89999998</v>
      </c>
      <c r="F24" s="240">
        <f t="shared" si="0"/>
        <v>0</v>
      </c>
      <c r="G24" s="240">
        <f t="shared" si="1"/>
        <v>65862675.730000019</v>
      </c>
      <c r="H24" s="222">
        <f>Субсидия!E502</f>
        <v>1393266434.3200002</v>
      </c>
      <c r="I24" s="222">
        <f>Субсидия!F502</f>
        <v>945135526.63</v>
      </c>
    </row>
    <row r="25" spans="1:9" s="223" customFormat="1" ht="105" x14ac:dyDescent="0.25">
      <c r="A25" s="226" t="str">
        <f>Субсидия!B73</f>
        <v>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v>
      </c>
      <c r="B25" s="219" t="str">
        <f>Субсидия!C73</f>
        <v>08 1 R1 53940</v>
      </c>
      <c r="C25" s="222">
        <f>Субсидия!D76</f>
        <v>260033228.37</v>
      </c>
      <c r="D25" s="10">
        <v>260033228.37</v>
      </c>
      <c r="E25" s="10">
        <v>170876662.58000001</v>
      </c>
      <c r="F25" s="240">
        <f t="shared" si="0"/>
        <v>0</v>
      </c>
      <c r="G25" s="240">
        <f t="shared" si="1"/>
        <v>10645323.169999987</v>
      </c>
      <c r="H25" s="222">
        <f>Субсидия!E76</f>
        <v>335298439.97000003</v>
      </c>
      <c r="I25" s="222">
        <f>Субсидия!F76</f>
        <v>181521985.75</v>
      </c>
    </row>
    <row r="26" spans="1:9" s="223" customFormat="1" ht="180" x14ac:dyDescent="0.25">
      <c r="A26" s="226" t="str">
        <f>Субсидия!B52</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6" s="219" t="str">
        <f>Субсидия!C52</f>
        <v>08 1 R7 54010</v>
      </c>
      <c r="C26" s="222">
        <f>Субсидия!D56</f>
        <v>1404739120.51</v>
      </c>
      <c r="D26" s="10">
        <v>1404739120.51</v>
      </c>
      <c r="E26" s="10">
        <v>715988056.25999999</v>
      </c>
      <c r="F26" s="240">
        <f t="shared" si="0"/>
        <v>0</v>
      </c>
      <c r="G26" s="240">
        <f t="shared" si="1"/>
        <v>0</v>
      </c>
      <c r="H26" s="222">
        <f>Субсидия!E56</f>
        <v>1404739120.51</v>
      </c>
      <c r="I26" s="222">
        <f>Субсидия!F56</f>
        <v>715988056.25999999</v>
      </c>
    </row>
    <row r="27" spans="1:9" ht="150" x14ac:dyDescent="0.25">
      <c r="A27" s="226" t="str">
        <f>Субсидия!B184</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27" s="219" t="str">
        <f>Субсидия!C184</f>
        <v>09 1 F1 50212</v>
      </c>
      <c r="C27" s="222">
        <f>Субсидия!D187</f>
        <v>66210991.949999988</v>
      </c>
      <c r="D27" s="10"/>
      <c r="E27" s="10"/>
      <c r="F27" s="240">
        <f t="shared" si="0"/>
        <v>66210991.949999988</v>
      </c>
      <c r="G27" s="240">
        <f t="shared" si="1"/>
        <v>6326925.6400000006</v>
      </c>
      <c r="H27" s="222">
        <f>Субсидия!E187</f>
        <v>22014164.57</v>
      </c>
      <c r="I27" s="222">
        <f>Субсидия!F187</f>
        <v>6326925.6400000006</v>
      </c>
    </row>
    <row r="28" spans="1:9" ht="120" x14ac:dyDescent="0.25">
      <c r="A28" s="226" t="str">
        <f>Субсидия!B92</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28" s="219" t="str">
        <f>Субсидия!C92</f>
        <v>09 1 F1 50213</v>
      </c>
      <c r="C28" s="222">
        <f>Субсидия!D95</f>
        <v>1011540300</v>
      </c>
      <c r="D28" s="10"/>
      <c r="E28" s="10"/>
      <c r="F28" s="240">
        <f t="shared" si="0"/>
        <v>1011540300</v>
      </c>
      <c r="G28" s="240">
        <f t="shared" si="1"/>
        <v>377606898.44999999</v>
      </c>
      <c r="H28" s="222">
        <f>Субсидия!E95</f>
        <v>1011540300</v>
      </c>
      <c r="I28" s="222">
        <f>Субсидия!F95</f>
        <v>377606898.44999999</v>
      </c>
    </row>
    <row r="29" spans="1:9" ht="105" x14ac:dyDescent="0.25">
      <c r="A29" s="226" t="str">
        <f>Субсидия!B190</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29" s="219" t="str">
        <f>Субсидия!C190</f>
        <v xml:space="preserve">09 1 F1 50214 </v>
      </c>
      <c r="C29" s="222">
        <f>Субсидия!D193</f>
        <v>127237978.61000001</v>
      </c>
      <c r="D29" s="10"/>
      <c r="E29" s="10"/>
      <c r="F29" s="240">
        <f t="shared" si="0"/>
        <v>127237978.61000001</v>
      </c>
      <c r="G29" s="240">
        <f t="shared" si="1"/>
        <v>66279834.93</v>
      </c>
      <c r="H29" s="222">
        <f>Субсидия!E193</f>
        <v>75345743.200000003</v>
      </c>
      <c r="I29" s="222">
        <f>Субсидия!F193</f>
        <v>66279834.93</v>
      </c>
    </row>
    <row r="30" spans="1:9" s="223" customFormat="1" ht="150" x14ac:dyDescent="0.25">
      <c r="A30" s="226" t="str">
        <f>Субсидия!B37</f>
        <v>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 в рамках регионального проекта "Вовлечение в оборот и комплексная мелиорация земель сельскохозяйственного назначения"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v>
      </c>
      <c r="B30" s="219" t="str">
        <f>Субсидия!C37</f>
        <v>17 2 05 R5990</v>
      </c>
      <c r="C30" s="222">
        <f>Субсидия!D40</f>
        <v>120500</v>
      </c>
      <c r="D30" s="10"/>
      <c r="E30" s="10"/>
      <c r="F30" s="240">
        <f t="shared" si="0"/>
        <v>120500</v>
      </c>
      <c r="G30" s="240">
        <f t="shared" si="1"/>
        <v>0</v>
      </c>
      <c r="H30" s="222">
        <f>Субсидия!E40</f>
        <v>9055887.7100000009</v>
      </c>
      <c r="I30" s="222">
        <f>Субсидия!F40</f>
        <v>0</v>
      </c>
    </row>
    <row r="31" spans="1:9" s="223" customFormat="1" ht="105" x14ac:dyDescent="0.25">
      <c r="A31" s="226" t="str">
        <f>Субсидия!B18</f>
        <v>Проведение комплексных кадастровых работ в рамках комплекса процессных мероприятий "Повышение эффективности оказания государственных (муниципальных) услуг, исполнения государственных функций" государственной программы Липецкой области "Эффективное государственное управление и развитие муниципальной службы в Липецкой области"</v>
      </c>
      <c r="B31" s="219" t="str">
        <f>Субсидия!C18</f>
        <v>19 4 01 R5110</v>
      </c>
      <c r="C31" s="222">
        <f>Субсидия!D21</f>
        <v>6524400</v>
      </c>
      <c r="D31" s="10"/>
      <c r="E31" s="10"/>
      <c r="F31" s="240">
        <f t="shared" si="0"/>
        <v>6524400</v>
      </c>
      <c r="G31" s="240">
        <f t="shared" si="1"/>
        <v>117858.24000000001</v>
      </c>
      <c r="H31" s="222">
        <f>Субсидия!E21</f>
        <v>6524400</v>
      </c>
      <c r="I31" s="222">
        <f>Субсидия!F21</f>
        <v>117858.24000000001</v>
      </c>
    </row>
    <row r="32" spans="1:9" s="223" customFormat="1" ht="165" x14ac:dyDescent="0.25">
      <c r="A32" s="226" t="str">
        <f>Субсидия!B238</f>
        <v xml:space="preserve">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 в рамках комплекса процессных мероприятий "Патриотическое воспитание населения и допризывная подготовка" государственной программы Липецкой области "Реализация внутренней политики Липецкой области"  </v>
      </c>
      <c r="B32" s="219" t="str">
        <f>Субсидия!C238</f>
        <v>20 4 02 R2991</v>
      </c>
      <c r="C32" s="222">
        <f>Субсидия!D241</f>
        <v>18686100</v>
      </c>
      <c r="D32" s="10"/>
      <c r="E32" s="10"/>
      <c r="F32" s="240">
        <f t="shared" si="0"/>
        <v>18686100</v>
      </c>
      <c r="G32" s="240">
        <f t="shared" si="1"/>
        <v>2547532.0500000003</v>
      </c>
      <c r="H32" s="222">
        <f>Субсидия!E241</f>
        <v>18686100</v>
      </c>
      <c r="I32" s="222">
        <f>Субсидия!F241</f>
        <v>2547532.0500000003</v>
      </c>
    </row>
    <row r="33" spans="1:9" x14ac:dyDescent="0.25">
      <c r="A33" s="232" t="s">
        <v>8</v>
      </c>
      <c r="B33" s="233"/>
      <c r="C33" s="235">
        <f t="shared" ref="C33:I33" si="6">SUM(C6:C32)</f>
        <v>6679854398.2699995</v>
      </c>
      <c r="D33" s="235">
        <f t="shared" si="6"/>
        <v>5449534127.71</v>
      </c>
      <c r="E33" s="235">
        <f t="shared" si="6"/>
        <v>3667453883.8000002</v>
      </c>
      <c r="F33" s="235">
        <f t="shared" si="6"/>
        <v>1230320270.5599999</v>
      </c>
      <c r="G33" s="235">
        <f t="shared" si="6"/>
        <v>622838489.88999999</v>
      </c>
      <c r="H33" s="235">
        <f t="shared" si="6"/>
        <v>7082914466.1199999</v>
      </c>
      <c r="I33" s="235">
        <f t="shared" si="6"/>
        <v>4290292373.6899996</v>
      </c>
    </row>
    <row r="34" spans="1:9" x14ac:dyDescent="0.25">
      <c r="C34" s="237">
        <f>C33-Субсидия!D534</f>
        <v>0</v>
      </c>
      <c r="D34" s="237"/>
      <c r="E34" s="237"/>
      <c r="F34" s="236"/>
      <c r="G34" s="236"/>
      <c r="H34" s="237">
        <f>H33-Субсидия!E531</f>
        <v>-36716.640000343323</v>
      </c>
      <c r="I34" s="237">
        <f>I33-Субсидия!F531</f>
        <v>0</v>
      </c>
    </row>
    <row r="35" spans="1:9" x14ac:dyDescent="0.25">
      <c r="C35" s="237"/>
      <c r="D35" s="237"/>
      <c r="E35" s="237"/>
      <c r="F35" s="236"/>
      <c r="G35" s="236"/>
      <c r="H35" s="237"/>
      <c r="I35" s="237"/>
    </row>
  </sheetData>
  <mergeCells count="1">
    <mergeCell ref="A2:I2"/>
  </mergeCells>
  <pageMargins left="0.78740157480314965" right="0.39370078740157483" top="0.59055118110236227" bottom="0.59055118110236227" header="0.31496062992125984" footer="0.31496062992125984"/>
  <pageSetup paperSize="9" scale="57" fitToHeight="4" orientation="landscape" horizontalDpi="300" verticalDpi="300" r:id="rId1"/>
  <headerFooter>
    <oddFooter>&amp;L&amp;P&amp;R&amp;Z&amp;F&amp;A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21"/>
  <sheetViews>
    <sheetView topLeftCell="A2" zoomScale="60" zoomScaleNormal="60" zoomScaleSheetLayoutView="70" workbookViewId="0">
      <pane xSplit="1" ySplit="4" topLeftCell="B16" activePane="bottomRight" state="frozen"/>
      <selection activeCell="D27" sqref="D27"/>
      <selection pane="topRight" activeCell="D27" sqref="D27"/>
      <selection pane="bottomLeft" activeCell="D27" sqref="D27"/>
      <selection pane="bottomRight" activeCell="F12" sqref="F12"/>
    </sheetView>
  </sheetViews>
  <sheetFormatPr defaultColWidth="8.85546875" defaultRowHeight="15.75" x14ac:dyDescent="0.25"/>
  <cols>
    <col min="1" max="1" width="60.42578125" style="212" customWidth="1"/>
    <col min="2" max="2" width="18" style="213" customWidth="1"/>
    <col min="3" max="5" width="21.85546875" style="212" customWidth="1"/>
    <col min="6" max="7" width="21.85546875" style="214" customWidth="1"/>
    <col min="8" max="8" width="22" style="212" customWidth="1"/>
    <col min="9" max="9" width="20.85546875" style="212" customWidth="1"/>
    <col min="10" max="10" width="10.5703125" style="1237" customWidth="1"/>
    <col min="11" max="16384" width="8.85546875" style="212"/>
  </cols>
  <sheetData>
    <row r="2" spans="1:10" x14ac:dyDescent="0.25">
      <c r="A2" s="1845" t="s">
        <v>365</v>
      </c>
      <c r="B2" s="1845"/>
      <c r="C2" s="1845"/>
      <c r="D2" s="1845"/>
      <c r="E2" s="1845"/>
      <c r="F2" s="1845"/>
      <c r="G2" s="1845"/>
      <c r="H2" s="1845"/>
      <c r="I2" s="1845"/>
    </row>
    <row r="4" spans="1:10" x14ac:dyDescent="0.25">
      <c r="I4" s="212" t="s">
        <v>355</v>
      </c>
    </row>
    <row r="5" spans="1:10" x14ac:dyDescent="0.25">
      <c r="A5" s="238" t="s">
        <v>356</v>
      </c>
      <c r="B5" s="238" t="s">
        <v>357</v>
      </c>
      <c r="C5" s="238" t="s">
        <v>358</v>
      </c>
      <c r="D5" s="232" t="s">
        <v>359</v>
      </c>
      <c r="E5" s="232" t="s">
        <v>360</v>
      </c>
      <c r="F5" s="239" t="s">
        <v>361</v>
      </c>
      <c r="G5" s="239" t="s">
        <v>362</v>
      </c>
      <c r="H5" s="238" t="s">
        <v>363</v>
      </c>
      <c r="I5" s="238" t="s">
        <v>364</v>
      </c>
    </row>
    <row r="6" spans="1:10" s="223" customFormat="1" ht="165" x14ac:dyDescent="0.25">
      <c r="A6" s="218" t="str">
        <f>Субсидия!B143</f>
        <v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в рамках регионального проекта  «Чистая вода»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6" s="225" t="str">
        <f>Субсидия!C143</f>
        <v>06 1 F5 52432</v>
      </c>
      <c r="C6" s="222">
        <f>Субсидия!D145+Субсидия!D148</f>
        <v>121175580</v>
      </c>
      <c r="D6" s="10">
        <v>121175580</v>
      </c>
      <c r="E6" s="10">
        <v>109618863.97</v>
      </c>
      <c r="F6" s="240">
        <f>C6-D6</f>
        <v>0</v>
      </c>
      <c r="G6" s="240">
        <f>I6-E6</f>
        <v>0</v>
      </c>
      <c r="H6" s="222">
        <f>Субсидия!E145+Субсидия!E148</f>
        <v>203670416.71000001</v>
      </c>
      <c r="I6" s="222">
        <f>Субсидия!F145+Субсидия!F148</f>
        <v>109618863.97</v>
      </c>
      <c r="J6" s="1247"/>
    </row>
    <row r="7" spans="1:10" s="223" customFormat="1" ht="195" x14ac:dyDescent="0.25">
      <c r="A7" s="218" t="str">
        <f>Субсидия!B169</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7" s="225" t="str">
        <f>Субсидия!C169</f>
        <v>06 2 01 86390</v>
      </c>
      <c r="C7" s="222">
        <f>Субсидия!D171</f>
        <v>993391653.36000001</v>
      </c>
      <c r="D7" s="10">
        <v>993391653.36000001</v>
      </c>
      <c r="E7" s="10">
        <v>303157465.58999997</v>
      </c>
      <c r="F7" s="240">
        <f t="shared" ref="F7:F15" si="0">C7-D7</f>
        <v>0</v>
      </c>
      <c r="G7" s="240">
        <f t="shared" ref="G7:G15" si="1">I7-E7</f>
        <v>0</v>
      </c>
      <c r="H7" s="222">
        <f>Субсидия!E171</f>
        <v>993376703.36000001</v>
      </c>
      <c r="I7" s="222">
        <f>Субсидия!F171</f>
        <v>303157465.58999997</v>
      </c>
      <c r="J7" s="1247"/>
    </row>
    <row r="8" spans="1:10" s="223" customFormat="1" ht="300" x14ac:dyDescent="0.25">
      <c r="A8" s="218" t="str">
        <f>Субсидия!B125</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v>
      </c>
      <c r="B8" s="225" t="str">
        <f>Субсидия!C125</f>
        <v xml:space="preserve">07 2 01 R5762 </v>
      </c>
      <c r="C8" s="222">
        <f>Субсидия!D127+Субсидия!D130</f>
        <v>231051157.88999999</v>
      </c>
      <c r="D8" s="10">
        <v>231051157.88999999</v>
      </c>
      <c r="E8" s="10">
        <v>115120529.7</v>
      </c>
      <c r="F8" s="240">
        <f t="shared" si="0"/>
        <v>0</v>
      </c>
      <c r="G8" s="240">
        <f t="shared" si="1"/>
        <v>0</v>
      </c>
      <c r="H8" s="222">
        <f>Субсидия!E127+Субсидия!E130</f>
        <v>223122631.57999998</v>
      </c>
      <c r="I8" s="222">
        <f>Субсидия!F127+Субсидия!F130</f>
        <v>115120529.7</v>
      </c>
      <c r="J8" s="1247"/>
    </row>
    <row r="9" spans="1:10" s="223" customFormat="1" ht="210" x14ac:dyDescent="0.25">
      <c r="A9" s="218" t="str">
        <f>Субсидия!B131</f>
        <v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 в рамках регионального проекта "Развитие жилищного строительства на сельских территориях и повышение уровня благоустройства домовладений" комплексной государственной программы Липецкой области "Комплексное развитие сельских территорий Липецкой области" </v>
      </c>
      <c r="B9" s="219" t="str">
        <f>Субсидия!C131</f>
        <v xml:space="preserve">07 2 01 R5764 </v>
      </c>
      <c r="C9" s="222">
        <f>Субсидия!D133+Субсидия!D136</f>
        <v>85069473.680000007</v>
      </c>
      <c r="D9" s="10">
        <v>85069473.680000007</v>
      </c>
      <c r="E9" s="10">
        <v>0</v>
      </c>
      <c r="F9" s="240">
        <f t="shared" ref="F9" si="2">C9-D9</f>
        <v>0</v>
      </c>
      <c r="G9" s="240">
        <f t="shared" ref="G9" si="3">I9-E9</f>
        <v>0</v>
      </c>
      <c r="H9" s="222">
        <f>Субсидия!E133+Субсидия!E136</f>
        <v>3414035.2</v>
      </c>
      <c r="I9" s="222">
        <f>Субсидия!F133+Субсидия!F136</f>
        <v>0</v>
      </c>
      <c r="J9" s="1247"/>
    </row>
    <row r="10" spans="1:10" s="223" customFormat="1" ht="135" x14ac:dyDescent="0.25">
      <c r="A10" s="1248" t="str">
        <f>Субсидия!B499</f>
        <v>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обеспечение комплексного развития сельских территорий) в рамках регионального проекта "Современный облик сельских территорий" комплексной государственной программы Липецкой области "Комплексное развитие сельских территорий Липецкой области"</v>
      </c>
      <c r="B10" s="1249" t="str">
        <f>Субсидия!C499</f>
        <v>07 2 04 R5766</v>
      </c>
      <c r="C10" s="1250">
        <f>Субсидия!D501+Субсидия!D504</f>
        <v>1109865473.6800001</v>
      </c>
      <c r="D10" s="10">
        <v>1109865473.6800001</v>
      </c>
      <c r="E10" s="10">
        <v>865815112.10000002</v>
      </c>
      <c r="F10" s="1251">
        <f t="shared" si="0"/>
        <v>0</v>
      </c>
      <c r="G10" s="1251">
        <f t="shared" si="1"/>
        <v>0</v>
      </c>
      <c r="H10" s="1250">
        <f>Субсидия!E501+Субсидия!E504</f>
        <v>1109865473.6800001</v>
      </c>
      <c r="I10" s="1250">
        <f>Субсидия!F501+Субсидия!F504</f>
        <v>865815112.10000002</v>
      </c>
      <c r="J10" s="1246" t="s">
        <v>366</v>
      </c>
    </row>
    <row r="11" spans="1:10" s="223" customFormat="1" ht="225" x14ac:dyDescent="0.25">
      <c r="A11" s="1248" t="str">
        <f>Субсидия!B79</f>
        <v xml:space="preserve">Финансовое обеспечение дорожной деятельности в рамках реализации национального проекта "Безопасные качественные дороги" в рамках достижения базового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"Региональная и местная дорожная сеть" (на сети автомобильных дорог Липецкой агломерации)) в рамках регионального проекта "Региональная и местная дорожная сеть" государственной программы Липецкой области "Развитие транспортной системы Липецкой области" </v>
      </c>
      <c r="B11" s="1249" t="str">
        <f>Субсидия!C79</f>
        <v>08 1 R1 А3944</v>
      </c>
      <c r="C11" s="1250">
        <f>Субсидия!D81</f>
        <v>455371636.10999995</v>
      </c>
      <c r="D11" s="10">
        <v>455371636.11000001</v>
      </c>
      <c r="E11" s="10">
        <v>341869064.08999997</v>
      </c>
      <c r="F11" s="1251">
        <f t="shared" si="0"/>
        <v>0</v>
      </c>
      <c r="G11" s="1251">
        <f t="shared" si="1"/>
        <v>0</v>
      </c>
      <c r="H11" s="1250">
        <f>Субсидия!E81</f>
        <v>455371636.10999995</v>
      </c>
      <c r="I11" s="1250">
        <f>Субсидия!F81</f>
        <v>341869064.08999997</v>
      </c>
      <c r="J11" s="1246" t="s">
        <v>366</v>
      </c>
    </row>
    <row r="12" spans="1:10" s="223" customFormat="1" ht="240" x14ac:dyDescent="0.25">
      <c r="A12" s="218" t="str">
        <f>Субсидия!B82</f>
        <v>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 в рамках ведомственного проекта "Развитие и увеличение пропускной способности автомобильных дорог общего пользования и искусственных сооружений на них" государственной программы Липецкой области "Развитие транспортной системы Липецкой области"</v>
      </c>
      <c r="B12" s="225" t="str">
        <f>Субсидия!C82</f>
        <v>08 3 01 86030</v>
      </c>
      <c r="C12" s="222">
        <f>Субсидия!D84</f>
        <v>1055882453.5599999</v>
      </c>
      <c r="D12" s="10">
        <v>1055882453.5599999</v>
      </c>
      <c r="E12" s="10">
        <v>202741328.09</v>
      </c>
      <c r="F12" s="240">
        <f t="shared" si="0"/>
        <v>0</v>
      </c>
      <c r="G12" s="240">
        <f t="shared" si="1"/>
        <v>0</v>
      </c>
      <c r="H12" s="222">
        <f>Субсидия!E84</f>
        <v>467583221.19999999</v>
      </c>
      <c r="I12" s="222">
        <f>Субсидия!F84</f>
        <v>202741328.08999997</v>
      </c>
      <c r="J12" s="1247"/>
    </row>
    <row r="13" spans="1:10" ht="180" x14ac:dyDescent="0.25">
      <c r="A13" s="218" t="str">
        <f>Субсидия!B184</f>
        <v>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3" s="225" t="str">
        <f>Субсидия!C184</f>
        <v>09 1 F1 50212</v>
      </c>
      <c r="C13" s="222">
        <f>Субсидия!D186+Субсидия!D189</f>
        <v>125304130.20999998</v>
      </c>
      <c r="D13" s="10">
        <v>125304130.20999999</v>
      </c>
      <c r="E13" s="10">
        <v>6659949.2199999997</v>
      </c>
      <c r="F13" s="227">
        <f t="shared" si="0"/>
        <v>0</v>
      </c>
      <c r="G13" s="227">
        <f t="shared" si="1"/>
        <v>0</v>
      </c>
      <c r="H13" s="222">
        <f>Субсидия!E186+Субсидия!E189</f>
        <v>23902693.68</v>
      </c>
      <c r="I13" s="222">
        <f>Субсидия!F186+Субсидия!F189</f>
        <v>6659949.2200000007</v>
      </c>
    </row>
    <row r="14" spans="1:10" s="223" customFormat="1" ht="135" x14ac:dyDescent="0.25">
      <c r="A14" s="218" t="str">
        <f>Субсидия!B92</f>
        <v>Стимулирование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в рамках регионального проекта "Жилье" государственной программы Липецкой области "Обеспечение населения Липецкой области качественным жильем, социальной инфраструктурой и услугами ЖКХ"</v>
      </c>
      <c r="B14" s="225" t="str">
        <f>Субсидия!C92</f>
        <v>09 1 F1 50213</v>
      </c>
      <c r="C14" s="222">
        <f>Субсидия!D94+Субсидия!D97</f>
        <v>1097265699.99</v>
      </c>
      <c r="D14" s="10">
        <v>1097265699.99</v>
      </c>
      <c r="E14" s="10">
        <v>398141476.11000001</v>
      </c>
      <c r="F14" s="240">
        <f t="shared" si="0"/>
        <v>0</v>
      </c>
      <c r="G14" s="240">
        <f t="shared" si="1"/>
        <v>0</v>
      </c>
      <c r="H14" s="222">
        <f>Субсидия!E94+Субсидия!E97</f>
        <v>1067584691.1</v>
      </c>
      <c r="I14" s="222">
        <f>Субсидия!F94+Субсидия!F97</f>
        <v>398141476.11000001</v>
      </c>
      <c r="J14" s="1247"/>
    </row>
    <row r="15" spans="1:10" s="223" customFormat="1" ht="120" x14ac:dyDescent="0.25">
      <c r="A15" s="218" t="str">
        <f>Субсидия!B190</f>
        <v>Стимулирование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 в рамках регионального проекта "Жилье" государственной программы Липецкой области "Обеспечение жителей Липецкой области качественным жильем, социальной и инженерной инфраструктурой"</v>
      </c>
      <c r="B15" s="225" t="str">
        <f>Субсидия!C190</f>
        <v xml:space="preserve">09 1 F1 50214 </v>
      </c>
      <c r="C15" s="222">
        <f>Субсидия!D192+Субсидия!D195</f>
        <v>153989323.89000002</v>
      </c>
      <c r="D15" s="10">
        <v>153989323.88999999</v>
      </c>
      <c r="E15" s="10">
        <v>69768253.5</v>
      </c>
      <c r="F15" s="240">
        <f t="shared" si="0"/>
        <v>0</v>
      </c>
      <c r="G15" s="240">
        <f t="shared" si="1"/>
        <v>0</v>
      </c>
      <c r="H15" s="222">
        <f>Субсидия!E192+Субсидия!E195</f>
        <v>86038007.210000008</v>
      </c>
      <c r="I15" s="222">
        <f>Субсидия!F192+Субсидия!F195</f>
        <v>69768253.5</v>
      </c>
      <c r="J15" s="1247"/>
    </row>
    <row r="16" spans="1:10" s="223" customFormat="1" ht="150" x14ac:dyDescent="0.25">
      <c r="A16" s="218" t="str">
        <f>Субсидия!B508</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6" s="219" t="str">
        <f>Субсидия!C508</f>
        <v>10 4 01 86080</v>
      </c>
      <c r="C16" s="222">
        <f>Субсидия!D510</f>
        <v>157294926.27000001</v>
      </c>
      <c r="D16" s="10">
        <v>157294926.27000001</v>
      </c>
      <c r="E16" s="10">
        <v>64674025.530000001</v>
      </c>
      <c r="F16" s="240">
        <f t="shared" ref="F16:F17" si="4">C16-D16</f>
        <v>0</v>
      </c>
      <c r="G16" s="240">
        <f t="shared" ref="G16:G17" si="5">I16-E16</f>
        <v>0</v>
      </c>
      <c r="H16" s="222">
        <f>Субсидия!E510</f>
        <v>157291908.06</v>
      </c>
      <c r="I16" s="222">
        <f>Субсидия!F510</f>
        <v>64674025.530000001</v>
      </c>
      <c r="J16" s="1247"/>
    </row>
    <row r="17" spans="1:10" s="223" customFormat="1" ht="195" x14ac:dyDescent="0.25">
      <c r="A17" s="218" t="str">
        <f>Субсидия!B196</f>
        <v>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17" s="219" t="str">
        <f>Субсидия!C196</f>
        <v>10 4 01 86180</v>
      </c>
      <c r="C17" s="222">
        <f>Субсидия!D198</f>
        <v>20000000</v>
      </c>
      <c r="D17" s="10">
        <v>20000000</v>
      </c>
      <c r="E17" s="10">
        <v>0</v>
      </c>
      <c r="F17" s="240">
        <f t="shared" si="4"/>
        <v>0</v>
      </c>
      <c r="G17" s="240">
        <f t="shared" si="5"/>
        <v>0</v>
      </c>
      <c r="H17" s="222">
        <f>Субсидия!E198</f>
        <v>20000000</v>
      </c>
      <c r="I17" s="222">
        <f>Субсидия!F198</f>
        <v>0</v>
      </c>
      <c r="J17" s="1247"/>
    </row>
    <row r="18" spans="1:10" s="223" customFormat="1" x14ac:dyDescent="0.25">
      <c r="A18" s="218"/>
      <c r="B18" s="1200"/>
      <c r="C18" s="222"/>
      <c r="D18" s="222"/>
      <c r="E18" s="222"/>
      <c r="F18" s="240"/>
      <c r="G18" s="240"/>
      <c r="H18" s="222"/>
      <c r="I18" s="222"/>
      <c r="J18" s="1247"/>
    </row>
    <row r="19" spans="1:10" x14ac:dyDescent="0.25">
      <c r="A19" s="232" t="s">
        <v>8</v>
      </c>
      <c r="B19" s="233"/>
      <c r="C19" s="235">
        <f>SUM(C6:C18)</f>
        <v>5605661508.6400013</v>
      </c>
      <c r="D19" s="235">
        <f t="shared" ref="D19:I19" si="6">SUM(D6:D18)</f>
        <v>5605661508.6400013</v>
      </c>
      <c r="E19" s="235">
        <f t="shared" si="6"/>
        <v>2477566067.9000001</v>
      </c>
      <c r="F19" s="235">
        <f t="shared" si="6"/>
        <v>0</v>
      </c>
      <c r="G19" s="235">
        <f t="shared" si="6"/>
        <v>0</v>
      </c>
      <c r="H19" s="235">
        <f t="shared" si="6"/>
        <v>4811221417.8900003</v>
      </c>
      <c r="I19" s="235">
        <f t="shared" si="6"/>
        <v>2477566067.9000001</v>
      </c>
    </row>
    <row r="20" spans="1:10" x14ac:dyDescent="0.25">
      <c r="C20" s="237">
        <f>C19-Субсидия!D515</f>
        <v>0</v>
      </c>
      <c r="D20" s="237"/>
      <c r="E20" s="237"/>
      <c r="F20" s="236"/>
      <c r="G20" s="236"/>
      <c r="H20" s="237">
        <f>H19-Субсидия!E515</f>
        <v>0</v>
      </c>
      <c r="I20" s="237">
        <f>I19-Субсидия!F515</f>
        <v>0</v>
      </c>
    </row>
    <row r="21" spans="1:10" x14ac:dyDescent="0.25">
      <c r="C21" s="237">
        <f>C19-Субсидия!D521</f>
        <v>0</v>
      </c>
      <c r="D21" s="237"/>
      <c r="E21" s="237"/>
      <c r="F21" s="236"/>
      <c r="G21" s="236"/>
      <c r="H21" s="237"/>
      <c r="I21" s="237">
        <f>I19-Субсидия!F521</f>
        <v>0</v>
      </c>
    </row>
  </sheetData>
  <mergeCells count="1">
    <mergeCell ref="A2:I2"/>
  </mergeCells>
  <pageMargins left="0.78740157480314965" right="0.39370078740157483" top="0.59055118110236227" bottom="0.59055118110236227" header="0.31496062992125984" footer="0.31496062992125984"/>
  <pageSetup paperSize="9" scale="56" fitToHeight="3" orientation="landscape" horizontalDpi="300" verticalDpi="300" r:id="rId1"/>
  <headerFooter>
    <oddFooter>&amp;L&amp;P&amp;R&amp;Z&amp;F&amp;A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J31"/>
  <sheetViews>
    <sheetView topLeftCell="A2" zoomScale="60" zoomScaleNormal="60" zoomScaleSheetLayoutView="70" workbookViewId="0">
      <pane xSplit="1" ySplit="4" topLeftCell="B23" activePane="bottomRight" state="frozen"/>
      <selection activeCell="D27" sqref="D27"/>
      <selection pane="topRight" activeCell="D27" sqref="D27"/>
      <selection pane="bottomLeft" activeCell="D27" sqref="D27"/>
      <selection pane="bottomRight" activeCell="E25" sqref="E25"/>
    </sheetView>
  </sheetViews>
  <sheetFormatPr defaultColWidth="8.85546875" defaultRowHeight="15" x14ac:dyDescent="0.25"/>
  <cols>
    <col min="1" max="1" width="65.85546875" style="212" customWidth="1"/>
    <col min="2" max="2" width="18" style="213" customWidth="1"/>
    <col min="3" max="3" width="21.85546875" style="212" customWidth="1"/>
    <col min="4" max="5" width="21.85546875" style="214" customWidth="1"/>
    <col min="6" max="7" width="21.85546875" style="212" customWidth="1"/>
    <col min="8" max="8" width="22" style="212" bestFit="1" customWidth="1"/>
    <col min="9" max="9" width="21.140625" style="212" customWidth="1"/>
    <col min="10" max="10" width="11.85546875" style="212" customWidth="1"/>
    <col min="11" max="16384" width="8.85546875" style="212"/>
  </cols>
  <sheetData>
    <row r="2" spans="1:9" x14ac:dyDescent="0.25">
      <c r="A2" s="1845" t="s">
        <v>354</v>
      </c>
      <c r="B2" s="1845"/>
      <c r="C2" s="1845"/>
      <c r="D2" s="1845"/>
      <c r="E2" s="1845"/>
      <c r="F2" s="1845"/>
      <c r="G2" s="1845"/>
      <c r="H2" s="1845"/>
      <c r="I2" s="1845"/>
    </row>
    <row r="4" spans="1:9" x14ac:dyDescent="0.25">
      <c r="I4" s="212" t="s">
        <v>355</v>
      </c>
    </row>
    <row r="5" spans="1:9" ht="30" x14ac:dyDescent="0.25">
      <c r="A5" s="215" t="s">
        <v>356</v>
      </c>
      <c r="B5" s="215" t="s">
        <v>357</v>
      </c>
      <c r="C5" s="215" t="s">
        <v>358</v>
      </c>
      <c r="D5" s="216" t="s">
        <v>359</v>
      </c>
      <c r="E5" s="216" t="s">
        <v>360</v>
      </c>
      <c r="F5" s="217" t="s">
        <v>361</v>
      </c>
      <c r="G5" s="217" t="s">
        <v>362</v>
      </c>
      <c r="H5" s="215" t="s">
        <v>363</v>
      </c>
      <c r="I5" s="215" t="s">
        <v>364</v>
      </c>
    </row>
    <row r="6" spans="1:9" s="223" customFormat="1" ht="60" x14ac:dyDescent="0.25">
      <c r="A6" s="218" t="str">
        <f>Субсидия!B275</f>
        <v>Модернизация инфраструктуры общего образования в рамках регионального проекта "Современная школа" государственной программы Липецкой области "Развитие образования Липецкой области"</v>
      </c>
      <c r="B6" s="219" t="str">
        <f>Субсидия!C275</f>
        <v>04 1 E1 52390</v>
      </c>
      <c r="C6" s="220">
        <f>Субсидия!D278+Субсидия!D282</f>
        <v>888555263.15999997</v>
      </c>
      <c r="D6" s="10">
        <v>888555263.15999997</v>
      </c>
      <c r="E6" s="10">
        <v>759274749.70000005</v>
      </c>
      <c r="F6" s="221">
        <f t="shared" ref="F6:F28" si="0">C6-D6</f>
        <v>0</v>
      </c>
      <c r="G6" s="221">
        <f t="shared" ref="G6:G11" si="1">I6-E6</f>
        <v>0</v>
      </c>
      <c r="H6" s="222">
        <f>Субсидия!E278+Субсидия!E282</f>
        <v>888555263.15999997</v>
      </c>
      <c r="I6" s="222">
        <f>Субсидия!F278+Субсидия!F282</f>
        <v>759274749.70000005</v>
      </c>
    </row>
    <row r="7" spans="1:9" s="223" customFormat="1" ht="90" x14ac:dyDescent="0.25">
      <c r="A7" s="218" t="str">
        <f>Субсидия!B295</f>
        <v>Модернизация инфраструктуры общего образования в целях достижения значений базового результата федерального проекта в рамках регионального проекта "Современная школа" государственной программы Липецкой области "Развитие образования Липецкой области"</v>
      </c>
      <c r="B7" s="219" t="str">
        <f>Субсидия!C295</f>
        <v>04 1 E1 A2390</v>
      </c>
      <c r="C7" s="224">
        <f>Субсидия!D298</f>
        <v>319132705.80000001</v>
      </c>
      <c r="D7" s="10">
        <v>319132705.80000001</v>
      </c>
      <c r="E7" s="10">
        <v>121024.36</v>
      </c>
      <c r="F7" s="221">
        <f t="shared" si="0"/>
        <v>0</v>
      </c>
      <c r="G7" s="221">
        <f t="shared" si="1"/>
        <v>0</v>
      </c>
      <c r="H7" s="222">
        <f>Субсидия!E298</f>
        <v>319132705.80000001</v>
      </c>
      <c r="I7" s="222">
        <f>Субсидия!F298</f>
        <v>121024.36</v>
      </c>
    </row>
    <row r="8" spans="1:9" s="223" customFormat="1" ht="135" x14ac:dyDescent="0.25">
      <c r="A8" s="218" t="str">
        <f>Субсидия!B396</f>
        <v xml:space="preserve">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 в рамках регионального проекта "Культурная среда" государственной программы Липецкой области "Развитие культуры и туризма в Липецкой области"     </v>
      </c>
      <c r="B8" s="219" t="str">
        <f>Субсидия!C396</f>
        <v>05 1 A1 55131</v>
      </c>
      <c r="C8" s="224">
        <f>Субсидия!D399+Субсидия!D403</f>
        <v>40251081.079999998</v>
      </c>
      <c r="D8" s="10">
        <v>40251081.079999998</v>
      </c>
      <c r="E8" s="10">
        <v>25231857.170000002</v>
      </c>
      <c r="F8" s="221">
        <f t="shared" si="0"/>
        <v>0</v>
      </c>
      <c r="G8" s="221">
        <f t="shared" si="1"/>
        <v>0</v>
      </c>
      <c r="H8" s="222">
        <f>Субсидия!E399+Субсидия!E403</f>
        <v>40251081.079999998</v>
      </c>
      <c r="I8" s="222">
        <f>Субсидия!F399+Субсидия!F403</f>
        <v>25231857.170000002</v>
      </c>
    </row>
    <row r="9" spans="1:9" s="223" customFormat="1" ht="120" x14ac:dyDescent="0.25">
      <c r="A9" s="218" t="str">
        <f>Субсидия!B347</f>
        <v>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в рамках регионального проекта "Культурная среда" государственной программы Липецкой области "Развитие культуры и туризма в Липецкой области"</v>
      </c>
      <c r="B9" s="219" t="str">
        <f>Субсидия!C347</f>
        <v>05 1 A1 5519Б</v>
      </c>
      <c r="C9" s="220">
        <f>Субсидия!D350+Субсидия!D354</f>
        <v>6429189.1899999995</v>
      </c>
      <c r="D9" s="10">
        <v>6429189.1900000004</v>
      </c>
      <c r="E9" s="10">
        <v>655131.91</v>
      </c>
      <c r="F9" s="221">
        <f t="shared" si="0"/>
        <v>0</v>
      </c>
      <c r="G9" s="221">
        <f t="shared" si="1"/>
        <v>0</v>
      </c>
      <c r="H9" s="222">
        <f>Субсидия!E350+Субсидия!E354</f>
        <v>6429189.1900000004</v>
      </c>
      <c r="I9" s="222">
        <f>Субсидия!F350+Субсидия!F354</f>
        <v>655131.90999999992</v>
      </c>
    </row>
    <row r="10" spans="1:9" s="223" customFormat="1" ht="150" x14ac:dyDescent="0.25">
      <c r="A10" s="218" t="str">
        <f>Субсидия!B443</f>
        <v xml:space="preserve">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 в рамках комплекса процессных мероприятий "Развитие культуры в Липецкой области" государственной программы Липецкой области "Развитие культуры и туризма в Липецкой области"   </v>
      </c>
      <c r="B10" s="219" t="str">
        <f>Субсидия!C443</f>
        <v xml:space="preserve">05 4 02 R5191 </v>
      </c>
      <c r="C10" s="220">
        <f>Субсидия!D446+Субсидия!D450</f>
        <v>4977432.43</v>
      </c>
      <c r="D10" s="10">
        <v>4977432.43</v>
      </c>
      <c r="E10" s="10">
        <v>4977432.42</v>
      </c>
      <c r="F10" s="221">
        <f t="shared" si="0"/>
        <v>0</v>
      </c>
      <c r="G10" s="221">
        <f t="shared" si="1"/>
        <v>0</v>
      </c>
      <c r="H10" s="222">
        <f>Субсидия!E446+Субсидия!E450</f>
        <v>169486532.43000001</v>
      </c>
      <c r="I10" s="222">
        <f>Субсидия!F446+Субсидия!F450</f>
        <v>4977432.42</v>
      </c>
    </row>
    <row r="11" spans="1:9" s="223" customFormat="1" ht="135" x14ac:dyDescent="0.25">
      <c r="A11" s="218" t="str">
        <f>Субсидия!B209</f>
        <v xml:space="preserve">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1" s="219" t="str">
        <f>Субсидия!C209</f>
        <v>06 1 F2 54240</v>
      </c>
      <c r="C11" s="220">
        <f>Субсидия!D212+Субсидия!D216</f>
        <v>166170808.09</v>
      </c>
      <c r="D11" s="10">
        <v>166170808.09</v>
      </c>
      <c r="E11" s="10">
        <v>166170808.09</v>
      </c>
      <c r="F11" s="221">
        <f t="shared" si="0"/>
        <v>0</v>
      </c>
      <c r="G11" s="221">
        <f t="shared" si="1"/>
        <v>0</v>
      </c>
      <c r="H11" s="222">
        <f>Субсидия!E212+Субсидия!E216</f>
        <v>178317363.83000001</v>
      </c>
      <c r="I11" s="222">
        <f>Субсидия!F212+Субсидия!F216</f>
        <v>166170808.09</v>
      </c>
    </row>
    <row r="12" spans="1:9" s="223" customFormat="1" ht="105" x14ac:dyDescent="0.25">
      <c r="A12" s="218" t="str">
        <f>Субсидия!B217</f>
        <v xml:space="preserve">Реализация мероприятий, направленных на формирование современной городской среды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формирования современной городской среды" </v>
      </c>
      <c r="B12" s="225" t="str">
        <f>Субсидия!C217</f>
        <v>06 1 F2 55550</v>
      </c>
      <c r="C12" s="220">
        <f>Субсидия!D220+Субсидия!D224</f>
        <v>286720529.98000002</v>
      </c>
      <c r="D12" s="10">
        <v>286720529.98000002</v>
      </c>
      <c r="E12" s="10">
        <v>233052815.62</v>
      </c>
      <c r="F12" s="221">
        <f t="shared" si="0"/>
        <v>0</v>
      </c>
      <c r="G12" s="221">
        <f>I12-E12</f>
        <v>0</v>
      </c>
      <c r="H12" s="222">
        <f>Субсидия!E220+Субсидия!E224</f>
        <v>535280944.09000003</v>
      </c>
      <c r="I12" s="222">
        <f>Субсидия!F220+Субсидия!F224</f>
        <v>233052815.62</v>
      </c>
    </row>
    <row r="13" spans="1:9" s="223" customFormat="1" ht="180" x14ac:dyDescent="0.25">
      <c r="A13" s="218" t="str">
        <f>Субсидия!B225</f>
        <v>Реализация мероприятий, направленных на формирование современной городской среды в целях достижения значений базового результата регионального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муниципальных и городских округов) в рамках регионального проекта "Формирование комфортной городской среды"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3" s="225" t="str">
        <f>Субсидия!C225</f>
        <v>06 1 F2 А5551</v>
      </c>
      <c r="C13" s="220">
        <f>Субсидия!D228</f>
        <v>383254771.56999999</v>
      </c>
      <c r="D13" s="10">
        <v>383254771.56999999</v>
      </c>
      <c r="E13" s="10">
        <v>259065688.53</v>
      </c>
      <c r="F13" s="221">
        <f t="shared" si="0"/>
        <v>0</v>
      </c>
      <c r="G13" s="221">
        <f>I13-E13</f>
        <v>0</v>
      </c>
      <c r="H13" s="222">
        <f>Субсидия!E228</f>
        <v>383254771.56999999</v>
      </c>
      <c r="I13" s="222">
        <f>Субсидия!F228</f>
        <v>259065688.52999997</v>
      </c>
    </row>
    <row r="14" spans="1:9" s="223" customFormat="1" ht="165" x14ac:dyDescent="0.25">
      <c r="A14" s="218" t="str">
        <f>Субсидия!B149</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4" s="219" t="str">
        <f>Субсидия!C149</f>
        <v>06 2 01 09506</v>
      </c>
      <c r="C14" s="220">
        <f>Субсидия!D152</f>
        <v>37759000</v>
      </c>
      <c r="D14" s="10">
        <v>37759000</v>
      </c>
      <c r="E14" s="10">
        <v>0</v>
      </c>
      <c r="F14" s="221">
        <f t="shared" ref="F14" si="2">C14-D14</f>
        <v>0</v>
      </c>
      <c r="G14" s="221">
        <f>I14-E14</f>
        <v>0</v>
      </c>
      <c r="H14" s="222">
        <f>Субсидия!E152</f>
        <v>903434729.78000009</v>
      </c>
      <c r="I14" s="222">
        <f>Субсидия!F152</f>
        <v>0</v>
      </c>
    </row>
    <row r="15" spans="1:9" s="223" customFormat="1" ht="165" x14ac:dyDescent="0.25">
      <c r="A15" s="218" t="str">
        <f>Субсидия!B153</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5" s="219" t="str">
        <f>Субсидия!C153</f>
        <v>06 2 01 09507</v>
      </c>
      <c r="C15" s="220">
        <f>Субсидия!D156</f>
        <v>315676000</v>
      </c>
      <c r="D15" s="10">
        <v>315676000</v>
      </c>
      <c r="E15" s="10">
        <v>37574331.689999998</v>
      </c>
      <c r="F15" s="221">
        <f t="shared" si="0"/>
        <v>0</v>
      </c>
      <c r="G15" s="221">
        <f>I15-E15</f>
        <v>0</v>
      </c>
      <c r="H15" s="222">
        <f>Субсидия!E156</f>
        <v>315676000</v>
      </c>
      <c r="I15" s="222">
        <f>Субсидия!F156</f>
        <v>37574331.689999998</v>
      </c>
    </row>
    <row r="16" spans="1:9" s="223" customFormat="1" ht="150" x14ac:dyDescent="0.25">
      <c r="A16" s="218" t="str">
        <f>Субсидия!B157</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теплоснабжения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6" s="219" t="str">
        <f>Субсидия!C157</f>
        <v>06 2 01 09606</v>
      </c>
      <c r="C16" s="220">
        <f>Субсидия!D160</f>
        <v>25590065.600000001</v>
      </c>
      <c r="D16" s="10">
        <v>25590065.600000001</v>
      </c>
      <c r="E16" s="10">
        <v>0</v>
      </c>
      <c r="F16" s="221">
        <f t="shared" si="0"/>
        <v>0</v>
      </c>
      <c r="G16" s="221">
        <f t="shared" ref="G16" si="3">I16-E16</f>
        <v>0</v>
      </c>
      <c r="H16" s="222">
        <f>Субсидия!E160</f>
        <v>251003026.90000001</v>
      </c>
      <c r="I16" s="222">
        <f>Субсидия!F160</f>
        <v>0</v>
      </c>
    </row>
    <row r="17" spans="1:10" ht="150" x14ac:dyDescent="0.25">
      <c r="A17" s="226" t="str">
        <f>Субсидия!B161</f>
        <v>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v>
      </c>
      <c r="B17" s="219" t="str">
        <f>Субсидия!C161</f>
        <v>06 2 01 09607</v>
      </c>
      <c r="C17" s="222">
        <f>Субсидия!D164</f>
        <v>203848820.44999999</v>
      </c>
      <c r="D17" s="10">
        <v>203848820.44999999</v>
      </c>
      <c r="E17" s="10">
        <v>24139750.190000001</v>
      </c>
      <c r="F17" s="227">
        <f>C17-D17</f>
        <v>0</v>
      </c>
      <c r="G17" s="227">
        <f>I17-E17</f>
        <v>0</v>
      </c>
      <c r="H17" s="222">
        <f>Субсидия!E164</f>
        <v>197889369.26000002</v>
      </c>
      <c r="I17" s="222">
        <f>Субсидия!F164</f>
        <v>24139750.189999998</v>
      </c>
    </row>
    <row r="18" spans="1:10" s="223" customFormat="1" ht="150" x14ac:dyDescent="0.25">
      <c r="A18" s="218" t="str">
        <f>Субсидия!B165</f>
        <v xml:space="preserve">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8" s="225" t="str">
        <f>Субсидия!C165</f>
        <v>06 2 01 86120</v>
      </c>
      <c r="C18" s="220">
        <f>Субсидия!D168</f>
        <v>148294978.05000001</v>
      </c>
      <c r="D18" s="10">
        <v>148294978.05000001</v>
      </c>
      <c r="E18" s="10">
        <v>77514154.359999999</v>
      </c>
      <c r="F18" s="221">
        <f t="shared" si="0"/>
        <v>0</v>
      </c>
      <c r="G18" s="221">
        <f>I18-E18</f>
        <v>0</v>
      </c>
      <c r="H18" s="222">
        <f>Субсидия!E168</f>
        <v>148294978.05000001</v>
      </c>
      <c r="I18" s="222">
        <f>Субсидия!F168</f>
        <v>77514154.359999999</v>
      </c>
    </row>
    <row r="19" spans="1:10" s="223" customFormat="1" ht="180" x14ac:dyDescent="0.25">
      <c r="A19" s="218" t="str">
        <f>Субсидия!B172</f>
        <v xml:space="preserve">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19" s="219" t="str">
        <f>Субсидия!C172</f>
        <v>06 2 01 97010</v>
      </c>
      <c r="C19" s="220">
        <f>Субсидия!D175</f>
        <v>360000000</v>
      </c>
      <c r="D19" s="10">
        <v>360000000</v>
      </c>
      <c r="E19" s="10">
        <v>305562281.93000001</v>
      </c>
      <c r="F19" s="221">
        <f t="shared" ref="F19" si="4">C19-D19</f>
        <v>0</v>
      </c>
      <c r="G19" s="221">
        <f>I19-E19</f>
        <v>0</v>
      </c>
      <c r="H19" s="222">
        <f>Субсидия!E175</f>
        <v>360000000</v>
      </c>
      <c r="I19" s="222">
        <f>Субсидия!F175</f>
        <v>305562281.93000001</v>
      </c>
    </row>
    <row r="20" spans="1:10" s="223" customFormat="1" ht="180" x14ac:dyDescent="0.25">
      <c r="A20" s="218" t="str">
        <f>Субсидия!B176</f>
        <v xml:space="preserve">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 в рамках регионального проекта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0" s="219" t="str">
        <f>Субсидия!C176</f>
        <v>06 2 01 97020</v>
      </c>
      <c r="C20" s="220">
        <f>Субсидия!D179</f>
        <v>665560433.4000001</v>
      </c>
      <c r="D20" s="10">
        <v>665560433.39999998</v>
      </c>
      <c r="E20" s="10">
        <v>495646272.92000002</v>
      </c>
      <c r="F20" s="221">
        <f t="shared" si="0"/>
        <v>0</v>
      </c>
      <c r="G20" s="221">
        <f>I20-E20</f>
        <v>0</v>
      </c>
      <c r="H20" s="222">
        <f>Субсидия!E179</f>
        <v>665560433.4000001</v>
      </c>
      <c r="I20" s="222">
        <f>Субсидия!F179</f>
        <v>495646272.91999996</v>
      </c>
    </row>
    <row r="21" spans="1:10" s="223" customFormat="1" ht="180" x14ac:dyDescent="0.25">
      <c r="A21" s="218" t="str">
        <f>Субсидия!B180</f>
        <v xml:space="preserve">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 в рамках комплекса процессных мероприятий "Улучшение качества жилищного фонда, развитие и модернизация коммунальной инфраструктуры Липецкой области" государственной программы Липецкой области «Обеспечение населения Липецкой области качественными коммунальными услугами и формирование современной городской среды» </v>
      </c>
      <c r="B21" s="225" t="str">
        <f>Субсидия!C180</f>
        <v>06 4 01 86490</v>
      </c>
      <c r="C21" s="220">
        <f>Субсидия!D183</f>
        <v>617252125.29999995</v>
      </c>
      <c r="D21" s="10">
        <v>617252125.29999995</v>
      </c>
      <c r="E21" s="10">
        <v>397361522.48000002</v>
      </c>
      <c r="F21" s="221">
        <f t="shared" si="0"/>
        <v>0</v>
      </c>
      <c r="G21" s="221">
        <f>I21-E21</f>
        <v>0</v>
      </c>
      <c r="H21" s="222">
        <f>Субсидия!E183</f>
        <v>617252125.28999996</v>
      </c>
      <c r="I21" s="222">
        <f>Субсидия!F183</f>
        <v>397361522.48000002</v>
      </c>
    </row>
    <row r="22" spans="1:10" s="223" customFormat="1" ht="135" x14ac:dyDescent="0.25">
      <c r="A22" s="218" t="str">
        <f>Субсидия!B65</f>
        <v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в рамках регионального проекта "Развитие транспортной инфраструктуры на сельских территориях" комплексной государственной программы Липецкой области "Комплексное развитие сельских территорий Липецкой области" </v>
      </c>
      <c r="B22" s="219" t="str">
        <f>Субсидия!C65</f>
        <v>07 2 03 R3722</v>
      </c>
      <c r="C22" s="220">
        <f>Субсидия!D68+Субсидия!D72</f>
        <v>264732021</v>
      </c>
      <c r="D22" s="10">
        <v>264732021</v>
      </c>
      <c r="E22" s="10">
        <v>243132201.93000001</v>
      </c>
      <c r="F22" s="221">
        <f t="shared" si="0"/>
        <v>0</v>
      </c>
      <c r="G22" s="221">
        <f t="shared" ref="G22" si="5">I22-E22</f>
        <v>0</v>
      </c>
      <c r="H22" s="222">
        <f>Субсидия!E68+Субсидия!E72</f>
        <v>287564528.88999999</v>
      </c>
      <c r="I22" s="222">
        <f>Субсидия!F68+Субсидия!F72</f>
        <v>243132201.93000001</v>
      </c>
    </row>
    <row r="23" spans="1:10" s="223" customFormat="1" ht="195" x14ac:dyDescent="0.25">
      <c r="A23" s="218" t="str">
        <f>Субсидия!B52</f>
        <v>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в рамках регионального проекта "Развитие общественного транспорта" государственной программы Липецкой области "Развитие транспортной системы Липецкой области"</v>
      </c>
      <c r="B23" s="219" t="str">
        <f>Субсидия!C52</f>
        <v>08 1 R7 54010</v>
      </c>
      <c r="C23" s="220">
        <f>Субсидия!D55+Субсидия!D59</f>
        <v>1478672773.1399999</v>
      </c>
      <c r="D23" s="10">
        <v>1478672773.1400001</v>
      </c>
      <c r="E23" s="10">
        <v>753671645.66999996</v>
      </c>
      <c r="F23" s="221">
        <f>C23-D23</f>
        <v>0</v>
      </c>
      <c r="G23" s="221">
        <f>I23-E23</f>
        <v>0</v>
      </c>
      <c r="H23" s="222">
        <f>Субсидия!E55+Субсидия!E59</f>
        <v>1530298331.28</v>
      </c>
      <c r="I23" s="222">
        <f>Субсидия!F55+Субсидия!F59</f>
        <v>753671645.66999996</v>
      </c>
    </row>
    <row r="24" spans="1:10" s="223" customFormat="1" ht="165" x14ac:dyDescent="0.25">
      <c r="A24" s="218" t="str">
        <f>Субсидия!B88</f>
        <v xml:space="preserve">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  в рамках комплекса процессных мероприятий "Приведение автомобильных дорог общего пользования и мостовых сооружений в нормативное транспортно-эксплуатационное состояние и обеспечение сохранности существующей сети дорог" государственной программы Липецкой области "Развитие транспортной системы Липецкой области" </v>
      </c>
      <c r="B24" s="219" t="str">
        <f>Субсидия!C88</f>
        <v>08 4 01 86230</v>
      </c>
      <c r="C24" s="228">
        <f>Субсидия!D91</f>
        <v>150000000</v>
      </c>
      <c r="D24" s="10">
        <v>150000000</v>
      </c>
      <c r="E24" s="10">
        <v>146208507.61000001</v>
      </c>
      <c r="F24" s="221">
        <f>C24-D24</f>
        <v>0</v>
      </c>
      <c r="G24" s="221">
        <f>I24-E24</f>
        <v>0</v>
      </c>
      <c r="H24" s="222">
        <f>Субсидия!E91</f>
        <v>150000000</v>
      </c>
      <c r="I24" s="222">
        <f>Субсидия!F91</f>
        <v>146208507.61000001</v>
      </c>
    </row>
    <row r="25" spans="1:10" s="223" customFormat="1" ht="150" x14ac:dyDescent="0.25">
      <c r="A25" s="1248" t="str">
        <f>Субсидия!B508</f>
        <v>Предоставление субсидий местным бюджетам на реализацию муниципальных программ в области энергосбережения и повышения энергетической эффективности в рамках комплекса процессных мероприятий «Энергоэффективность, развитие энергетики и повышение надежности энергосбережения» государственной программы Липецкой области "Энергоэффективность, развитие энергетики и повышение надежности энергоснабжения в Липецкой области"</v>
      </c>
      <c r="B25" s="1249" t="str">
        <f>Субсидия!C508</f>
        <v>10 4 01 86080</v>
      </c>
      <c r="C25" s="1252">
        <f>Субсидия!D511</f>
        <v>84447713.129999995</v>
      </c>
      <c r="D25" s="10">
        <v>84447713.129999995</v>
      </c>
      <c r="E25" s="10">
        <v>21895743.84</v>
      </c>
      <c r="F25" s="1253">
        <f t="shared" si="0"/>
        <v>0</v>
      </c>
      <c r="G25" s="1253">
        <f t="shared" ref="G25:G28" si="6">I25-E25</f>
        <v>0</v>
      </c>
      <c r="H25" s="1250">
        <f>Субсидия!E511</f>
        <v>84447713.129999995</v>
      </c>
      <c r="I25" s="1250">
        <f>Субсидия!F511</f>
        <v>21895743.84</v>
      </c>
      <c r="J25" s="1246" t="s">
        <v>366</v>
      </c>
    </row>
    <row r="26" spans="1:10" s="223" customFormat="1" ht="255" x14ac:dyDescent="0.25">
      <c r="A26" s="218" t="str">
        <f>Субсидия!B250</f>
        <v xml:space="preserve">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6" s="219" t="str">
        <f>Субсидия!C250</f>
        <v>11 3 02 86210</v>
      </c>
      <c r="C26" s="220">
        <f>Субсидия!D253</f>
        <v>36115290</v>
      </c>
      <c r="D26" s="10">
        <v>36115290</v>
      </c>
      <c r="E26" s="10">
        <v>0</v>
      </c>
      <c r="F26" s="221">
        <f>C26-D26</f>
        <v>0</v>
      </c>
      <c r="G26" s="221">
        <f>I26-E26</f>
        <v>0</v>
      </c>
      <c r="H26" s="222">
        <f>Субсидия!E253</f>
        <v>36115290</v>
      </c>
      <c r="I26" s="222">
        <f>Субсидия!F253</f>
        <v>0</v>
      </c>
    </row>
    <row r="27" spans="1:10" s="223" customFormat="1" ht="180" x14ac:dyDescent="0.25">
      <c r="A27" s="218" t="str">
        <f>Субсидия!B199</f>
        <v xml:space="preserve">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в рамках ведомственного проекта «Создание условий для развития деятельности по сбору, обработке, утилизации, обезвреживанию и захоронению отходов на территории Липецкой области»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v>
      </c>
      <c r="B27" s="225" t="str">
        <f>Субсидия!C199</f>
        <v>11 3 02 86380</v>
      </c>
      <c r="C27" s="220">
        <f>Субсидия!D202</f>
        <v>14532828.630000001</v>
      </c>
      <c r="D27" s="10">
        <v>14532828.630000001</v>
      </c>
      <c r="E27" s="10">
        <v>4432850.33</v>
      </c>
      <c r="F27" s="221">
        <f t="shared" ref="F27" si="7">C27-D27</f>
        <v>0</v>
      </c>
      <c r="G27" s="221">
        <f t="shared" ref="G27" si="8">I27-E27</f>
        <v>0</v>
      </c>
      <c r="H27" s="222">
        <f>Субсидия!E202</f>
        <v>14532828.629999999</v>
      </c>
      <c r="I27" s="222">
        <f>Субсидия!F202</f>
        <v>4432850.33</v>
      </c>
    </row>
    <row r="28" spans="1:10" x14ac:dyDescent="0.25">
      <c r="A28" s="229"/>
      <c r="B28" s="230"/>
      <c r="C28" s="220"/>
      <c r="D28" s="231"/>
      <c r="E28" s="231"/>
      <c r="F28" s="221">
        <f t="shared" si="0"/>
        <v>0</v>
      </c>
      <c r="G28" s="221">
        <f t="shared" si="6"/>
        <v>0</v>
      </c>
      <c r="H28" s="222"/>
      <c r="I28" s="222"/>
    </row>
    <row r="29" spans="1:10" x14ac:dyDescent="0.25">
      <c r="A29" s="232" t="s">
        <v>8</v>
      </c>
      <c r="B29" s="233"/>
      <c r="C29" s="234">
        <f t="shared" ref="C29:I29" si="9">SUM(C6:C28)</f>
        <v>6497973830</v>
      </c>
      <c r="D29" s="235">
        <f t="shared" si="9"/>
        <v>6497973830.000001</v>
      </c>
      <c r="E29" s="235">
        <f t="shared" si="9"/>
        <v>3955688770.75</v>
      </c>
      <c r="F29" s="235">
        <f t="shared" si="9"/>
        <v>0</v>
      </c>
      <c r="G29" s="235">
        <f t="shared" si="9"/>
        <v>0</v>
      </c>
      <c r="H29" s="235">
        <f t="shared" si="9"/>
        <v>8082777205.7600012</v>
      </c>
      <c r="I29" s="235">
        <f t="shared" si="9"/>
        <v>3955688770.75</v>
      </c>
    </row>
    <row r="30" spans="1:10" x14ac:dyDescent="0.25">
      <c r="C30" s="236">
        <f>C29-Субсидия!D516</f>
        <v>0</v>
      </c>
      <c r="D30" s="236"/>
      <c r="E30" s="236"/>
      <c r="F30" s="237"/>
      <c r="G30" s="237"/>
      <c r="H30" s="237">
        <f>H29-Субсидия!E516</f>
        <v>0</v>
      </c>
      <c r="I30" s="237">
        <f>I29-Субсидия!F516</f>
        <v>0</v>
      </c>
    </row>
    <row r="31" spans="1:10" x14ac:dyDescent="0.25">
      <c r="C31" s="236">
        <f>C29-Субсидия!D523</f>
        <v>0</v>
      </c>
      <c r="D31" s="236"/>
      <c r="E31" s="236"/>
      <c r="F31" s="237"/>
      <c r="G31" s="237"/>
      <c r="H31" s="237"/>
      <c r="I31" s="237">
        <f>I29-Субсидия!F523</f>
        <v>0</v>
      </c>
    </row>
  </sheetData>
  <mergeCells count="1">
    <mergeCell ref="A2:I2"/>
  </mergeCells>
  <pageMargins left="0.78740157480314965" right="0.39370078740157483" top="0.59055118110236227" bottom="0.59055118110236227" header="0.31496062992125984" footer="0.31496062992125984"/>
  <pageSetup paperSize="9" scale="54" fitToHeight="6" orientation="landscape" horizontalDpi="300" verticalDpi="300" r:id="rId1"/>
  <headerFooter>
    <oddFooter>&amp;L&amp;P&amp;R&amp;Z&amp;F&amp;A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D43"/>
  <sheetViews>
    <sheetView topLeftCell="A2" zoomScale="40" zoomScaleNormal="40" zoomScaleSheetLayoutView="40" workbookViewId="0">
      <pane xSplit="1" ySplit="8" topLeftCell="B28" activePane="bottomRight" state="frozen"/>
      <selection activeCell="D27" sqref="D27"/>
      <selection pane="topRight" activeCell="D27" sqref="D27"/>
      <selection pane="bottomLeft" activeCell="D27" sqref="D27"/>
      <selection pane="bottomRight" activeCell="FB38" sqref="FB38"/>
    </sheetView>
  </sheetViews>
  <sheetFormatPr defaultColWidth="8.85546875" defaultRowHeight="12.75" x14ac:dyDescent="0.2"/>
  <cols>
    <col min="1" max="10" width="24.140625" style="1" customWidth="1"/>
    <col min="11" max="11" width="22.42578125" style="1" bestFit="1" customWidth="1"/>
    <col min="12" max="12" width="22.140625" style="1" bestFit="1" customWidth="1"/>
    <col min="13" max="13" width="23.85546875" style="1" customWidth="1"/>
    <col min="14" max="14" width="24.85546875" style="1" bestFit="1" customWidth="1"/>
    <col min="15" max="16" width="23.42578125" style="1" customWidth="1"/>
    <col min="17" max="18" width="24.42578125" style="1" bestFit="1" customWidth="1"/>
    <col min="19" max="20" width="23.42578125" style="1" customWidth="1"/>
    <col min="21" max="28" width="22.85546875" style="1" customWidth="1"/>
    <col min="29" max="34" width="25.42578125" style="1" customWidth="1"/>
    <col min="35" max="36" width="22.85546875" style="1" customWidth="1"/>
    <col min="37" max="42" width="25.42578125" style="1" customWidth="1"/>
    <col min="43" max="52" width="22.85546875" style="1" customWidth="1"/>
    <col min="53" max="53" width="24.42578125" style="1" bestFit="1" customWidth="1"/>
    <col min="54" max="68" width="22.85546875" style="1" customWidth="1"/>
    <col min="69" max="76" width="20" style="1" customWidth="1"/>
    <col min="77" max="84" width="22.42578125" style="1" customWidth="1"/>
    <col min="85" max="100" width="22.140625" style="1" customWidth="1"/>
    <col min="101" max="101" width="23.5703125" style="1" bestFit="1" customWidth="1"/>
    <col min="102" max="132" width="22.140625" style="1" customWidth="1"/>
    <col min="133" max="134" width="23.5703125" style="1" bestFit="1" customWidth="1"/>
    <col min="135" max="148" width="22.140625" style="1" customWidth="1"/>
    <col min="149" max="156" width="19.85546875" style="1" customWidth="1"/>
    <col min="157" max="158" width="21" style="1" bestFit="1" customWidth="1"/>
    <col min="159" max="160" width="19.85546875" style="1" customWidth="1"/>
    <col min="161" max="162" width="21" style="1" bestFit="1" customWidth="1"/>
    <col min="163" max="172" width="19.85546875" style="1" customWidth="1"/>
    <col min="173" max="188" width="22.85546875" style="1" customWidth="1"/>
    <col min="189" max="196" width="22.140625" style="1" customWidth="1"/>
    <col min="197" max="204" width="22.85546875" style="1" customWidth="1"/>
    <col min="205" max="212" width="22.140625" style="1" customWidth="1"/>
    <col min="213" max="220" width="23.140625" style="1" customWidth="1"/>
    <col min="221" max="228" width="19.85546875" style="1" customWidth="1"/>
    <col min="229" max="236" width="22.42578125" style="1" customWidth="1"/>
    <col min="237" max="244" width="23.5703125" style="1" customWidth="1"/>
    <col min="245" max="252" width="21.85546875" style="1" customWidth="1"/>
    <col min="253" max="292" width="22.140625" style="1" customWidth="1"/>
    <col min="293" max="300" width="22.85546875" style="1" customWidth="1"/>
    <col min="301" max="301" width="21.85546875" style="1" customWidth="1"/>
    <col min="302" max="308" width="22.85546875" style="1" customWidth="1"/>
    <col min="309" max="310" width="23.5703125" style="1" bestFit="1" customWidth="1"/>
    <col min="311" max="316" width="22.140625" style="1" customWidth="1"/>
    <col min="317" max="16384" width="8.85546875" style="1"/>
  </cols>
  <sheetData>
    <row r="2" spans="1:316" ht="19.5" x14ac:dyDescent="0.3">
      <c r="O2" s="23" t="s">
        <v>260</v>
      </c>
      <c r="V2" s="23"/>
      <c r="W2" s="23"/>
      <c r="X2" s="23"/>
      <c r="Y2" s="23"/>
      <c r="Z2" s="23"/>
      <c r="AA2" s="23"/>
      <c r="AB2" s="23"/>
      <c r="AD2" s="23"/>
      <c r="AE2" s="23"/>
      <c r="AF2" s="23"/>
      <c r="AG2" s="23"/>
      <c r="AH2" s="23"/>
      <c r="AI2" s="23"/>
      <c r="AJ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c r="IY2" s="23"/>
      <c r="IZ2" s="23"/>
      <c r="JA2" s="23"/>
      <c r="JB2" s="23"/>
      <c r="JC2" s="23"/>
      <c r="JD2" s="23"/>
      <c r="JE2" s="23"/>
      <c r="JF2" s="23"/>
      <c r="JG2" s="23"/>
      <c r="JH2" s="23"/>
      <c r="JI2" s="23"/>
      <c r="JJ2" s="23"/>
      <c r="JK2" s="23"/>
      <c r="JL2" s="23"/>
      <c r="JM2" s="23"/>
      <c r="JN2" s="23"/>
      <c r="JO2" s="23"/>
      <c r="JP2" s="23"/>
      <c r="JQ2" s="23"/>
      <c r="JR2" s="23"/>
      <c r="JS2" s="23"/>
      <c r="JT2" s="23"/>
      <c r="JU2" s="23"/>
      <c r="JV2" s="23"/>
      <c r="JW2" s="23"/>
      <c r="JX2" s="23"/>
      <c r="JY2" s="23"/>
      <c r="JZ2" s="23"/>
      <c r="KA2" s="23"/>
      <c r="KB2" s="23"/>
      <c r="KC2" s="23"/>
      <c r="KD2" s="23"/>
      <c r="KE2" s="23"/>
      <c r="KF2" s="23"/>
      <c r="KG2" s="23"/>
      <c r="KH2" s="23"/>
      <c r="KI2" s="23"/>
      <c r="KJ2" s="23"/>
      <c r="KK2" s="23"/>
      <c r="KL2" s="23"/>
      <c r="KM2" s="23"/>
      <c r="KN2" s="23"/>
      <c r="KO2" s="23"/>
      <c r="KP2" s="23"/>
      <c r="KQ2" s="23"/>
      <c r="KR2" s="23"/>
      <c r="KS2" s="23"/>
      <c r="KT2" s="23"/>
      <c r="KU2" s="23"/>
      <c r="KV2" s="23"/>
      <c r="KW2" s="23"/>
      <c r="KX2" s="23"/>
      <c r="KY2" s="23"/>
      <c r="KZ2" s="23"/>
      <c r="LA2" s="23"/>
      <c r="LB2" s="23"/>
      <c r="LC2" s="23"/>
      <c r="LD2" s="23"/>
    </row>
    <row r="3" spans="1:316" ht="19.5" x14ac:dyDescent="0.3">
      <c r="P3" s="24" t="str">
        <f>'Район  и  поселения'!E3</f>
        <v>ПО  СОСТОЯНИЮ  НА  1  ОКТЯБРЯ  2024  ГОДА</v>
      </c>
      <c r="Z3" s="24"/>
      <c r="AA3" s="24"/>
      <c r="AB3" s="24"/>
      <c r="AH3" s="24"/>
      <c r="AI3" s="24"/>
      <c r="AJ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row>
    <row r="5" spans="1:316" ht="13.5" thickBot="1" x14ac:dyDescent="0.25">
      <c r="M5" s="25"/>
      <c r="N5" s="25"/>
      <c r="O5" s="25"/>
      <c r="P5" s="25"/>
    </row>
    <row r="6" spans="1:316" ht="47.1" customHeight="1" thickBot="1" x14ac:dyDescent="0.25">
      <c r="A6" s="1789" t="s">
        <v>261</v>
      </c>
      <c r="B6" s="1880" t="s">
        <v>262</v>
      </c>
      <c r="C6" s="1881"/>
      <c r="D6" s="1881"/>
      <c r="E6" s="1881"/>
      <c r="F6" s="1881"/>
      <c r="G6" s="1881"/>
      <c r="H6" s="1881"/>
      <c r="I6" s="1882"/>
      <c r="J6" s="26"/>
      <c r="K6" s="26"/>
      <c r="L6" s="26"/>
      <c r="M6" s="1835" t="s">
        <v>263</v>
      </c>
      <c r="N6" s="1836"/>
      <c r="O6" s="1836"/>
      <c r="P6" s="1836"/>
      <c r="Q6" s="1836"/>
      <c r="R6" s="1836"/>
      <c r="S6" s="1836"/>
      <c r="T6" s="1836"/>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c r="CL6" s="27"/>
      <c r="CM6" s="27"/>
      <c r="CN6" s="27"/>
      <c r="CO6" s="27"/>
      <c r="CP6" s="27"/>
      <c r="CQ6" s="27"/>
      <c r="CR6" s="27"/>
      <c r="CS6" s="27"/>
      <c r="CT6" s="27"/>
      <c r="CU6" s="27"/>
      <c r="CV6" s="27"/>
      <c r="CW6" s="27"/>
      <c r="CX6" s="27"/>
      <c r="CY6" s="27"/>
      <c r="CZ6" s="27"/>
      <c r="DA6" s="27"/>
      <c r="DB6" s="27"/>
      <c r="DC6" s="27"/>
      <c r="DD6" s="27"/>
      <c r="DE6" s="27"/>
      <c r="DF6" s="27"/>
      <c r="DG6" s="27"/>
      <c r="DH6" s="27"/>
      <c r="DI6" s="27"/>
      <c r="DJ6" s="27"/>
      <c r="DK6" s="27"/>
      <c r="DL6" s="27"/>
      <c r="DM6" s="27"/>
      <c r="DN6" s="27"/>
      <c r="DO6" s="27"/>
      <c r="DP6" s="27"/>
      <c r="DQ6" s="27"/>
      <c r="DR6" s="27"/>
      <c r="DS6" s="27"/>
      <c r="DT6" s="27"/>
      <c r="DU6" s="27"/>
      <c r="DV6" s="27"/>
      <c r="DW6" s="27"/>
      <c r="DX6" s="27"/>
      <c r="DY6" s="27"/>
      <c r="DZ6" s="27"/>
      <c r="EA6" s="27"/>
      <c r="EB6" s="27"/>
      <c r="EC6" s="27"/>
      <c r="ED6" s="27"/>
      <c r="EE6" s="27"/>
      <c r="EF6" s="27"/>
      <c r="EG6" s="27"/>
      <c r="EH6" s="27"/>
      <c r="EI6" s="27"/>
      <c r="EJ6" s="27"/>
      <c r="EK6" s="27"/>
      <c r="EL6" s="27"/>
      <c r="EM6" s="27"/>
      <c r="EN6" s="27"/>
      <c r="EO6" s="27"/>
      <c r="EP6" s="27"/>
      <c r="EQ6" s="27"/>
      <c r="ER6" s="27"/>
      <c r="ES6" s="27"/>
      <c r="ET6" s="27"/>
      <c r="EU6" s="27"/>
      <c r="EV6" s="27"/>
      <c r="EW6" s="27"/>
      <c r="EX6" s="27"/>
      <c r="EY6" s="27"/>
      <c r="EZ6" s="27"/>
      <c r="FA6" s="27"/>
      <c r="FB6" s="27"/>
      <c r="FC6" s="27"/>
      <c r="FD6" s="27"/>
      <c r="FE6" s="27"/>
      <c r="FF6" s="27"/>
      <c r="FG6" s="27"/>
      <c r="FH6" s="27"/>
      <c r="FI6" s="27"/>
      <c r="FJ6" s="27"/>
      <c r="FK6" s="27"/>
      <c r="FL6" s="27"/>
      <c r="FM6" s="27"/>
      <c r="FN6" s="27"/>
      <c r="FO6" s="27"/>
      <c r="FP6" s="27"/>
      <c r="FQ6" s="27"/>
      <c r="FR6" s="27"/>
      <c r="FS6" s="27"/>
      <c r="FT6" s="27"/>
      <c r="FU6" s="27"/>
      <c r="FV6" s="27"/>
      <c r="FW6" s="27"/>
      <c r="FX6" s="27"/>
      <c r="FY6" s="27"/>
      <c r="FZ6" s="27"/>
      <c r="GA6" s="27"/>
      <c r="GB6" s="27"/>
      <c r="GC6" s="27"/>
      <c r="GD6" s="27"/>
      <c r="GE6" s="27"/>
      <c r="GF6" s="27"/>
      <c r="GG6" s="27"/>
      <c r="GH6" s="27"/>
      <c r="GI6" s="27"/>
      <c r="GJ6" s="27"/>
      <c r="GK6" s="27"/>
      <c r="GL6" s="27"/>
      <c r="GM6" s="27"/>
      <c r="GN6" s="27"/>
      <c r="GO6" s="27"/>
      <c r="GP6" s="27"/>
      <c r="GQ6" s="27"/>
      <c r="GR6" s="27"/>
      <c r="GS6" s="27"/>
      <c r="GT6" s="27"/>
      <c r="GU6" s="27"/>
      <c r="GV6" s="27"/>
      <c r="GW6" s="27"/>
      <c r="GX6" s="27"/>
      <c r="GY6" s="27"/>
      <c r="GZ6" s="27"/>
      <c r="HA6" s="27"/>
      <c r="HB6" s="27"/>
      <c r="HC6" s="27"/>
      <c r="HD6" s="27"/>
      <c r="HE6" s="27"/>
      <c r="HF6" s="27"/>
      <c r="HG6" s="27"/>
      <c r="HH6" s="27"/>
      <c r="HI6" s="27"/>
      <c r="HJ6" s="27"/>
      <c r="HK6" s="27"/>
      <c r="HL6" s="27"/>
      <c r="HM6" s="27"/>
      <c r="HN6" s="27"/>
      <c r="HO6" s="27"/>
      <c r="HP6" s="27"/>
      <c r="HQ6" s="27"/>
      <c r="HR6" s="27"/>
      <c r="HS6" s="27"/>
      <c r="HT6" s="27"/>
      <c r="HU6" s="27"/>
      <c r="HV6" s="27"/>
      <c r="HW6" s="27"/>
      <c r="HX6" s="27"/>
      <c r="HY6" s="27"/>
      <c r="HZ6" s="27"/>
      <c r="IA6" s="27"/>
      <c r="IB6" s="27"/>
      <c r="IC6" s="27"/>
      <c r="ID6" s="27"/>
      <c r="IE6" s="27"/>
      <c r="IF6" s="27"/>
      <c r="IG6" s="27"/>
      <c r="IH6" s="27"/>
      <c r="II6" s="27"/>
      <c r="IJ6" s="27"/>
      <c r="IK6" s="27"/>
      <c r="IL6" s="27"/>
      <c r="IM6" s="27"/>
      <c r="IN6" s="27"/>
      <c r="IO6" s="27"/>
      <c r="IP6" s="27"/>
      <c r="IQ6" s="27"/>
      <c r="IR6" s="27"/>
      <c r="IS6" s="27"/>
      <c r="IT6" s="27"/>
      <c r="IU6" s="27"/>
      <c r="IV6" s="27"/>
      <c r="IW6" s="27"/>
      <c r="IX6" s="27"/>
      <c r="IY6" s="27"/>
      <c r="IZ6" s="27"/>
      <c r="JA6" s="27"/>
      <c r="JB6" s="27"/>
      <c r="JC6" s="27"/>
      <c r="JD6" s="27"/>
      <c r="JE6" s="27"/>
      <c r="JF6" s="27"/>
      <c r="JG6" s="27"/>
      <c r="JH6" s="27"/>
      <c r="JI6" s="27"/>
      <c r="JJ6" s="27"/>
      <c r="JK6" s="27"/>
      <c r="JL6" s="27"/>
      <c r="JM6" s="27"/>
      <c r="JN6" s="27"/>
      <c r="JO6" s="27"/>
      <c r="JP6" s="27"/>
      <c r="JQ6" s="27"/>
      <c r="JR6" s="27"/>
      <c r="JS6" s="27"/>
      <c r="JT6" s="27"/>
      <c r="JU6" s="27"/>
      <c r="JV6" s="27"/>
      <c r="JW6" s="27"/>
      <c r="JX6" s="27"/>
      <c r="JY6" s="27"/>
      <c r="JZ6" s="27"/>
      <c r="KA6" s="27"/>
      <c r="KB6" s="27"/>
      <c r="KC6" s="27"/>
      <c r="KD6" s="27"/>
      <c r="KE6" s="27"/>
      <c r="KF6" s="27"/>
      <c r="KG6" s="27"/>
      <c r="KH6" s="27"/>
      <c r="KI6" s="27"/>
      <c r="KJ6" s="27"/>
      <c r="KK6" s="27"/>
      <c r="KL6" s="27"/>
      <c r="KM6" s="27"/>
      <c r="KN6" s="27"/>
      <c r="KO6" s="27"/>
      <c r="KP6" s="27"/>
      <c r="KQ6" s="27"/>
      <c r="KR6" s="27"/>
      <c r="KS6" s="27"/>
      <c r="KT6" s="27"/>
      <c r="KU6" s="27"/>
      <c r="KV6" s="27"/>
      <c r="KW6" s="27"/>
      <c r="KX6" s="27"/>
      <c r="KY6" s="27"/>
      <c r="KZ6" s="27"/>
      <c r="LA6" s="27"/>
      <c r="LB6" s="27"/>
      <c r="LC6" s="27"/>
      <c r="LD6" s="27"/>
    </row>
    <row r="7" spans="1:316" ht="58.5" customHeight="1" thickBot="1" x14ac:dyDescent="0.25">
      <c r="A7" s="1790"/>
      <c r="B7" s="1790" t="s">
        <v>264</v>
      </c>
      <c r="C7" s="1872" t="s">
        <v>265</v>
      </c>
      <c r="D7" s="1872" t="s">
        <v>266</v>
      </c>
      <c r="E7" s="1872" t="s">
        <v>267</v>
      </c>
      <c r="F7" s="1790" t="s">
        <v>268</v>
      </c>
      <c r="G7" s="1872" t="s">
        <v>265</v>
      </c>
      <c r="H7" s="1872" t="s">
        <v>266</v>
      </c>
      <c r="I7" s="1872" t="s">
        <v>267</v>
      </c>
      <c r="J7" s="28"/>
      <c r="K7" s="28"/>
      <c r="L7" s="28"/>
      <c r="M7" s="1790" t="s">
        <v>264</v>
      </c>
      <c r="N7" s="1872" t="s">
        <v>265</v>
      </c>
      <c r="O7" s="1872" t="s">
        <v>266</v>
      </c>
      <c r="P7" s="1872" t="s">
        <v>267</v>
      </c>
      <c r="Q7" s="1790" t="s">
        <v>268</v>
      </c>
      <c r="R7" s="1872" t="s">
        <v>265</v>
      </c>
      <c r="S7" s="1872" t="s">
        <v>266</v>
      </c>
      <c r="T7" s="1872" t="s">
        <v>267</v>
      </c>
      <c r="U7" s="1874" t="s">
        <v>269</v>
      </c>
      <c r="V7" s="1875"/>
      <c r="W7" s="1875"/>
      <c r="X7" s="1875"/>
      <c r="Y7" s="1875"/>
      <c r="Z7" s="1875"/>
      <c r="AA7" s="1875"/>
      <c r="AB7" s="1876"/>
      <c r="AC7" s="1883" t="s">
        <v>270</v>
      </c>
      <c r="AD7" s="1884"/>
      <c r="AE7" s="1884"/>
      <c r="AF7" s="1884"/>
      <c r="AG7" s="1884"/>
      <c r="AH7" s="1884"/>
      <c r="AI7" s="1884"/>
      <c r="AJ7" s="1884"/>
      <c r="AK7" s="1884"/>
      <c r="AL7" s="1884"/>
      <c r="AM7" s="1884"/>
      <c r="AN7" s="1884"/>
      <c r="AO7" s="1884"/>
      <c r="AP7" s="1884"/>
      <c r="AQ7" s="1884"/>
      <c r="AR7" s="1885"/>
      <c r="AS7" s="1779" t="s">
        <v>271</v>
      </c>
      <c r="AT7" s="1815"/>
      <c r="AU7" s="1815"/>
      <c r="AV7" s="1815"/>
      <c r="AW7" s="1815"/>
      <c r="AX7" s="1815"/>
      <c r="AY7" s="1815"/>
      <c r="AZ7" s="1815"/>
      <c r="BA7" s="1815"/>
      <c r="BB7" s="1815"/>
      <c r="BC7" s="1815"/>
      <c r="BD7" s="1815"/>
      <c r="BE7" s="1815"/>
      <c r="BF7" s="1815"/>
      <c r="BG7" s="1815"/>
      <c r="BH7" s="1815"/>
      <c r="BI7" s="1815"/>
      <c r="BJ7" s="1815"/>
      <c r="BK7" s="1815"/>
      <c r="BL7" s="1815"/>
      <c r="BM7" s="1815"/>
      <c r="BN7" s="1815"/>
      <c r="BO7" s="1815"/>
      <c r="BP7" s="1784"/>
      <c r="BQ7" s="1769" t="s">
        <v>272</v>
      </c>
      <c r="BR7" s="1771"/>
      <c r="BS7" s="1771"/>
      <c r="BT7" s="1771"/>
      <c r="BU7" s="1771"/>
      <c r="BV7" s="1771"/>
      <c r="BW7" s="1771"/>
      <c r="BX7" s="1770"/>
      <c r="BY7" s="1817" t="s">
        <v>273</v>
      </c>
      <c r="BZ7" s="1818"/>
      <c r="CA7" s="1818"/>
      <c r="CB7" s="1818"/>
      <c r="CC7" s="1818"/>
      <c r="CD7" s="1818"/>
      <c r="CE7" s="1818"/>
      <c r="CF7" s="1818"/>
      <c r="CG7" s="1769" t="s">
        <v>274</v>
      </c>
      <c r="CH7" s="1771"/>
      <c r="CI7" s="1771"/>
      <c r="CJ7" s="1771"/>
      <c r="CK7" s="1771"/>
      <c r="CL7" s="1771"/>
      <c r="CM7" s="1771"/>
      <c r="CN7" s="1771"/>
      <c r="CO7" s="1769" t="s">
        <v>275</v>
      </c>
      <c r="CP7" s="1771"/>
      <c r="CQ7" s="1771"/>
      <c r="CR7" s="1771"/>
      <c r="CS7" s="1771"/>
      <c r="CT7" s="1771"/>
      <c r="CU7" s="1771"/>
      <c r="CV7" s="1770"/>
      <c r="CW7" s="1779" t="s">
        <v>276</v>
      </c>
      <c r="CX7" s="1815"/>
      <c r="CY7" s="1815"/>
      <c r="CZ7" s="1815"/>
      <c r="DA7" s="1815"/>
      <c r="DB7" s="1815"/>
      <c r="DC7" s="1815"/>
      <c r="DD7" s="1815"/>
      <c r="DE7" s="1769" t="s">
        <v>277</v>
      </c>
      <c r="DF7" s="1771"/>
      <c r="DG7" s="1771"/>
      <c r="DH7" s="1771"/>
      <c r="DI7" s="1771"/>
      <c r="DJ7" s="1771"/>
      <c r="DK7" s="1771"/>
      <c r="DL7" s="1770"/>
      <c r="DM7" s="1769" t="s">
        <v>278</v>
      </c>
      <c r="DN7" s="1771"/>
      <c r="DO7" s="1771"/>
      <c r="DP7" s="1771"/>
      <c r="DQ7" s="1771"/>
      <c r="DR7" s="1771"/>
      <c r="DS7" s="1771"/>
      <c r="DT7" s="1770"/>
      <c r="DU7" s="1769" t="s">
        <v>279</v>
      </c>
      <c r="DV7" s="1771"/>
      <c r="DW7" s="1771"/>
      <c r="DX7" s="1771"/>
      <c r="DY7" s="1771"/>
      <c r="DZ7" s="1771"/>
      <c r="EA7" s="1771"/>
      <c r="EB7" s="1770"/>
      <c r="EC7" s="1769" t="s">
        <v>280</v>
      </c>
      <c r="ED7" s="1771"/>
      <c r="EE7" s="1771"/>
      <c r="EF7" s="1771"/>
      <c r="EG7" s="1771"/>
      <c r="EH7" s="1771"/>
      <c r="EI7" s="1771"/>
      <c r="EJ7" s="1770"/>
      <c r="EK7" s="1769" t="s">
        <v>280</v>
      </c>
      <c r="EL7" s="1771"/>
      <c r="EM7" s="1771"/>
      <c r="EN7" s="1771"/>
      <c r="EO7" s="1771"/>
      <c r="EP7" s="1771"/>
      <c r="EQ7" s="1771"/>
      <c r="ER7" s="1770"/>
      <c r="ES7" s="1769" t="s">
        <v>281</v>
      </c>
      <c r="ET7" s="1771"/>
      <c r="EU7" s="1771"/>
      <c r="EV7" s="1771"/>
      <c r="EW7" s="1771"/>
      <c r="EX7" s="1771"/>
      <c r="EY7" s="1771"/>
      <c r="EZ7" s="1770"/>
      <c r="FA7" s="1771" t="s">
        <v>282</v>
      </c>
      <c r="FB7" s="1771"/>
      <c r="FC7" s="1771"/>
      <c r="FD7" s="1771"/>
      <c r="FE7" s="1771"/>
      <c r="FF7" s="1771"/>
      <c r="FG7" s="1771"/>
      <c r="FH7" s="1770"/>
      <c r="FI7" s="1769" t="s">
        <v>283</v>
      </c>
      <c r="FJ7" s="1771"/>
      <c r="FK7" s="1771"/>
      <c r="FL7" s="1771"/>
      <c r="FM7" s="1771"/>
      <c r="FN7" s="1771"/>
      <c r="FO7" s="1771"/>
      <c r="FP7" s="1770"/>
      <c r="FQ7" s="1769" t="s">
        <v>284</v>
      </c>
      <c r="FR7" s="1771"/>
      <c r="FS7" s="1771"/>
      <c r="FT7" s="1771"/>
      <c r="FU7" s="1771"/>
      <c r="FV7" s="1771"/>
      <c r="FW7" s="1771"/>
      <c r="FX7" s="1770"/>
      <c r="FY7" s="1779" t="s">
        <v>285</v>
      </c>
      <c r="FZ7" s="1815"/>
      <c r="GA7" s="1815"/>
      <c r="GB7" s="1815"/>
      <c r="GC7" s="1815"/>
      <c r="GD7" s="1815"/>
      <c r="GE7" s="1815"/>
      <c r="GF7" s="1815"/>
      <c r="GG7" s="1815"/>
      <c r="GH7" s="1815"/>
      <c r="GI7" s="1815"/>
      <c r="GJ7" s="1815"/>
      <c r="GK7" s="1815"/>
      <c r="GL7" s="1815"/>
      <c r="GM7" s="1815"/>
      <c r="GN7" s="1784"/>
      <c r="GO7" s="1779" t="s">
        <v>286</v>
      </c>
      <c r="GP7" s="1815"/>
      <c r="GQ7" s="1815"/>
      <c r="GR7" s="1815"/>
      <c r="GS7" s="1815"/>
      <c r="GT7" s="1815"/>
      <c r="GU7" s="1815"/>
      <c r="GV7" s="1784"/>
      <c r="GW7" s="1779" t="s">
        <v>287</v>
      </c>
      <c r="GX7" s="1815"/>
      <c r="GY7" s="1815"/>
      <c r="GZ7" s="1815"/>
      <c r="HA7" s="1815"/>
      <c r="HB7" s="1815"/>
      <c r="HC7" s="1815"/>
      <c r="HD7" s="1815"/>
      <c r="HE7" s="1815"/>
      <c r="HF7" s="1815"/>
      <c r="HG7" s="1815"/>
      <c r="HH7" s="1815"/>
      <c r="HI7" s="1815"/>
      <c r="HJ7" s="1815"/>
      <c r="HK7" s="1815"/>
      <c r="HL7" s="1815"/>
      <c r="HM7" s="1815"/>
      <c r="HN7" s="1815"/>
      <c r="HO7" s="1815"/>
      <c r="HP7" s="1815"/>
      <c r="HQ7" s="1815"/>
      <c r="HR7" s="1815"/>
      <c r="HS7" s="1815"/>
      <c r="HT7" s="1784"/>
      <c r="HU7" s="1779" t="s">
        <v>288</v>
      </c>
      <c r="HV7" s="1815"/>
      <c r="HW7" s="1815"/>
      <c r="HX7" s="1815"/>
      <c r="HY7" s="1815"/>
      <c r="HZ7" s="1815"/>
      <c r="IA7" s="1815"/>
      <c r="IB7" s="1815"/>
      <c r="IC7" s="1779" t="s">
        <v>289</v>
      </c>
      <c r="ID7" s="1815"/>
      <c r="IE7" s="1815"/>
      <c r="IF7" s="1815"/>
      <c r="IG7" s="1815"/>
      <c r="IH7" s="1815"/>
      <c r="II7" s="1815"/>
      <c r="IJ7" s="1784"/>
      <c r="IK7" s="1817" t="s">
        <v>290</v>
      </c>
      <c r="IL7" s="1818"/>
      <c r="IM7" s="1818"/>
      <c r="IN7" s="1818"/>
      <c r="IO7" s="1818"/>
      <c r="IP7" s="1818"/>
      <c r="IQ7" s="1818"/>
      <c r="IR7" s="1837"/>
      <c r="IS7" s="1769" t="s">
        <v>291</v>
      </c>
      <c r="IT7" s="1771"/>
      <c r="IU7" s="1771"/>
      <c r="IV7" s="1771"/>
      <c r="IW7" s="1771"/>
      <c r="IX7" s="1771"/>
      <c r="IY7" s="1771"/>
      <c r="IZ7" s="1770"/>
      <c r="JA7" s="1769" t="s">
        <v>292</v>
      </c>
      <c r="JB7" s="1771"/>
      <c r="JC7" s="1771"/>
      <c r="JD7" s="1771"/>
      <c r="JE7" s="1771"/>
      <c r="JF7" s="1771"/>
      <c r="JG7" s="1771"/>
      <c r="JH7" s="1770"/>
      <c r="JI7" s="1769" t="s">
        <v>293</v>
      </c>
      <c r="JJ7" s="1771"/>
      <c r="JK7" s="1771"/>
      <c r="JL7" s="1771"/>
      <c r="JM7" s="1771"/>
      <c r="JN7" s="1771"/>
      <c r="JO7" s="1771"/>
      <c r="JP7" s="1770"/>
      <c r="JQ7" s="1769" t="s">
        <v>294</v>
      </c>
      <c r="JR7" s="1771"/>
      <c r="JS7" s="1771"/>
      <c r="JT7" s="1771"/>
      <c r="JU7" s="1771"/>
      <c r="JV7" s="1771"/>
      <c r="JW7" s="1771"/>
      <c r="JX7" s="1770"/>
      <c r="JY7" s="1779" t="s">
        <v>295</v>
      </c>
      <c r="JZ7" s="1815"/>
      <c r="KA7" s="1815"/>
      <c r="KB7" s="1815"/>
      <c r="KC7" s="1815"/>
      <c r="KD7" s="1815"/>
      <c r="KE7" s="1815"/>
      <c r="KF7" s="1784"/>
      <c r="KG7" s="1817" t="s">
        <v>296</v>
      </c>
      <c r="KH7" s="1818"/>
      <c r="KI7" s="1818"/>
      <c r="KJ7" s="1818"/>
      <c r="KK7" s="1818"/>
      <c r="KL7" s="1818"/>
      <c r="KM7" s="1818"/>
      <c r="KN7" s="1818"/>
      <c r="KO7" s="1818"/>
      <c r="KP7" s="1818"/>
      <c r="KQ7" s="1818"/>
      <c r="KR7" s="1818"/>
      <c r="KS7" s="1818"/>
      <c r="KT7" s="1818"/>
      <c r="KU7" s="1818"/>
      <c r="KV7" s="1818"/>
      <c r="KW7" s="1818"/>
      <c r="KX7" s="1818"/>
      <c r="KY7" s="1818"/>
      <c r="KZ7" s="1818"/>
      <c r="LA7" s="1818"/>
      <c r="LB7" s="1818"/>
      <c r="LC7" s="1818"/>
      <c r="LD7" s="1837"/>
    </row>
    <row r="8" spans="1:316" ht="102" customHeight="1" thickBot="1" x14ac:dyDescent="0.25">
      <c r="A8" s="1790"/>
      <c r="B8" s="1790"/>
      <c r="C8" s="1872"/>
      <c r="D8" s="1872"/>
      <c r="E8" s="1872"/>
      <c r="F8" s="1790"/>
      <c r="G8" s="1872"/>
      <c r="H8" s="1872"/>
      <c r="I8" s="1872"/>
      <c r="J8" s="28"/>
      <c r="K8" s="28"/>
      <c r="L8" s="28"/>
      <c r="M8" s="1790"/>
      <c r="N8" s="1872"/>
      <c r="O8" s="1872"/>
      <c r="P8" s="1872"/>
      <c r="Q8" s="1790"/>
      <c r="R8" s="1872"/>
      <c r="S8" s="1872"/>
      <c r="T8" s="1872"/>
      <c r="U8" s="1877"/>
      <c r="V8" s="1878"/>
      <c r="W8" s="1878"/>
      <c r="X8" s="1878"/>
      <c r="Y8" s="1878"/>
      <c r="Z8" s="1878"/>
      <c r="AA8" s="1878"/>
      <c r="AB8" s="1879"/>
      <c r="AC8" s="1886" t="s">
        <v>1278</v>
      </c>
      <c r="AD8" s="1887"/>
      <c r="AE8" s="1887"/>
      <c r="AF8" s="1887"/>
      <c r="AG8" s="1887"/>
      <c r="AH8" s="1887"/>
      <c r="AI8" s="1887"/>
      <c r="AJ8" s="1888"/>
      <c r="AK8" s="1886" t="s">
        <v>1279</v>
      </c>
      <c r="AL8" s="1887"/>
      <c r="AM8" s="1887"/>
      <c r="AN8" s="1887"/>
      <c r="AO8" s="1887"/>
      <c r="AP8" s="1887"/>
      <c r="AQ8" s="1887"/>
      <c r="AR8" s="1888"/>
      <c r="AS8" s="1779" t="s">
        <v>297</v>
      </c>
      <c r="AT8" s="1815"/>
      <c r="AU8" s="1815"/>
      <c r="AV8" s="1815"/>
      <c r="AW8" s="1815"/>
      <c r="AX8" s="1815"/>
      <c r="AY8" s="1815"/>
      <c r="AZ8" s="1815"/>
      <c r="BA8" s="1779" t="s">
        <v>298</v>
      </c>
      <c r="BB8" s="1815"/>
      <c r="BC8" s="1815"/>
      <c r="BD8" s="1815"/>
      <c r="BE8" s="1815"/>
      <c r="BF8" s="1815"/>
      <c r="BG8" s="1815"/>
      <c r="BH8" s="1784"/>
      <c r="BI8" s="1779" t="s">
        <v>299</v>
      </c>
      <c r="BJ8" s="1815"/>
      <c r="BK8" s="1815"/>
      <c r="BL8" s="1815"/>
      <c r="BM8" s="1815"/>
      <c r="BN8" s="1815"/>
      <c r="BO8" s="1815"/>
      <c r="BP8" s="1784"/>
      <c r="BQ8" s="1763"/>
      <c r="BR8" s="1772"/>
      <c r="BS8" s="1772"/>
      <c r="BT8" s="1772"/>
      <c r="BU8" s="1772"/>
      <c r="BV8" s="1772"/>
      <c r="BW8" s="1772"/>
      <c r="BX8" s="1764"/>
      <c r="BY8" s="1779" t="s">
        <v>300</v>
      </c>
      <c r="BZ8" s="1815"/>
      <c r="CA8" s="1815"/>
      <c r="CB8" s="1815"/>
      <c r="CC8" s="1815"/>
      <c r="CD8" s="1815"/>
      <c r="CE8" s="1815"/>
      <c r="CF8" s="1784"/>
      <c r="CG8" s="1763"/>
      <c r="CH8" s="1772"/>
      <c r="CI8" s="1772"/>
      <c r="CJ8" s="1772"/>
      <c r="CK8" s="1772"/>
      <c r="CL8" s="1772"/>
      <c r="CM8" s="1772"/>
      <c r="CN8" s="1772"/>
      <c r="CO8" s="1763"/>
      <c r="CP8" s="1772"/>
      <c r="CQ8" s="1772"/>
      <c r="CR8" s="1772"/>
      <c r="CS8" s="1772"/>
      <c r="CT8" s="1772"/>
      <c r="CU8" s="1772"/>
      <c r="CV8" s="1764"/>
      <c r="CW8" s="1779" t="s">
        <v>301</v>
      </c>
      <c r="CX8" s="1815"/>
      <c r="CY8" s="1815"/>
      <c r="CZ8" s="1815"/>
      <c r="DA8" s="1815"/>
      <c r="DB8" s="1815"/>
      <c r="DC8" s="1815"/>
      <c r="DD8" s="1815"/>
      <c r="DE8" s="1763"/>
      <c r="DF8" s="1772"/>
      <c r="DG8" s="1772"/>
      <c r="DH8" s="1772"/>
      <c r="DI8" s="1772"/>
      <c r="DJ8" s="1772"/>
      <c r="DK8" s="1772"/>
      <c r="DL8" s="1764"/>
      <c r="DM8" s="1763"/>
      <c r="DN8" s="1772"/>
      <c r="DO8" s="1772"/>
      <c r="DP8" s="1772"/>
      <c r="DQ8" s="1772"/>
      <c r="DR8" s="1772"/>
      <c r="DS8" s="1772"/>
      <c r="DT8" s="1764"/>
      <c r="DU8" s="1763"/>
      <c r="DV8" s="1772"/>
      <c r="DW8" s="1772"/>
      <c r="DX8" s="1772"/>
      <c r="DY8" s="1772"/>
      <c r="DZ8" s="1772"/>
      <c r="EA8" s="1772"/>
      <c r="EB8" s="1764"/>
      <c r="EC8" s="1763"/>
      <c r="ED8" s="1772"/>
      <c r="EE8" s="1772"/>
      <c r="EF8" s="1772"/>
      <c r="EG8" s="1772"/>
      <c r="EH8" s="1772"/>
      <c r="EI8" s="1772"/>
      <c r="EJ8" s="1764"/>
      <c r="EK8" s="1763"/>
      <c r="EL8" s="1772"/>
      <c r="EM8" s="1772"/>
      <c r="EN8" s="1772"/>
      <c r="EO8" s="1772"/>
      <c r="EP8" s="1772"/>
      <c r="EQ8" s="1772"/>
      <c r="ER8" s="1764"/>
      <c r="ES8" s="1763"/>
      <c r="ET8" s="1772"/>
      <c r="EU8" s="1772"/>
      <c r="EV8" s="1772"/>
      <c r="EW8" s="1772"/>
      <c r="EX8" s="1772"/>
      <c r="EY8" s="1772"/>
      <c r="EZ8" s="1764"/>
      <c r="FA8" s="1772"/>
      <c r="FB8" s="1772"/>
      <c r="FC8" s="1772"/>
      <c r="FD8" s="1772"/>
      <c r="FE8" s="1772"/>
      <c r="FF8" s="1772"/>
      <c r="FG8" s="1772"/>
      <c r="FH8" s="1764"/>
      <c r="FI8" s="1763"/>
      <c r="FJ8" s="1772"/>
      <c r="FK8" s="1772"/>
      <c r="FL8" s="1772"/>
      <c r="FM8" s="1772"/>
      <c r="FN8" s="1772"/>
      <c r="FO8" s="1772"/>
      <c r="FP8" s="1764"/>
      <c r="FQ8" s="1763"/>
      <c r="FR8" s="1772"/>
      <c r="FS8" s="1772"/>
      <c r="FT8" s="1772"/>
      <c r="FU8" s="1772"/>
      <c r="FV8" s="1772"/>
      <c r="FW8" s="1772"/>
      <c r="FX8" s="1764"/>
      <c r="FY8" s="1779" t="s">
        <v>302</v>
      </c>
      <c r="FZ8" s="1815"/>
      <c r="GA8" s="1815"/>
      <c r="GB8" s="1815"/>
      <c r="GC8" s="1815"/>
      <c r="GD8" s="1815"/>
      <c r="GE8" s="1815"/>
      <c r="GF8" s="1784"/>
      <c r="GG8" s="1779" t="s">
        <v>303</v>
      </c>
      <c r="GH8" s="1815"/>
      <c r="GI8" s="1815"/>
      <c r="GJ8" s="1815"/>
      <c r="GK8" s="1815"/>
      <c r="GL8" s="1815"/>
      <c r="GM8" s="1815"/>
      <c r="GN8" s="1784"/>
      <c r="GO8" s="1779" t="s">
        <v>304</v>
      </c>
      <c r="GP8" s="1815"/>
      <c r="GQ8" s="1815"/>
      <c r="GR8" s="1815"/>
      <c r="GS8" s="1815"/>
      <c r="GT8" s="1815"/>
      <c r="GU8" s="1815"/>
      <c r="GV8" s="1784"/>
      <c r="GW8" s="1779" t="s">
        <v>305</v>
      </c>
      <c r="GX8" s="1815"/>
      <c r="GY8" s="1815"/>
      <c r="GZ8" s="1815"/>
      <c r="HA8" s="1815"/>
      <c r="HB8" s="1815"/>
      <c r="HC8" s="1815"/>
      <c r="HD8" s="1784"/>
      <c r="HE8" s="1779" t="s">
        <v>306</v>
      </c>
      <c r="HF8" s="1815"/>
      <c r="HG8" s="1815"/>
      <c r="HH8" s="1815"/>
      <c r="HI8" s="1815"/>
      <c r="HJ8" s="1815"/>
      <c r="HK8" s="1815"/>
      <c r="HL8" s="1784"/>
      <c r="HM8" s="1779" t="s">
        <v>307</v>
      </c>
      <c r="HN8" s="1815"/>
      <c r="HO8" s="1815"/>
      <c r="HP8" s="1815"/>
      <c r="HQ8" s="1815"/>
      <c r="HR8" s="1815"/>
      <c r="HS8" s="1815"/>
      <c r="HT8" s="1784"/>
      <c r="HU8" s="1779" t="s">
        <v>308</v>
      </c>
      <c r="HV8" s="1815"/>
      <c r="HW8" s="1815"/>
      <c r="HX8" s="1815"/>
      <c r="HY8" s="1815"/>
      <c r="HZ8" s="1815"/>
      <c r="IA8" s="1815"/>
      <c r="IB8" s="1784"/>
      <c r="IC8" s="1779" t="s">
        <v>309</v>
      </c>
      <c r="ID8" s="1815"/>
      <c r="IE8" s="1815"/>
      <c r="IF8" s="1815"/>
      <c r="IG8" s="1815"/>
      <c r="IH8" s="1815"/>
      <c r="II8" s="1815"/>
      <c r="IJ8" s="1784"/>
      <c r="IK8" s="1779" t="s">
        <v>310</v>
      </c>
      <c r="IL8" s="1815"/>
      <c r="IM8" s="1815"/>
      <c r="IN8" s="1815"/>
      <c r="IO8" s="1815"/>
      <c r="IP8" s="1815"/>
      <c r="IQ8" s="1815"/>
      <c r="IR8" s="1784"/>
      <c r="IS8" s="1763"/>
      <c r="IT8" s="1772"/>
      <c r="IU8" s="1772"/>
      <c r="IV8" s="1772"/>
      <c r="IW8" s="1772"/>
      <c r="IX8" s="1772"/>
      <c r="IY8" s="1772"/>
      <c r="IZ8" s="1764"/>
      <c r="JA8" s="1763"/>
      <c r="JB8" s="1772"/>
      <c r="JC8" s="1772"/>
      <c r="JD8" s="1772"/>
      <c r="JE8" s="1772"/>
      <c r="JF8" s="1772"/>
      <c r="JG8" s="1772"/>
      <c r="JH8" s="1764"/>
      <c r="JI8" s="1763"/>
      <c r="JJ8" s="1772"/>
      <c r="JK8" s="1772"/>
      <c r="JL8" s="1772"/>
      <c r="JM8" s="1772"/>
      <c r="JN8" s="1772"/>
      <c r="JO8" s="1772"/>
      <c r="JP8" s="1764"/>
      <c r="JQ8" s="1763"/>
      <c r="JR8" s="1772"/>
      <c r="JS8" s="1772"/>
      <c r="JT8" s="1772"/>
      <c r="JU8" s="1772"/>
      <c r="JV8" s="1772"/>
      <c r="JW8" s="1772"/>
      <c r="JX8" s="1764"/>
      <c r="JY8" s="1779" t="s">
        <v>311</v>
      </c>
      <c r="JZ8" s="1815"/>
      <c r="KA8" s="1815"/>
      <c r="KB8" s="1815"/>
      <c r="KC8" s="1815"/>
      <c r="KD8" s="1815"/>
      <c r="KE8" s="1815"/>
      <c r="KF8" s="1784"/>
      <c r="KG8" s="1779" t="s">
        <v>312</v>
      </c>
      <c r="KH8" s="1815"/>
      <c r="KI8" s="1815"/>
      <c r="KJ8" s="1815"/>
      <c r="KK8" s="1815"/>
      <c r="KL8" s="1815"/>
      <c r="KM8" s="1815"/>
      <c r="KN8" s="1784"/>
      <c r="KO8" s="1779" t="s">
        <v>1373</v>
      </c>
      <c r="KP8" s="1815"/>
      <c r="KQ8" s="1815"/>
      <c r="KR8" s="1815"/>
      <c r="KS8" s="1815"/>
      <c r="KT8" s="1815"/>
      <c r="KU8" s="1815"/>
      <c r="KV8" s="1815"/>
      <c r="KW8" s="1779" t="s">
        <v>313</v>
      </c>
      <c r="KX8" s="1815"/>
      <c r="KY8" s="1815"/>
      <c r="KZ8" s="1815"/>
      <c r="LA8" s="1815"/>
      <c r="LB8" s="1815"/>
      <c r="LC8" s="1815"/>
      <c r="LD8" s="1784"/>
    </row>
    <row r="9" spans="1:316" ht="21" customHeight="1" thickBot="1" x14ac:dyDescent="0.3">
      <c r="A9" s="29"/>
      <c r="B9" s="1791"/>
      <c r="C9" s="1873"/>
      <c r="D9" s="1873"/>
      <c r="E9" s="1873"/>
      <c r="F9" s="1791"/>
      <c r="G9" s="1873"/>
      <c r="H9" s="1873"/>
      <c r="I9" s="1873"/>
      <c r="J9" s="29"/>
      <c r="K9" s="29"/>
      <c r="L9" s="29"/>
      <c r="M9" s="1791"/>
      <c r="N9" s="1873"/>
      <c r="O9" s="1873"/>
      <c r="P9" s="1873"/>
      <c r="Q9" s="1791"/>
      <c r="R9" s="1873"/>
      <c r="S9" s="1873"/>
      <c r="T9" s="1873"/>
      <c r="U9" s="30" t="s">
        <v>314</v>
      </c>
      <c r="V9" s="31" t="s">
        <v>315</v>
      </c>
      <c r="W9" s="32" t="s">
        <v>266</v>
      </c>
      <c r="X9" s="33" t="s">
        <v>267</v>
      </c>
      <c r="Y9" s="34" t="s">
        <v>316</v>
      </c>
      <c r="Z9" s="31" t="s">
        <v>315</v>
      </c>
      <c r="AA9" s="32" t="s">
        <v>266</v>
      </c>
      <c r="AB9" s="33" t="s">
        <v>267</v>
      </c>
      <c r="AC9" s="35" t="s">
        <v>314</v>
      </c>
      <c r="AD9" s="31" t="s">
        <v>315</v>
      </c>
      <c r="AE9" s="36" t="s">
        <v>266</v>
      </c>
      <c r="AF9" s="37" t="s">
        <v>267</v>
      </c>
      <c r="AG9" s="1167" t="s">
        <v>316</v>
      </c>
      <c r="AH9" s="39" t="s">
        <v>315</v>
      </c>
      <c r="AI9" s="40" t="s">
        <v>266</v>
      </c>
      <c r="AJ9" s="37" t="s">
        <v>267</v>
      </c>
      <c r="AK9" s="35" t="s">
        <v>314</v>
      </c>
      <c r="AL9" s="31" t="s">
        <v>315</v>
      </c>
      <c r="AM9" s="36" t="s">
        <v>266</v>
      </c>
      <c r="AN9" s="37" t="s">
        <v>267</v>
      </c>
      <c r="AO9" s="38" t="s">
        <v>316</v>
      </c>
      <c r="AP9" s="39" t="s">
        <v>315</v>
      </c>
      <c r="AQ9" s="40" t="s">
        <v>266</v>
      </c>
      <c r="AR9" s="37" t="s">
        <v>267</v>
      </c>
      <c r="AS9" s="41" t="s">
        <v>314</v>
      </c>
      <c r="AT9" s="31" t="s">
        <v>315</v>
      </c>
      <c r="AU9" s="32" t="s">
        <v>266</v>
      </c>
      <c r="AV9" s="33" t="s">
        <v>267</v>
      </c>
      <c r="AW9" s="41" t="s">
        <v>316</v>
      </c>
      <c r="AX9" s="31" t="s">
        <v>315</v>
      </c>
      <c r="AY9" s="32" t="s">
        <v>266</v>
      </c>
      <c r="AZ9" s="33" t="s">
        <v>267</v>
      </c>
      <c r="BA9" s="30" t="s">
        <v>314</v>
      </c>
      <c r="BB9" s="39" t="s">
        <v>315</v>
      </c>
      <c r="BC9" s="32" t="s">
        <v>266</v>
      </c>
      <c r="BD9" s="33" t="s">
        <v>267</v>
      </c>
      <c r="BE9" s="41" t="s">
        <v>316</v>
      </c>
      <c r="BF9" s="31" t="s">
        <v>315</v>
      </c>
      <c r="BG9" s="32" t="s">
        <v>266</v>
      </c>
      <c r="BH9" s="33" t="s">
        <v>267</v>
      </c>
      <c r="BI9" s="30" t="s">
        <v>314</v>
      </c>
      <c r="BJ9" s="31" t="s">
        <v>315</v>
      </c>
      <c r="BK9" s="32" t="s">
        <v>266</v>
      </c>
      <c r="BL9" s="33" t="s">
        <v>267</v>
      </c>
      <c r="BM9" s="41" t="s">
        <v>316</v>
      </c>
      <c r="BN9" s="31" t="s">
        <v>315</v>
      </c>
      <c r="BO9" s="32" t="s">
        <v>266</v>
      </c>
      <c r="BP9" s="33" t="s">
        <v>267</v>
      </c>
      <c r="BQ9" s="30" t="s">
        <v>314</v>
      </c>
      <c r="BR9" s="31" t="s">
        <v>315</v>
      </c>
      <c r="BS9" s="32" t="s">
        <v>266</v>
      </c>
      <c r="BT9" s="33" t="s">
        <v>267</v>
      </c>
      <c r="BU9" s="41" t="s">
        <v>316</v>
      </c>
      <c r="BV9" s="31" t="s">
        <v>315</v>
      </c>
      <c r="BW9" s="32" t="s">
        <v>266</v>
      </c>
      <c r="BX9" s="33" t="s">
        <v>267</v>
      </c>
      <c r="BY9" s="30" t="s">
        <v>314</v>
      </c>
      <c r="BZ9" s="31" t="s">
        <v>315</v>
      </c>
      <c r="CA9" s="32" t="s">
        <v>266</v>
      </c>
      <c r="CB9" s="33" t="s">
        <v>267</v>
      </c>
      <c r="CC9" s="41" t="s">
        <v>316</v>
      </c>
      <c r="CD9" s="31" t="s">
        <v>315</v>
      </c>
      <c r="CE9" s="32" t="s">
        <v>266</v>
      </c>
      <c r="CF9" s="33" t="s">
        <v>267</v>
      </c>
      <c r="CG9" s="30" t="s">
        <v>314</v>
      </c>
      <c r="CH9" s="42" t="s">
        <v>315</v>
      </c>
      <c r="CI9" s="39" t="s">
        <v>266</v>
      </c>
      <c r="CJ9" s="43" t="s">
        <v>267</v>
      </c>
      <c r="CK9" s="44" t="s">
        <v>316</v>
      </c>
      <c r="CL9" s="42" t="s">
        <v>315</v>
      </c>
      <c r="CM9" s="39" t="s">
        <v>266</v>
      </c>
      <c r="CN9" s="33" t="s">
        <v>267</v>
      </c>
      <c r="CO9" s="30" t="s">
        <v>314</v>
      </c>
      <c r="CP9" s="31" t="s">
        <v>315</v>
      </c>
      <c r="CQ9" s="32" t="s">
        <v>266</v>
      </c>
      <c r="CR9" s="33" t="s">
        <v>267</v>
      </c>
      <c r="CS9" s="41" t="s">
        <v>316</v>
      </c>
      <c r="CT9" s="31" t="s">
        <v>315</v>
      </c>
      <c r="CU9" s="32" t="s">
        <v>266</v>
      </c>
      <c r="CV9" s="33" t="s">
        <v>267</v>
      </c>
      <c r="CW9" s="30" t="s">
        <v>314</v>
      </c>
      <c r="CX9" s="31" t="s">
        <v>315</v>
      </c>
      <c r="CY9" s="32" t="s">
        <v>266</v>
      </c>
      <c r="CZ9" s="33" t="s">
        <v>267</v>
      </c>
      <c r="DA9" s="41" t="s">
        <v>316</v>
      </c>
      <c r="DB9" s="31" t="s">
        <v>315</v>
      </c>
      <c r="DC9" s="32" t="s">
        <v>266</v>
      </c>
      <c r="DD9" s="33" t="s">
        <v>267</v>
      </c>
      <c r="DE9" s="34" t="s">
        <v>314</v>
      </c>
      <c r="DF9" s="31" t="s">
        <v>315</v>
      </c>
      <c r="DG9" s="32" t="s">
        <v>266</v>
      </c>
      <c r="DH9" s="33" t="s">
        <v>267</v>
      </c>
      <c r="DI9" s="41" t="s">
        <v>316</v>
      </c>
      <c r="DJ9" s="31" t="s">
        <v>315</v>
      </c>
      <c r="DK9" s="32" t="s">
        <v>266</v>
      </c>
      <c r="DL9" s="33" t="s">
        <v>267</v>
      </c>
      <c r="DM9" s="30" t="s">
        <v>314</v>
      </c>
      <c r="DN9" s="31" t="s">
        <v>315</v>
      </c>
      <c r="DO9" s="32" t="s">
        <v>266</v>
      </c>
      <c r="DP9" s="33" t="s">
        <v>267</v>
      </c>
      <c r="DQ9" s="41" t="s">
        <v>316</v>
      </c>
      <c r="DR9" s="31" t="s">
        <v>315</v>
      </c>
      <c r="DS9" s="32" t="s">
        <v>266</v>
      </c>
      <c r="DT9" s="33" t="s">
        <v>267</v>
      </c>
      <c r="DU9" s="30" t="s">
        <v>314</v>
      </c>
      <c r="DV9" s="31" t="s">
        <v>315</v>
      </c>
      <c r="DW9" s="32" t="s">
        <v>266</v>
      </c>
      <c r="DX9" s="33" t="s">
        <v>267</v>
      </c>
      <c r="DY9" s="41" t="s">
        <v>316</v>
      </c>
      <c r="DZ9" s="31" t="s">
        <v>315</v>
      </c>
      <c r="EA9" s="32" t="s">
        <v>266</v>
      </c>
      <c r="EB9" s="33" t="s">
        <v>267</v>
      </c>
      <c r="EC9" s="45" t="s">
        <v>314</v>
      </c>
      <c r="ED9" s="39" t="s">
        <v>315</v>
      </c>
      <c r="EE9" s="39" t="s">
        <v>266</v>
      </c>
      <c r="EF9" s="43" t="s">
        <v>267</v>
      </c>
      <c r="EG9" s="46" t="s">
        <v>316</v>
      </c>
      <c r="EH9" s="39" t="s">
        <v>315</v>
      </c>
      <c r="EI9" s="47" t="s">
        <v>266</v>
      </c>
      <c r="EJ9" s="39" t="s">
        <v>267</v>
      </c>
      <c r="EK9" s="45" t="s">
        <v>314</v>
      </c>
      <c r="EL9" s="39" t="s">
        <v>315</v>
      </c>
      <c r="EM9" s="47" t="s">
        <v>266</v>
      </c>
      <c r="EN9" s="39" t="s">
        <v>267</v>
      </c>
      <c r="EO9" s="44" t="s">
        <v>316</v>
      </c>
      <c r="EP9" s="39" t="s">
        <v>315</v>
      </c>
      <c r="EQ9" s="47" t="s">
        <v>266</v>
      </c>
      <c r="ER9" s="39" t="s">
        <v>267</v>
      </c>
      <c r="ES9" s="45" t="s">
        <v>314</v>
      </c>
      <c r="ET9" s="39" t="s">
        <v>315</v>
      </c>
      <c r="EU9" s="47" t="s">
        <v>266</v>
      </c>
      <c r="EV9" s="39" t="s">
        <v>267</v>
      </c>
      <c r="EW9" s="44" t="s">
        <v>316</v>
      </c>
      <c r="EX9" s="39" t="s">
        <v>315</v>
      </c>
      <c r="EY9" s="47" t="s">
        <v>266</v>
      </c>
      <c r="EZ9" s="39" t="s">
        <v>267</v>
      </c>
      <c r="FA9" s="41" t="s">
        <v>314</v>
      </c>
      <c r="FB9" s="32" t="s">
        <v>315</v>
      </c>
      <c r="FC9" s="48" t="s">
        <v>266</v>
      </c>
      <c r="FD9" s="32" t="s">
        <v>267</v>
      </c>
      <c r="FE9" s="34" t="s">
        <v>316</v>
      </c>
      <c r="FF9" s="32" t="s">
        <v>315</v>
      </c>
      <c r="FG9" s="48" t="s">
        <v>266</v>
      </c>
      <c r="FH9" s="32" t="s">
        <v>267</v>
      </c>
      <c r="FI9" s="30" t="s">
        <v>314</v>
      </c>
      <c r="FJ9" s="31" t="s">
        <v>315</v>
      </c>
      <c r="FK9" s="32" t="s">
        <v>266</v>
      </c>
      <c r="FL9" s="33" t="s">
        <v>267</v>
      </c>
      <c r="FM9" s="41" t="s">
        <v>316</v>
      </c>
      <c r="FN9" s="31" t="s">
        <v>315</v>
      </c>
      <c r="FO9" s="32" t="s">
        <v>266</v>
      </c>
      <c r="FP9" s="33" t="s">
        <v>267</v>
      </c>
      <c r="FQ9" s="30" t="s">
        <v>314</v>
      </c>
      <c r="FR9" s="31" t="s">
        <v>315</v>
      </c>
      <c r="FS9" s="32" t="s">
        <v>266</v>
      </c>
      <c r="FT9" s="33" t="s">
        <v>267</v>
      </c>
      <c r="FU9" s="41" t="s">
        <v>316</v>
      </c>
      <c r="FV9" s="31" t="s">
        <v>315</v>
      </c>
      <c r="FW9" s="32" t="s">
        <v>266</v>
      </c>
      <c r="FX9" s="33" t="s">
        <v>267</v>
      </c>
      <c r="FY9" s="30" t="s">
        <v>314</v>
      </c>
      <c r="FZ9" s="31" t="s">
        <v>315</v>
      </c>
      <c r="GA9" s="32" t="s">
        <v>266</v>
      </c>
      <c r="GB9" s="33" t="s">
        <v>267</v>
      </c>
      <c r="GC9" s="41" t="s">
        <v>316</v>
      </c>
      <c r="GD9" s="31" t="s">
        <v>315</v>
      </c>
      <c r="GE9" s="32" t="s">
        <v>266</v>
      </c>
      <c r="GF9" s="33" t="s">
        <v>267</v>
      </c>
      <c r="GG9" s="30" t="s">
        <v>314</v>
      </c>
      <c r="GH9" s="31" t="s">
        <v>315</v>
      </c>
      <c r="GI9" s="32" t="s">
        <v>266</v>
      </c>
      <c r="GJ9" s="33" t="s">
        <v>267</v>
      </c>
      <c r="GK9" s="41" t="s">
        <v>316</v>
      </c>
      <c r="GL9" s="31" t="s">
        <v>315</v>
      </c>
      <c r="GM9" s="32" t="s">
        <v>266</v>
      </c>
      <c r="GN9" s="33" t="s">
        <v>267</v>
      </c>
      <c r="GO9" s="30" t="s">
        <v>314</v>
      </c>
      <c r="GP9" s="31" t="s">
        <v>315</v>
      </c>
      <c r="GQ9" s="32" t="s">
        <v>266</v>
      </c>
      <c r="GR9" s="33" t="s">
        <v>267</v>
      </c>
      <c r="GS9" s="41" t="s">
        <v>316</v>
      </c>
      <c r="GT9" s="31" t="s">
        <v>315</v>
      </c>
      <c r="GU9" s="32" t="s">
        <v>266</v>
      </c>
      <c r="GV9" s="33" t="s">
        <v>267</v>
      </c>
      <c r="GW9" s="30" t="s">
        <v>314</v>
      </c>
      <c r="GX9" s="31" t="s">
        <v>315</v>
      </c>
      <c r="GY9" s="32" t="s">
        <v>266</v>
      </c>
      <c r="GZ9" s="33" t="s">
        <v>267</v>
      </c>
      <c r="HA9" s="41" t="s">
        <v>316</v>
      </c>
      <c r="HB9" s="31" t="s">
        <v>315</v>
      </c>
      <c r="HC9" s="32" t="s">
        <v>266</v>
      </c>
      <c r="HD9" s="48" t="s">
        <v>267</v>
      </c>
      <c r="HE9" s="49" t="s">
        <v>314</v>
      </c>
      <c r="HF9" s="31" t="s">
        <v>315</v>
      </c>
      <c r="HG9" s="32" t="s">
        <v>266</v>
      </c>
      <c r="HH9" s="33" t="s">
        <v>267</v>
      </c>
      <c r="HI9" s="41" t="s">
        <v>316</v>
      </c>
      <c r="HJ9" s="31" t="s">
        <v>315</v>
      </c>
      <c r="HK9" s="32" t="s">
        <v>266</v>
      </c>
      <c r="HL9" s="33" t="s">
        <v>267</v>
      </c>
      <c r="HM9" s="30" t="s">
        <v>314</v>
      </c>
      <c r="HN9" s="31" t="s">
        <v>315</v>
      </c>
      <c r="HO9" s="32" t="s">
        <v>266</v>
      </c>
      <c r="HP9" s="33" t="s">
        <v>267</v>
      </c>
      <c r="HQ9" s="41" t="s">
        <v>316</v>
      </c>
      <c r="HR9" s="31" t="s">
        <v>315</v>
      </c>
      <c r="HS9" s="32" t="s">
        <v>266</v>
      </c>
      <c r="HT9" s="33" t="s">
        <v>267</v>
      </c>
      <c r="HU9" s="30" t="s">
        <v>314</v>
      </c>
      <c r="HV9" s="31" t="s">
        <v>315</v>
      </c>
      <c r="HW9" s="32" t="s">
        <v>266</v>
      </c>
      <c r="HX9" s="33" t="s">
        <v>267</v>
      </c>
      <c r="HY9" s="41" t="s">
        <v>316</v>
      </c>
      <c r="HZ9" s="31" t="s">
        <v>315</v>
      </c>
      <c r="IA9" s="32" t="s">
        <v>266</v>
      </c>
      <c r="IB9" s="33" t="s">
        <v>267</v>
      </c>
      <c r="IC9" s="30" t="s">
        <v>314</v>
      </c>
      <c r="ID9" s="31" t="s">
        <v>315</v>
      </c>
      <c r="IE9" s="32" t="s">
        <v>266</v>
      </c>
      <c r="IF9" s="33" t="s">
        <v>267</v>
      </c>
      <c r="IG9" s="41" t="s">
        <v>316</v>
      </c>
      <c r="IH9" s="31" t="s">
        <v>315</v>
      </c>
      <c r="II9" s="32" t="s">
        <v>266</v>
      </c>
      <c r="IJ9" s="33" t="s">
        <v>267</v>
      </c>
      <c r="IK9" s="30" t="s">
        <v>314</v>
      </c>
      <c r="IL9" s="31" t="s">
        <v>315</v>
      </c>
      <c r="IM9" s="32" t="s">
        <v>266</v>
      </c>
      <c r="IN9" s="33" t="s">
        <v>267</v>
      </c>
      <c r="IO9" s="41" t="s">
        <v>316</v>
      </c>
      <c r="IP9" s="31" t="s">
        <v>315</v>
      </c>
      <c r="IQ9" s="32" t="s">
        <v>266</v>
      </c>
      <c r="IR9" s="33" t="s">
        <v>267</v>
      </c>
      <c r="IS9" s="30" t="s">
        <v>314</v>
      </c>
      <c r="IT9" s="31" t="s">
        <v>315</v>
      </c>
      <c r="IU9" s="32" t="s">
        <v>266</v>
      </c>
      <c r="IV9" s="33" t="s">
        <v>267</v>
      </c>
      <c r="IW9" s="41" t="s">
        <v>316</v>
      </c>
      <c r="IX9" s="31" t="s">
        <v>315</v>
      </c>
      <c r="IY9" s="32" t="s">
        <v>266</v>
      </c>
      <c r="IZ9" s="33" t="s">
        <v>267</v>
      </c>
      <c r="JA9" s="30" t="s">
        <v>314</v>
      </c>
      <c r="JB9" s="31" t="s">
        <v>315</v>
      </c>
      <c r="JC9" s="32" t="s">
        <v>266</v>
      </c>
      <c r="JD9" s="33" t="s">
        <v>267</v>
      </c>
      <c r="JE9" s="41" t="s">
        <v>316</v>
      </c>
      <c r="JF9" s="31" t="s">
        <v>315</v>
      </c>
      <c r="JG9" s="32" t="s">
        <v>266</v>
      </c>
      <c r="JH9" s="48" t="s">
        <v>267</v>
      </c>
      <c r="JI9" s="49" t="s">
        <v>314</v>
      </c>
      <c r="JJ9" s="31" t="s">
        <v>315</v>
      </c>
      <c r="JK9" s="32" t="s">
        <v>266</v>
      </c>
      <c r="JL9" s="33" t="s">
        <v>267</v>
      </c>
      <c r="JM9" s="41" t="s">
        <v>316</v>
      </c>
      <c r="JN9" s="31" t="s">
        <v>315</v>
      </c>
      <c r="JO9" s="32" t="s">
        <v>266</v>
      </c>
      <c r="JP9" s="33" t="s">
        <v>267</v>
      </c>
      <c r="JQ9" s="30" t="s">
        <v>314</v>
      </c>
      <c r="JR9" s="31" t="s">
        <v>315</v>
      </c>
      <c r="JS9" s="32" t="s">
        <v>266</v>
      </c>
      <c r="JT9" s="33" t="s">
        <v>267</v>
      </c>
      <c r="JU9" s="41" t="s">
        <v>316</v>
      </c>
      <c r="JV9" s="31" t="s">
        <v>315</v>
      </c>
      <c r="JW9" s="32" t="s">
        <v>266</v>
      </c>
      <c r="JX9" s="33" t="s">
        <v>267</v>
      </c>
      <c r="JY9" s="30" t="s">
        <v>314</v>
      </c>
      <c r="JZ9" s="31" t="s">
        <v>315</v>
      </c>
      <c r="KA9" s="32" t="s">
        <v>266</v>
      </c>
      <c r="KB9" s="33" t="s">
        <v>267</v>
      </c>
      <c r="KC9" s="41" t="s">
        <v>316</v>
      </c>
      <c r="KD9" s="31" t="s">
        <v>315</v>
      </c>
      <c r="KE9" s="32" t="s">
        <v>266</v>
      </c>
      <c r="KF9" s="33" t="s">
        <v>267</v>
      </c>
      <c r="KG9" s="41" t="s">
        <v>314</v>
      </c>
      <c r="KH9" s="31" t="s">
        <v>315</v>
      </c>
      <c r="KI9" s="32" t="s">
        <v>266</v>
      </c>
      <c r="KJ9" s="33" t="s">
        <v>267</v>
      </c>
      <c r="KK9" s="41" t="s">
        <v>316</v>
      </c>
      <c r="KL9" s="31" t="s">
        <v>315</v>
      </c>
      <c r="KM9" s="32" t="s">
        <v>266</v>
      </c>
      <c r="KN9" s="33" t="s">
        <v>267</v>
      </c>
      <c r="KO9" s="30" t="s">
        <v>314</v>
      </c>
      <c r="KP9" s="31" t="s">
        <v>315</v>
      </c>
      <c r="KQ9" s="32" t="s">
        <v>266</v>
      </c>
      <c r="KR9" s="33" t="s">
        <v>267</v>
      </c>
      <c r="KS9" s="41" t="s">
        <v>316</v>
      </c>
      <c r="KT9" s="31" t="s">
        <v>315</v>
      </c>
      <c r="KU9" s="32" t="s">
        <v>266</v>
      </c>
      <c r="KV9" s="33" t="s">
        <v>267</v>
      </c>
      <c r="KW9" s="30" t="s">
        <v>314</v>
      </c>
      <c r="KX9" s="31" t="s">
        <v>315</v>
      </c>
      <c r="KY9" s="32" t="s">
        <v>266</v>
      </c>
      <c r="KZ9" s="33" t="s">
        <v>267</v>
      </c>
      <c r="LA9" s="41" t="s">
        <v>316</v>
      </c>
      <c r="LB9" s="31" t="s">
        <v>315</v>
      </c>
      <c r="LC9" s="32" t="s">
        <v>266</v>
      </c>
      <c r="LD9" s="32" t="s">
        <v>267</v>
      </c>
    </row>
    <row r="10" spans="1:316" ht="25.5" customHeight="1" x14ac:dyDescent="0.25">
      <c r="A10" s="50" t="s">
        <v>317</v>
      </c>
      <c r="B10" s="51">
        <f>SUM(C10:E10)</f>
        <v>13601726.700000005</v>
      </c>
      <c r="C10" s="51">
        <f>N10-V10-AL10-AD10</f>
        <v>12910247.050000004</v>
      </c>
      <c r="D10" s="51">
        <f t="shared" ref="D10:E10" si="0">O10-W10-AM10-AE10</f>
        <v>572972.82000000007</v>
      </c>
      <c r="E10" s="51">
        <f t="shared" si="0"/>
        <v>118506.83</v>
      </c>
      <c r="F10" s="51">
        <f>SUM(G10:I10)</f>
        <v>4201277.45</v>
      </c>
      <c r="G10" s="51">
        <f>R10-Z10-AP10-AH10</f>
        <v>4201277.45</v>
      </c>
      <c r="H10" s="51">
        <f t="shared" ref="H10:H27" si="1">S10-AA10-AQ10-AI10</f>
        <v>0</v>
      </c>
      <c r="I10" s="51">
        <f t="shared" ref="I10:I27" si="2">T10-AB10-AR10-AJ10</f>
        <v>0</v>
      </c>
      <c r="J10" s="52"/>
      <c r="K10" s="53">
        <f>M10-'Федеральные  средства  по  МО'!N11-'Федеральные  средства  по  МО'!D11</f>
        <v>0</v>
      </c>
      <c r="L10" s="53">
        <f>Q10-'Федеральные  средства  по  МО'!O11-'Федеральные  средства  по  МО'!E11</f>
        <v>0</v>
      </c>
      <c r="M10" s="1181">
        <f>U10+AS10+BQ10+BY10+CG10+CW10+GW10+FI10+FQ10+HM10+GO10+HU10+IC10+IK10+KG10+KW10+HE10+CO10+KO10+BA10+JY10+DU10+JI10+JA10+FY10+BI10+JQ10+IS10+DE10+DM10+GG10+EK10+EC10+AK10+ES10+FA10+AC10</f>
        <v>62067352.300000004</v>
      </c>
      <c r="N10" s="1181">
        <f t="shared" ref="N10:T10" si="3">V10+AT10+BR10+BZ10+CH10+CX10+GX10+FJ10+FR10+HN10+GP10+HV10+ID10+IL10+KH10+KX10+HF10+CP10+KP10+BB10+JZ10+DV10+JJ10+JB10+FZ10+BJ10+JR10+IT10+DF10+DN10+GH10+EL10+ED10+AL10+ET10+FB10+AD10</f>
        <v>61375872.650000006</v>
      </c>
      <c r="O10" s="1181">
        <f t="shared" si="3"/>
        <v>572972.82000000007</v>
      </c>
      <c r="P10" s="1181">
        <f t="shared" si="3"/>
        <v>118506.83</v>
      </c>
      <c r="Q10" s="1181">
        <f t="shared" si="3"/>
        <v>6162277.4500000002</v>
      </c>
      <c r="R10" s="1181">
        <f t="shared" si="3"/>
        <v>6162277.4500000002</v>
      </c>
      <c r="S10" s="1181">
        <f t="shared" si="3"/>
        <v>0</v>
      </c>
      <c r="T10" s="1181">
        <f t="shared" si="3"/>
        <v>0</v>
      </c>
      <c r="U10" s="54">
        <f>'Федеральные  средства  по  МО'!F11</f>
        <v>0</v>
      </c>
      <c r="V10" s="55">
        <f>'Проверочная  таблица'!BL12</f>
        <v>0</v>
      </c>
      <c r="W10" s="54">
        <f>'Проверочная  таблица'!BP12</f>
        <v>0</v>
      </c>
      <c r="X10" s="55">
        <f>'Проверочная  таблица'!BR12</f>
        <v>0</v>
      </c>
      <c r="Y10" s="54">
        <f>'Федеральные  средства  по  МО'!G11</f>
        <v>0</v>
      </c>
      <c r="Z10" s="55">
        <f>'Проверочная  таблица'!BM12</f>
        <v>0</v>
      </c>
      <c r="AA10" s="54">
        <f>'Проверочная  таблица'!BQ12</f>
        <v>0</v>
      </c>
      <c r="AB10" s="55">
        <f>'Проверочная  таблица'!BS12</f>
        <v>0</v>
      </c>
      <c r="AC10" s="1172">
        <f>'Федеральные  средства  по  МО'!H11</f>
        <v>43666625.600000001</v>
      </c>
      <c r="AD10" s="1173">
        <f>AC10</f>
        <v>43666625.600000001</v>
      </c>
      <c r="AE10" s="1174"/>
      <c r="AF10" s="1175"/>
      <c r="AG10" s="1172">
        <f>'Федеральные  средства  по  МО'!I11</f>
        <v>0</v>
      </c>
      <c r="AH10" s="56">
        <f>AG10</f>
        <v>0</v>
      </c>
      <c r="AI10" s="55"/>
      <c r="AJ10" s="54"/>
      <c r="AK10" s="54">
        <f>'Федеральные  средства  по  МО'!J11</f>
        <v>4799000</v>
      </c>
      <c r="AL10" s="56">
        <f>AK10</f>
        <v>4799000</v>
      </c>
      <c r="AM10" s="55"/>
      <c r="AN10" s="57"/>
      <c r="AO10" s="54">
        <f>'Федеральные  средства  по  МО'!K11</f>
        <v>1961000</v>
      </c>
      <c r="AP10" s="56">
        <f>AO10</f>
        <v>1961000</v>
      </c>
      <c r="AQ10" s="55"/>
      <c r="AR10" s="54"/>
      <c r="AS10" s="55">
        <f>'Федеральные  средства  по  МО'!P11</f>
        <v>0</v>
      </c>
      <c r="AT10" s="54">
        <f>'Проверочная  таблица'!CP12</f>
        <v>0</v>
      </c>
      <c r="AU10" s="58"/>
      <c r="AV10" s="59"/>
      <c r="AW10" s="57">
        <f>'Федеральные  средства  по  МО'!Q11</f>
        <v>0</v>
      </c>
      <c r="AX10" s="54">
        <f>'Проверочная  таблица'!CW12</f>
        <v>0</v>
      </c>
      <c r="AY10" s="60"/>
      <c r="AZ10" s="58"/>
      <c r="BA10" s="57">
        <f>'Федеральные  средства  по  МО'!R11</f>
        <v>0</v>
      </c>
      <c r="BB10" s="54">
        <f>'Проверочная  таблица'!CR12</f>
        <v>0</v>
      </c>
      <c r="BC10" s="55"/>
      <c r="BD10" s="54">
        <f>'Проверочная  таблица'!DD12</f>
        <v>0</v>
      </c>
      <c r="BE10" s="55">
        <f>'Федеральные  средства  по  МО'!S11</f>
        <v>0</v>
      </c>
      <c r="BF10" s="54">
        <f>'Проверочная  таблица'!CY12</f>
        <v>0</v>
      </c>
      <c r="BG10" s="58"/>
      <c r="BH10" s="54">
        <f>'Проверочная  таблица'!DG12</f>
        <v>0</v>
      </c>
      <c r="BI10" s="55">
        <f>'Федеральные  средства  по  МО'!T11</f>
        <v>0</v>
      </c>
      <c r="BJ10" s="54">
        <f>BI10</f>
        <v>0</v>
      </c>
      <c r="BK10" s="55"/>
      <c r="BL10" s="54"/>
      <c r="BM10" s="56">
        <f>'Федеральные  средства  по  МО'!U11</f>
        <v>0</v>
      </c>
      <c r="BN10" s="54">
        <f>BM10</f>
        <v>0</v>
      </c>
      <c r="BO10" s="60"/>
      <c r="BP10" s="60"/>
      <c r="BQ10" s="54">
        <f>'Федеральные  средства  по  МО'!V11</f>
        <v>0</v>
      </c>
      <c r="BR10" s="60">
        <f t="shared" ref="BR10:BR26" si="4">BQ10</f>
        <v>0</v>
      </c>
      <c r="BS10" s="61"/>
      <c r="BT10" s="58"/>
      <c r="BU10" s="54">
        <f>'Федеральные  средства  по  МО'!W11</f>
        <v>0</v>
      </c>
      <c r="BV10" s="60">
        <f t="shared" ref="BV10:BV26" si="5">BU10</f>
        <v>0</v>
      </c>
      <c r="BW10" s="61"/>
      <c r="BX10" s="58"/>
      <c r="BY10" s="54">
        <f>'Федеральные  средства  по  МО'!X11</f>
        <v>0</v>
      </c>
      <c r="BZ10" s="60">
        <f t="shared" ref="BZ10:BZ26" si="6">BY10</f>
        <v>0</v>
      </c>
      <c r="CA10" s="61"/>
      <c r="CB10" s="58"/>
      <c r="CC10" s="54">
        <f>'Федеральные  средства  по  МО'!Y11</f>
        <v>0</v>
      </c>
      <c r="CD10" s="60">
        <f t="shared" ref="CD10:CD26" si="7">CC10</f>
        <v>0</v>
      </c>
      <c r="CE10" s="61"/>
      <c r="CF10" s="58"/>
      <c r="CG10" s="54">
        <f>'Федеральные  средства  по  МО'!Z11</f>
        <v>0</v>
      </c>
      <c r="CH10" s="62">
        <f t="shared" ref="CH10:CH27" si="8">CG10</f>
        <v>0</v>
      </c>
      <c r="CI10" s="63"/>
      <c r="CJ10" s="64"/>
      <c r="CK10" s="51">
        <f>'Федеральные  средства  по  МО'!AA11</f>
        <v>0</v>
      </c>
      <c r="CL10" s="62">
        <f t="shared" ref="CL10:CL27" si="9">CK10</f>
        <v>0</v>
      </c>
      <c r="CM10" s="65"/>
      <c r="CN10" s="60"/>
      <c r="CO10" s="57">
        <f>'Федеральные  средства  по  МО'!AB11</f>
        <v>0</v>
      </c>
      <c r="CP10" s="54">
        <f>CO10</f>
        <v>0</v>
      </c>
      <c r="CQ10" s="55"/>
      <c r="CR10" s="54"/>
      <c r="CS10" s="55">
        <f>'Федеральные  средства  по  МО'!AC11</f>
        <v>0</v>
      </c>
      <c r="CT10" s="54">
        <f>CS10</f>
        <v>0</v>
      </c>
      <c r="CU10" s="55"/>
      <c r="CV10" s="54"/>
      <c r="CW10" s="57">
        <f>'Федеральные  средства  по  МО'!AD11</f>
        <v>0</v>
      </c>
      <c r="CX10" s="57">
        <f>'Проверочная  таблица'!EV12</f>
        <v>0</v>
      </c>
      <c r="CY10" s="54">
        <f>CW10-CX10</f>
        <v>0</v>
      </c>
      <c r="CZ10" s="56"/>
      <c r="DA10" s="55">
        <f>'Федеральные  средства  по  МО'!AE11</f>
        <v>0</v>
      </c>
      <c r="DB10" s="57">
        <f>'Проверочная  таблица'!EY12</f>
        <v>0</v>
      </c>
      <c r="DC10" s="54">
        <f>DA10-DB10</f>
        <v>0</v>
      </c>
      <c r="DD10" s="55"/>
      <c r="DE10" s="54">
        <f>'Федеральные  средства  по  МО'!AF11</f>
        <v>0</v>
      </c>
      <c r="DF10" s="56">
        <f>DE10</f>
        <v>0</v>
      </c>
      <c r="DG10" s="55"/>
      <c r="DH10" s="57"/>
      <c r="DI10" s="54">
        <f>'Федеральные  средства  по  МО'!AG11</f>
        <v>0</v>
      </c>
      <c r="DJ10" s="56">
        <f>DI10</f>
        <v>0</v>
      </c>
      <c r="DK10" s="55"/>
      <c r="DL10" s="57"/>
      <c r="DM10" s="54">
        <f>'Федеральные  средства  по  МО'!AH11</f>
        <v>0</v>
      </c>
      <c r="DN10" s="56">
        <f>DM10</f>
        <v>0</v>
      </c>
      <c r="DO10" s="55"/>
      <c r="DP10" s="57"/>
      <c r="DQ10" s="54">
        <f>'Федеральные  средства  по  МО'!AI11</f>
        <v>0</v>
      </c>
      <c r="DR10" s="56">
        <f>DQ10</f>
        <v>0</v>
      </c>
      <c r="DS10" s="55"/>
      <c r="DT10" s="54"/>
      <c r="DU10" s="57">
        <f>'Федеральные  средства  по  МО'!AJ11</f>
        <v>0</v>
      </c>
      <c r="DV10" s="54">
        <f>DU10</f>
        <v>0</v>
      </c>
      <c r="DW10" s="55"/>
      <c r="DX10" s="54"/>
      <c r="DY10" s="55">
        <f>'Федеральные  средства  по  МО'!AK11</f>
        <v>0</v>
      </c>
      <c r="DZ10" s="54">
        <f>DY10</f>
        <v>0</v>
      </c>
      <c r="EA10" s="55"/>
      <c r="EB10" s="57"/>
      <c r="EC10" s="54">
        <f>'Федеральные  средства  по  МО'!AL11</f>
        <v>0</v>
      </c>
      <c r="ED10" s="84">
        <f t="shared" ref="ED10:ED27" si="10">EC10</f>
        <v>0</v>
      </c>
      <c r="EE10" s="54"/>
      <c r="EF10" s="55"/>
      <c r="EG10" s="54">
        <f>'Федеральные  средства  по  МО'!AM11</f>
        <v>0</v>
      </c>
      <c r="EH10" s="84">
        <f t="shared" ref="EH10:EH27" si="11">EG10</f>
        <v>0</v>
      </c>
      <c r="EI10" s="54"/>
      <c r="EJ10" s="55"/>
      <c r="EK10" s="57">
        <f>'Федеральные  средства  по  МО'!AN11</f>
        <v>0</v>
      </c>
      <c r="EL10" s="54"/>
      <c r="EM10" s="55"/>
      <c r="EN10" s="54">
        <f>EK10</f>
        <v>0</v>
      </c>
      <c r="EO10" s="55">
        <f>'Федеральные  средства  по  МО'!AO11</f>
        <v>0</v>
      </c>
      <c r="EP10" s="54"/>
      <c r="EQ10" s="55"/>
      <c r="ER10" s="57">
        <f>EO10</f>
        <v>0</v>
      </c>
      <c r="ES10" s="1156">
        <f>'Федеральные  средства  по  МО'!AP11</f>
        <v>0</v>
      </c>
      <c r="ET10" s="1157">
        <f>'Проверочная  таблица'!IJ12</f>
        <v>0</v>
      </c>
      <c r="EU10" s="1158">
        <f>'Проверочная  таблица'!IT12</f>
        <v>0</v>
      </c>
      <c r="EV10" s="1157">
        <f>'Проверочная  таблица'!IV12</f>
        <v>0</v>
      </c>
      <c r="EW10" s="1158">
        <f>'Федеральные  средства  по  МО'!AQ11</f>
        <v>0</v>
      </c>
      <c r="EX10" s="1157">
        <f>'Проверочная  таблица'!IM12</f>
        <v>0</v>
      </c>
      <c r="EY10" s="1158">
        <f>'Проверочная  таблица'!IU12</f>
        <v>0</v>
      </c>
      <c r="EZ10" s="1157">
        <f>'Проверочная  таблица'!IS12</f>
        <v>0</v>
      </c>
      <c r="FA10" s="56">
        <f>'Федеральные  средства  по  МО'!AR11</f>
        <v>0</v>
      </c>
      <c r="FB10" s="56"/>
      <c r="FC10" s="55"/>
      <c r="FD10" s="57"/>
      <c r="FE10" s="54">
        <f>'Федеральные  средства  по  МО'!AS11</f>
        <v>0</v>
      </c>
      <c r="FF10" s="56"/>
      <c r="FG10" s="55"/>
      <c r="FH10" s="54"/>
      <c r="FI10" s="56">
        <f>'Федеральные  средства  по  МО'!AT11</f>
        <v>0</v>
      </c>
      <c r="FJ10" s="60"/>
      <c r="FK10" s="58"/>
      <c r="FL10" s="59"/>
      <c r="FM10" s="54">
        <f>'Федеральные  средства  по  МО'!AU11</f>
        <v>0</v>
      </c>
      <c r="FN10" s="58"/>
      <c r="FO10" s="61"/>
      <c r="FP10" s="58"/>
      <c r="FQ10" s="57">
        <f>'Федеральные  средства  по  МО'!AV11</f>
        <v>0</v>
      </c>
      <c r="FR10" s="57">
        <f>'Проверочная  таблица'!JL12</f>
        <v>0</v>
      </c>
      <c r="FS10" s="54">
        <f>'Проверочная  таблица'!JX12</f>
        <v>-118506.83</v>
      </c>
      <c r="FT10" s="54">
        <f>'Проверочная  таблица'!KD12</f>
        <v>118506.83</v>
      </c>
      <c r="FU10" s="55">
        <f>'Федеральные  средства  по  МО'!AW11</f>
        <v>0</v>
      </c>
      <c r="FV10" s="54">
        <f>'Проверочная  таблица'!JO12</f>
        <v>0</v>
      </c>
      <c r="FW10" s="55">
        <f>'Проверочная  таблица'!KA12</f>
        <v>0</v>
      </c>
      <c r="FX10" s="54">
        <f>'Проверочная  таблица'!KG12</f>
        <v>0</v>
      </c>
      <c r="FY10" s="57">
        <f>'Федеральные  средства  по  МО'!AX11</f>
        <v>691479.65</v>
      </c>
      <c r="FZ10" s="54"/>
      <c r="GA10" s="55">
        <f>FY10</f>
        <v>691479.65</v>
      </c>
      <c r="GB10" s="54"/>
      <c r="GC10" s="54">
        <f>'Федеральные  средства  по  МО'!AY11</f>
        <v>0</v>
      </c>
      <c r="GD10" s="55"/>
      <c r="GE10" s="54">
        <f>GC10</f>
        <v>0</v>
      </c>
      <c r="GF10" s="55"/>
      <c r="GG10" s="54">
        <f>'Федеральные  средства  по  МО'!AZ11</f>
        <v>102723.4</v>
      </c>
      <c r="GH10" s="56">
        <f>GG10</f>
        <v>102723.4</v>
      </c>
      <c r="GI10" s="55"/>
      <c r="GJ10" s="57"/>
      <c r="GK10" s="54">
        <f>'Федеральные  средства  по  МО'!BA11</f>
        <v>30817.02</v>
      </c>
      <c r="GL10" s="56">
        <f>GK10</f>
        <v>30817.02</v>
      </c>
      <c r="GM10" s="55"/>
      <c r="GN10" s="54"/>
      <c r="GO10" s="56">
        <f>'Федеральные  средства  по  МО'!BB11</f>
        <v>5900400</v>
      </c>
      <c r="GP10" s="58">
        <f>GO10</f>
        <v>5900400</v>
      </c>
      <c r="GQ10" s="57">
        <f>'Проверочная  таблица'!MG12</f>
        <v>0</v>
      </c>
      <c r="GR10" s="54">
        <f>'Проверочная  таблица'!MO12</f>
        <v>0</v>
      </c>
      <c r="GS10" s="55">
        <f>'Федеральные  средства  по  МО'!BC11</f>
        <v>0</v>
      </c>
      <c r="GT10" s="57">
        <f>GS10</f>
        <v>0</v>
      </c>
      <c r="GU10" s="54">
        <f>'Проверочная  таблица'!MK12</f>
        <v>0</v>
      </c>
      <c r="GV10" s="56">
        <f>'Проверочная  таблица'!MS12</f>
        <v>0</v>
      </c>
      <c r="GW10" s="55">
        <f>'Федеральные  средства  по  МО'!BD11</f>
        <v>0</v>
      </c>
      <c r="GX10" s="54">
        <f>GW10</f>
        <v>0</v>
      </c>
      <c r="GY10" s="55"/>
      <c r="GZ10" s="57"/>
      <c r="HA10" s="54">
        <f>'Федеральные  средства  по  МО'!BE11</f>
        <v>0</v>
      </c>
      <c r="HB10" s="54">
        <f>HA10</f>
        <v>0</v>
      </c>
      <c r="HC10" s="56"/>
      <c r="HD10" s="58"/>
      <c r="HE10" s="54">
        <f>'Федеральные  средства  по  МО'!BF11</f>
        <v>0</v>
      </c>
      <c r="HF10" s="57">
        <f>HE10</f>
        <v>0</v>
      </c>
      <c r="HG10" s="54"/>
      <c r="HH10" s="56"/>
      <c r="HI10" s="56">
        <f>'Федеральные  средства  по  МО'!BG11</f>
        <v>0</v>
      </c>
      <c r="HJ10" s="57">
        <f t="shared" ref="HJ10:HJ27" si="12">HI10</f>
        <v>0</v>
      </c>
      <c r="HK10" s="54"/>
      <c r="HL10" s="56"/>
      <c r="HM10" s="57">
        <f>'Федеральные  средства  по  МО'!BH11</f>
        <v>118506.83</v>
      </c>
      <c r="HN10" s="57">
        <f>HM10-HP10</f>
        <v>118506.83</v>
      </c>
      <c r="HO10" s="54"/>
      <c r="HP10" s="56">
        <f>'Проверочная  таблица'!NX12</f>
        <v>0</v>
      </c>
      <c r="HQ10" s="56">
        <f>'Федеральные  средства  по  МО'!BI11</f>
        <v>118506.83</v>
      </c>
      <c r="HR10" s="57">
        <f>HQ10-HT10</f>
        <v>118506.83</v>
      </c>
      <c r="HS10" s="59"/>
      <c r="HT10" s="54">
        <f>'Проверочная  таблица'!OA12</f>
        <v>0</v>
      </c>
      <c r="HU10" s="56">
        <f>'Федеральные  средства  по  МО'!BJ11</f>
        <v>0</v>
      </c>
      <c r="HV10" s="60">
        <f>HU10</f>
        <v>0</v>
      </c>
      <c r="HW10" s="58"/>
      <c r="HX10" s="59"/>
      <c r="HY10" s="54">
        <f>'Федеральные  средства  по  МО'!BK11</f>
        <v>0</v>
      </c>
      <c r="HZ10" s="60">
        <f t="shared" ref="HZ10:HZ27" si="13">HY10</f>
        <v>0</v>
      </c>
      <c r="IA10" s="58"/>
      <c r="IB10" s="61"/>
      <c r="IC10" s="57">
        <f>'Федеральные  средства  по  МО'!BL11</f>
        <v>0</v>
      </c>
      <c r="ID10" s="57"/>
      <c r="IE10" s="54"/>
      <c r="IF10" s="56">
        <f>'Проверочная  таблица'!PJ12</f>
        <v>0</v>
      </c>
      <c r="IG10" s="55">
        <f>'Федеральные  средства  по  МО'!BM11</f>
        <v>0</v>
      </c>
      <c r="IH10" s="57"/>
      <c r="II10" s="54"/>
      <c r="IJ10" s="56">
        <f>'Проверочная  таблица'!PN12</f>
        <v>0</v>
      </c>
      <c r="IK10" s="57">
        <f>'Федеральные  средства  по  МО'!BN11</f>
        <v>0</v>
      </c>
      <c r="IL10" s="57">
        <f>'Проверочная  таблица'!PR12</f>
        <v>0</v>
      </c>
      <c r="IM10" s="54">
        <f>IK10-IL10</f>
        <v>0</v>
      </c>
      <c r="IN10" s="56"/>
      <c r="IO10" s="55">
        <f>'Федеральные  средства  по  МО'!BO11</f>
        <v>0</v>
      </c>
      <c r="IP10" s="57">
        <f>'Проверочная  таблица'!PW12</f>
        <v>0</v>
      </c>
      <c r="IQ10" s="54">
        <f>IO10-IP10</f>
        <v>0</v>
      </c>
      <c r="IR10" s="56"/>
      <c r="IS10" s="57">
        <f>'Федеральные  средства  по  МО'!BR11</f>
        <v>0</v>
      </c>
      <c r="IT10" s="54">
        <f>IS10</f>
        <v>0</v>
      </c>
      <c r="IU10" s="55"/>
      <c r="IV10" s="54"/>
      <c r="IW10" s="56">
        <f>'Федеральные  средства  по  МО'!BS11</f>
        <v>0</v>
      </c>
      <c r="IX10" s="56">
        <f>IW10</f>
        <v>0</v>
      </c>
      <c r="IY10" s="56"/>
      <c r="IZ10" s="54"/>
      <c r="JA10" s="57">
        <f>'Федеральные  средства  по  МО'!BT11</f>
        <v>0</v>
      </c>
      <c r="JB10" s="54">
        <f>'Проверочная  таблица'!RF12</f>
        <v>0</v>
      </c>
      <c r="JC10" s="55">
        <f>'Проверочная  таблица'!RL12</f>
        <v>0</v>
      </c>
      <c r="JD10" s="54">
        <f>'Проверочная  таблица'!RR12</f>
        <v>0</v>
      </c>
      <c r="JE10" s="55">
        <f>'Федеральные  средства  по  МО'!BU11</f>
        <v>0</v>
      </c>
      <c r="JF10" s="54">
        <f>'Проверочная  таблица'!RC12</f>
        <v>0</v>
      </c>
      <c r="JG10" s="55">
        <f>'Проверочная  таблица'!RO12</f>
        <v>0</v>
      </c>
      <c r="JH10" s="57">
        <f>'Проверочная  таблица'!RU12</f>
        <v>0</v>
      </c>
      <c r="JI10" s="54">
        <f>'Федеральные  средства  по  МО'!BV11</f>
        <v>0</v>
      </c>
      <c r="JJ10" s="54">
        <f>JI10</f>
        <v>0</v>
      </c>
      <c r="JK10" s="55"/>
      <c r="JL10" s="54"/>
      <c r="JM10" s="56">
        <f>'Федеральные  средства  по  МО'!BW11</f>
        <v>0</v>
      </c>
      <c r="JN10" s="56">
        <f>JM10</f>
        <v>0</v>
      </c>
      <c r="JO10" s="55"/>
      <c r="JP10" s="57"/>
      <c r="JQ10" s="57">
        <f>'Федеральные  средства  по  МО'!BX11</f>
        <v>0</v>
      </c>
      <c r="JR10" s="54">
        <f>JQ10</f>
        <v>0</v>
      </c>
      <c r="JS10" s="55"/>
      <c r="JT10" s="54"/>
      <c r="JU10" s="56">
        <f>'Федеральные  средства  по  МО'!BY11</f>
        <v>0</v>
      </c>
      <c r="JV10" s="54">
        <f>JU10</f>
        <v>0</v>
      </c>
      <c r="JW10" s="55"/>
      <c r="JX10" s="54"/>
      <c r="JY10" s="57">
        <f>'Федеральные  средства  по  МО'!BZ11</f>
        <v>0</v>
      </c>
      <c r="JZ10" s="54">
        <f>JY10</f>
        <v>0</v>
      </c>
      <c r="KA10" s="55"/>
      <c r="KB10" s="54"/>
      <c r="KC10" s="55">
        <f>'Федеральные  средства  по  МО'!CA11</f>
        <v>0</v>
      </c>
      <c r="KD10" s="54">
        <f>KC10</f>
        <v>0</v>
      </c>
      <c r="KE10" s="55"/>
      <c r="KF10" s="54"/>
      <c r="KG10" s="55">
        <f>'Федеральные  средства  по  МО'!CB11</f>
        <v>6788616.8200000003</v>
      </c>
      <c r="KH10" s="57">
        <f>'Проверочная  таблица'!SR12</f>
        <v>6788616.8200000003</v>
      </c>
      <c r="KI10" s="54">
        <f>'Проверочная  таблица'!TT12</f>
        <v>0</v>
      </c>
      <c r="KJ10" s="55">
        <f>'Проверочная  таблица'!UH12</f>
        <v>0</v>
      </c>
      <c r="KK10" s="54">
        <f>'Федеральные  средства  по  МО'!CC11</f>
        <v>4051953.6</v>
      </c>
      <c r="KL10" s="55">
        <f>'Проверочная  таблица'!SY12</f>
        <v>4051953.6</v>
      </c>
      <c r="KM10" s="54">
        <f>'Проверочная  таблица'!UA12</f>
        <v>0</v>
      </c>
      <c r="KN10" s="56">
        <f>'Проверочная  таблица'!UO12</f>
        <v>0</v>
      </c>
      <c r="KO10" s="55">
        <f>'Федеральные  средства  по  МО'!CD11</f>
        <v>0</v>
      </c>
      <c r="KP10" s="54">
        <f>'Проверочная  таблица'!ST12</f>
        <v>0</v>
      </c>
      <c r="KQ10" s="55">
        <f>KO10-KP10</f>
        <v>0</v>
      </c>
      <c r="KR10" s="54"/>
      <c r="KS10" s="55">
        <f>'Федеральные  средства  по  МО'!CE11</f>
        <v>0</v>
      </c>
      <c r="KT10" s="54">
        <f>'Проверочная  таблица'!TA12</f>
        <v>0</v>
      </c>
      <c r="KU10" s="55">
        <f>KS10-KT10</f>
        <v>0</v>
      </c>
      <c r="KV10" s="57"/>
      <c r="KW10" s="57">
        <f>'Федеральные  средства  по  МО'!CF11</f>
        <v>0</v>
      </c>
      <c r="KX10" s="57">
        <f>'Проверочная  таблица'!SV12</f>
        <v>0</v>
      </c>
      <c r="KY10" s="54">
        <f>'Проверочная  таблица'!TX12</f>
        <v>0</v>
      </c>
      <c r="KZ10" s="56"/>
      <c r="LA10" s="55">
        <f>'Федеральные  средства  по  МО'!CG11</f>
        <v>0</v>
      </c>
      <c r="LB10" s="57">
        <f>'Проверочная  таблица'!TC12</f>
        <v>0</v>
      </c>
      <c r="LC10" s="54">
        <f>'Проверочная  таблица'!TQ12</f>
        <v>0</v>
      </c>
      <c r="LD10" s="54"/>
    </row>
    <row r="11" spans="1:316" ht="25.5" customHeight="1" x14ac:dyDescent="0.25">
      <c r="A11" s="68" t="s">
        <v>318</v>
      </c>
      <c r="B11" s="69">
        <f t="shared" ref="B11:B27" si="14">SUM(C11:E11)</f>
        <v>340107704.50999999</v>
      </c>
      <c r="C11" s="70">
        <f t="shared" ref="C11:C27" si="15">N11-V11-AL11-AD11</f>
        <v>128104559.00999999</v>
      </c>
      <c r="D11" s="70">
        <f t="shared" ref="D11:D27" si="16">O11-W11-AM11-AE11</f>
        <v>1573903.0900000003</v>
      </c>
      <c r="E11" s="70">
        <f t="shared" ref="E11:E27" si="17">P11-X11-AN11-AF11</f>
        <v>210429242.41</v>
      </c>
      <c r="F11" s="69">
        <f t="shared" ref="F11:F27" si="18">SUM(G11:I11)</f>
        <v>121734592.48</v>
      </c>
      <c r="G11" s="70">
        <f t="shared" ref="G11:G27" si="19">R11-Z11-AP11-AH11</f>
        <v>2327235.4099999997</v>
      </c>
      <c r="H11" s="70">
        <f t="shared" si="1"/>
        <v>1282257.07</v>
      </c>
      <c r="I11" s="70">
        <f t="shared" si="2"/>
        <v>118125100</v>
      </c>
      <c r="J11" s="52"/>
      <c r="K11" s="53">
        <f>M11-'Федеральные  средства  по  МО'!N12-'Федеральные  средства  по  МО'!D12</f>
        <v>0</v>
      </c>
      <c r="L11" s="53">
        <f>Q11-'Федеральные  средства  по  МО'!O12-'Федеральные  средства  по  МО'!E12</f>
        <v>0</v>
      </c>
      <c r="M11" s="1180">
        <f t="shared" ref="M11:M27" si="20">U11+AS11+BQ11+BY11+CG11+CW11+GW11+FI11+FQ11+HM11+GO11+HU11+IC11+IK11+KG11+KW11+HE11+CO11+KO11+BA11+JY11+DU11+JI11+JA11+FY11+BI11+JQ11+IS11+DE11+DM11+GG11+EK11+EC11+AK11+ES11+FA11+AC11</f>
        <v>396645704.50999999</v>
      </c>
      <c r="N11" s="70">
        <f t="shared" ref="N11:N27" si="21">V11+AT11+BR11+BZ11+CH11+CX11+GX11+FJ11+FR11+HN11+GP11+HV11+ID11+IL11+KH11+KX11+HF11+CP11+KP11+BB11+JZ11+DV11+JJ11+JB11+FZ11+BJ11+JR11+IT11+DF11+DN11+GH11+EL11+ED11+AL11+ET11+FB11+AD11</f>
        <v>184642559.00999999</v>
      </c>
      <c r="O11" s="70">
        <f t="shared" ref="O11:O27" si="22">W11+AU11+BS11+CA11+CI11+CY11+GY11+FK11+FS11+HO11+GQ11+HW11+IE11+IM11+KI11+KY11+HG11+CQ11+KQ11+BC11+KA11+DW11+JK11+JC11+GA11+BK11+JS11+IU11+DG11+DO11+GI11+EM11+EE11+AM11+EU11+FC11+AE11</f>
        <v>1573903.0900000003</v>
      </c>
      <c r="P11" s="70">
        <f t="shared" ref="P11:P27" si="23">X11+AV11+BT11+CB11+CJ11+CZ11+GZ11+FL11+FT11+HP11+GR11+HX11+IF11+IN11+KJ11+KZ11+HH11+CR11+KR11+BD11+KB11+DX11+JL11+JD11+GB11+BL11+JT11+IV11+DH11+DP11+GJ11+EN11+EF11+AN11+EV11+FD11+AF11</f>
        <v>210429242.41</v>
      </c>
      <c r="Q11" s="1180">
        <f t="shared" ref="Q11:Q27" si="24">Y11+AW11+BU11+CC11+CK11+DA11+HA11+FM11+FU11+HQ11+GS11+HY11+IG11+IO11+KK11+LA11+HI11+CS11+KS11+BE11+KC11+DY11+JM11+JE11+GC11+BM11+JU11+IW11+DI11+DQ11+GK11+EO11+EG11+AO11+EW11+FE11+AG11</f>
        <v>121734592.48</v>
      </c>
      <c r="R11" s="70">
        <f t="shared" ref="R11:R27" si="25">Z11+AX11+BV11+CD11+CL11+DB11+HB11+FN11+FV11+HR11+GT11+HZ11+IH11+IP11+KL11+LB11+HJ11+CT11+KT11+BF11+KD11+DZ11+JN11+JF11+GD11+BN11+JV11+IX11+DJ11+DR11+GL11+EP11+EH11+AP11+EX11+FF11+AH11</f>
        <v>2327235.4099999997</v>
      </c>
      <c r="S11" s="70">
        <f t="shared" ref="S11:S27" si="26">AA11+AY11+BW11+CE11+CM11+DC11+HC11+FO11+FW11+HS11+GU11+IA11+II11+IQ11+KM11+LC11+HK11+CU11+KU11+BG11+KE11+EA11+JO11+JG11+GE11+BO11+JW11+IY11+DK11+DS11+GM11+EQ11+EI11+AQ11+EY11+FG11+AI11</f>
        <v>1282257.07</v>
      </c>
      <c r="T11" s="70">
        <f t="shared" ref="T11:T27" si="27">AB11+AZ11+BX11+CF11+CN11+DD11+HD11+FP11+FX11+HT11+GV11+IB11+IJ11+IR11+KN11+LD11+HL11+CV11+KV11+BH11+KF11+EB11+JP11+JH11+GF11+BP11+JX11+IZ11+DL11+DT11+GN11+ER11+EJ11+AR11+EZ11+FH11+AJ11</f>
        <v>118125100</v>
      </c>
      <c r="U11" s="71">
        <f>'Федеральные  средства  по  МО'!F12</f>
        <v>0</v>
      </c>
      <c r="V11" s="67">
        <f>'Проверочная  таблица'!BL16</f>
        <v>0</v>
      </c>
      <c r="W11" s="72">
        <f>'Проверочная  таблица'!BP16</f>
        <v>0</v>
      </c>
      <c r="X11" s="67">
        <f>'Проверочная  таблица'!BR16</f>
        <v>0</v>
      </c>
      <c r="Y11" s="71">
        <f>'Федеральные  средства  по  МО'!G12</f>
        <v>0</v>
      </c>
      <c r="Z11" s="67">
        <f>'Проверочная  таблица'!BM16</f>
        <v>0</v>
      </c>
      <c r="AA11" s="72">
        <f>'Проверочная  таблица'!BQ16</f>
        <v>0</v>
      </c>
      <c r="AB11" s="67">
        <f>'Проверочная  таблица'!BS16</f>
        <v>0</v>
      </c>
      <c r="AC11" s="1139">
        <f>'Федеральные  средства  по  МО'!H12</f>
        <v>49290000</v>
      </c>
      <c r="AD11" s="73">
        <f t="shared" ref="AD11:AD27" si="28">AC11</f>
        <v>49290000</v>
      </c>
      <c r="AE11" s="67"/>
      <c r="AF11" s="74"/>
      <c r="AG11" s="1139">
        <f>'Федеральные  средства  по  МО'!I12</f>
        <v>0</v>
      </c>
      <c r="AH11" s="73">
        <f t="shared" ref="AH11:AH27" si="29">AG11</f>
        <v>0</v>
      </c>
      <c r="AI11" s="67"/>
      <c r="AJ11" s="72"/>
      <c r="AK11" s="71">
        <f>'Федеральные  средства  по  МО'!J12</f>
        <v>7248000</v>
      </c>
      <c r="AL11" s="73">
        <f t="shared" ref="AL11:AL27" si="30">AK11</f>
        <v>7248000</v>
      </c>
      <c r="AM11" s="67"/>
      <c r="AN11" s="74"/>
      <c r="AO11" s="71">
        <f>'Федеральные  средства  по  МО'!K12</f>
        <v>0</v>
      </c>
      <c r="AP11" s="73">
        <f t="shared" ref="AP11:AP27" si="31">AO11</f>
        <v>0</v>
      </c>
      <c r="AQ11" s="67"/>
      <c r="AR11" s="72"/>
      <c r="AS11" s="75">
        <f>'Федеральные  средства  по  МО'!P12</f>
        <v>0</v>
      </c>
      <c r="AT11" s="72">
        <f>'Проверочная  таблица'!CP16</f>
        <v>0</v>
      </c>
      <c r="AU11" s="67"/>
      <c r="AV11" s="74"/>
      <c r="AW11" s="76">
        <f>'Федеральные  средства  по  МО'!Q12</f>
        <v>0</v>
      </c>
      <c r="AX11" s="72">
        <f>'Проверочная  таблица'!CW16</f>
        <v>0</v>
      </c>
      <c r="AY11" s="73"/>
      <c r="AZ11" s="67"/>
      <c r="BA11" s="76">
        <f>'Федеральные  средства  по  МО'!R12</f>
        <v>0</v>
      </c>
      <c r="BB11" s="72">
        <f>'Проверочная  таблица'!CR16</f>
        <v>0</v>
      </c>
      <c r="BC11" s="67"/>
      <c r="BD11" s="72">
        <f>'Проверочная  таблица'!DD16</f>
        <v>0</v>
      </c>
      <c r="BE11" s="75">
        <f>'Федеральные  средства  по  МО'!S12</f>
        <v>0</v>
      </c>
      <c r="BF11" s="72">
        <f>'Проверочная  таблица'!CY16</f>
        <v>0</v>
      </c>
      <c r="BG11" s="67"/>
      <c r="BH11" s="72">
        <f>'Проверочная  таблица'!DG16</f>
        <v>0</v>
      </c>
      <c r="BI11" s="75">
        <f>'Федеральные  средства  по  МО'!T12</f>
        <v>0</v>
      </c>
      <c r="BJ11" s="72">
        <f t="shared" ref="BJ11:BJ27" si="32">BI11</f>
        <v>0</v>
      </c>
      <c r="BK11" s="67"/>
      <c r="BL11" s="72"/>
      <c r="BM11" s="77">
        <f>'Федеральные  средства  по  МО'!U12</f>
        <v>0</v>
      </c>
      <c r="BN11" s="72">
        <f t="shared" ref="BN11:BN27" si="33">BM11</f>
        <v>0</v>
      </c>
      <c r="BO11" s="73"/>
      <c r="BP11" s="73"/>
      <c r="BQ11" s="71">
        <f>'Федеральные  средства  по  МО'!V12</f>
        <v>2991400</v>
      </c>
      <c r="BR11" s="73">
        <f t="shared" si="4"/>
        <v>2991400</v>
      </c>
      <c r="BS11" s="72"/>
      <c r="BT11" s="67"/>
      <c r="BU11" s="71">
        <f>'Федеральные  средства  по  МО'!W12</f>
        <v>2148193.0099999998</v>
      </c>
      <c r="BV11" s="73">
        <f t="shared" si="5"/>
        <v>2148193.0099999998</v>
      </c>
      <c r="BW11" s="72"/>
      <c r="BX11" s="67"/>
      <c r="BY11" s="71">
        <f>'Федеральные  средства  по  МО'!X12</f>
        <v>0</v>
      </c>
      <c r="BZ11" s="73">
        <f t="shared" si="6"/>
        <v>0</v>
      </c>
      <c r="CA11" s="72"/>
      <c r="CB11" s="67"/>
      <c r="CC11" s="71">
        <f>'Федеральные  средства  по  МО'!Y12</f>
        <v>0</v>
      </c>
      <c r="CD11" s="73">
        <f t="shared" si="7"/>
        <v>0</v>
      </c>
      <c r="CE11" s="72"/>
      <c r="CF11" s="67"/>
      <c r="CG11" s="71">
        <f>'Федеральные  средства  по  МО'!Z12</f>
        <v>0</v>
      </c>
      <c r="CH11" s="73">
        <f t="shared" si="8"/>
        <v>0</v>
      </c>
      <c r="CI11" s="67"/>
      <c r="CJ11" s="74"/>
      <c r="CK11" s="71">
        <f>'Федеральные  средства  по  МО'!AA12</f>
        <v>0</v>
      </c>
      <c r="CL11" s="73">
        <f t="shared" si="9"/>
        <v>0</v>
      </c>
      <c r="CM11" s="72"/>
      <c r="CN11" s="73"/>
      <c r="CO11" s="76">
        <f>'Федеральные  средства  по  МО'!AB12</f>
        <v>0</v>
      </c>
      <c r="CP11" s="72">
        <f t="shared" ref="CP11:CP27" si="34">CO11</f>
        <v>0</v>
      </c>
      <c r="CQ11" s="67"/>
      <c r="CR11" s="72"/>
      <c r="CS11" s="75">
        <f>'Федеральные  средства  по  МО'!AC12</f>
        <v>0</v>
      </c>
      <c r="CT11" s="72">
        <f t="shared" ref="CT11:CT27" si="35">CS11</f>
        <v>0</v>
      </c>
      <c r="CU11" s="67"/>
      <c r="CV11" s="72"/>
      <c r="CW11" s="76">
        <f>'Федеральные  средства  по  МО'!AD12</f>
        <v>0</v>
      </c>
      <c r="CX11" s="74">
        <f>'Проверочная  таблица'!EV16</f>
        <v>0</v>
      </c>
      <c r="CY11" s="72">
        <f t="shared" ref="CY11:CY27" si="36">CW11-CX11</f>
        <v>0</v>
      </c>
      <c r="CZ11" s="73"/>
      <c r="DA11" s="75">
        <f>'Федеральные  средства  по  МО'!AE12</f>
        <v>0</v>
      </c>
      <c r="DB11" s="74">
        <f>'Проверочная  таблица'!EY16</f>
        <v>0</v>
      </c>
      <c r="DC11" s="72">
        <f t="shared" ref="DC11:DC27" si="37">DA11-DB11</f>
        <v>0</v>
      </c>
      <c r="DD11" s="67"/>
      <c r="DE11" s="71">
        <f>'Федеральные  средства  по  МО'!AF12</f>
        <v>0</v>
      </c>
      <c r="DF11" s="73">
        <f t="shared" ref="DF11:DF27" si="38">DE11</f>
        <v>0</v>
      </c>
      <c r="DG11" s="67"/>
      <c r="DH11" s="74"/>
      <c r="DI11" s="71">
        <f>'Федеральные  средства  по  МО'!AG12</f>
        <v>0</v>
      </c>
      <c r="DJ11" s="73">
        <f t="shared" ref="DJ11:DJ27" si="39">DI11</f>
        <v>0</v>
      </c>
      <c r="DK11" s="67"/>
      <c r="DL11" s="74"/>
      <c r="DM11" s="71">
        <f>'Федеральные  средства  по  МО'!AH12</f>
        <v>0</v>
      </c>
      <c r="DN11" s="73">
        <f t="shared" ref="DN11:DN27" si="40">DM11</f>
        <v>0</v>
      </c>
      <c r="DO11" s="67"/>
      <c r="DP11" s="74"/>
      <c r="DQ11" s="71">
        <f>'Федеральные  средства  по  МО'!AI12</f>
        <v>0</v>
      </c>
      <c r="DR11" s="73">
        <f t="shared" ref="DR11:DR27" si="41">DQ11</f>
        <v>0</v>
      </c>
      <c r="DS11" s="67"/>
      <c r="DT11" s="72"/>
      <c r="DU11" s="76">
        <f>'Федеральные  средства  по  МО'!AJ12</f>
        <v>0</v>
      </c>
      <c r="DV11" s="72">
        <f t="shared" ref="DV11:DV27" si="42">DU11</f>
        <v>0</v>
      </c>
      <c r="DW11" s="67"/>
      <c r="DX11" s="72"/>
      <c r="DY11" s="75">
        <f>'Федеральные  средства  по  МО'!AK12</f>
        <v>0</v>
      </c>
      <c r="DZ11" s="72">
        <f t="shared" ref="DZ11:DZ27" si="43">DY11</f>
        <v>0</v>
      </c>
      <c r="EA11" s="67"/>
      <c r="EB11" s="74"/>
      <c r="EC11" s="71">
        <f>'Федеральные  средства  по  МО'!AL12</f>
        <v>0</v>
      </c>
      <c r="ED11" s="67">
        <f t="shared" si="10"/>
        <v>0</v>
      </c>
      <c r="EE11" s="72"/>
      <c r="EF11" s="67"/>
      <c r="EG11" s="71">
        <f>'Федеральные  средства  по  МО'!AM12</f>
        <v>0</v>
      </c>
      <c r="EH11" s="67">
        <f t="shared" si="11"/>
        <v>0</v>
      </c>
      <c r="EI11" s="72"/>
      <c r="EJ11" s="67"/>
      <c r="EK11" s="76">
        <f>'Федеральные  средства  по  МО'!AN12</f>
        <v>92125100</v>
      </c>
      <c r="EL11" s="72"/>
      <c r="EM11" s="67"/>
      <c r="EN11" s="72">
        <f t="shared" ref="EN11:EN27" si="44">EK11</f>
        <v>92125100</v>
      </c>
      <c r="EO11" s="75">
        <f>'Федеральные  средства  по  МО'!AO12</f>
        <v>92125100</v>
      </c>
      <c r="EP11" s="72"/>
      <c r="EQ11" s="67"/>
      <c r="ER11" s="74">
        <f t="shared" ref="ER11:ER27" si="45">EO11</f>
        <v>92125100</v>
      </c>
      <c r="ES11" s="1152">
        <f>'Федеральные  средства  по  МО'!AP12</f>
        <v>0</v>
      </c>
      <c r="ET11" s="72">
        <f>'Проверочная  таблица'!IJ16</f>
        <v>0</v>
      </c>
      <c r="EU11" s="67">
        <f>'Проверочная  таблица'!IT16</f>
        <v>0</v>
      </c>
      <c r="EV11" s="72">
        <f>'Проверочная  таблица'!IV16</f>
        <v>0</v>
      </c>
      <c r="EW11" s="1154">
        <f>'Федеральные  средства  по  МО'!AQ12</f>
        <v>0</v>
      </c>
      <c r="EX11" s="72">
        <f>'Проверочная  таблица'!IM16</f>
        <v>0</v>
      </c>
      <c r="EY11" s="67">
        <f>'Проверочная  таблица'!IU16</f>
        <v>0</v>
      </c>
      <c r="EZ11" s="72">
        <f>'Проверочная  таблица'!IS13</f>
        <v>0</v>
      </c>
      <c r="FA11" s="77">
        <f>'Федеральные  средства  по  МО'!AR12</f>
        <v>0</v>
      </c>
      <c r="FB11" s="73"/>
      <c r="FC11" s="67"/>
      <c r="FD11" s="74"/>
      <c r="FE11" s="71">
        <f>'Федеральные  средства  по  МО'!AS12</f>
        <v>0</v>
      </c>
      <c r="FF11" s="73"/>
      <c r="FG11" s="67"/>
      <c r="FH11" s="72"/>
      <c r="FI11" s="77">
        <f>'Федеральные  средства  по  МО'!AT12</f>
        <v>0</v>
      </c>
      <c r="FJ11" s="73"/>
      <c r="FK11" s="67"/>
      <c r="FL11" s="74"/>
      <c r="FM11" s="71">
        <f>'Федеральные  средства  по  МО'!AU12</f>
        <v>0</v>
      </c>
      <c r="FN11" s="67"/>
      <c r="FO11" s="72"/>
      <c r="FP11" s="67"/>
      <c r="FQ11" s="76">
        <f>'Федеральные  средства  по  МО'!AV12</f>
        <v>0</v>
      </c>
      <c r="FR11" s="74">
        <f>'Проверочная  таблица'!JL16</f>
        <v>0</v>
      </c>
      <c r="FS11" s="72">
        <f>'Проверочная  таблица'!JX16</f>
        <v>-179042.41</v>
      </c>
      <c r="FT11" s="72">
        <f>'Проверочная  таблица'!KD16</f>
        <v>179042.41</v>
      </c>
      <c r="FU11" s="75">
        <f>'Федеральные  средства  по  МО'!AW12</f>
        <v>0</v>
      </c>
      <c r="FV11" s="72">
        <f>'Проверочная  таблица'!JO16</f>
        <v>0</v>
      </c>
      <c r="FW11" s="67">
        <f>'Проверочная  таблица'!KA16</f>
        <v>0</v>
      </c>
      <c r="FX11" s="72">
        <f>'Проверочная  таблица'!KG16</f>
        <v>0</v>
      </c>
      <c r="FY11" s="76">
        <f>'Федеральные  средства  по  МО'!AX12</f>
        <v>462418.86</v>
      </c>
      <c r="FZ11" s="72"/>
      <c r="GA11" s="67">
        <f t="shared" ref="GA11:GA27" si="46">FY11</f>
        <v>462418.86</v>
      </c>
      <c r="GB11" s="72"/>
      <c r="GC11" s="71">
        <f>'Федеральные  средства  по  МО'!AY12</f>
        <v>0</v>
      </c>
      <c r="GD11" s="67"/>
      <c r="GE11" s="72">
        <f t="shared" ref="GE11:GE27" si="47">GC11</f>
        <v>0</v>
      </c>
      <c r="GF11" s="67"/>
      <c r="GG11" s="71">
        <f>'Федеральные  средства  по  МО'!AZ12</f>
        <v>1645916.6</v>
      </c>
      <c r="GH11" s="73">
        <f t="shared" ref="GH11:GH27" si="48">GG11</f>
        <v>1645916.6</v>
      </c>
      <c r="GI11" s="67"/>
      <c r="GJ11" s="74"/>
      <c r="GK11" s="71">
        <f>'Федеральные  средства  по  МО'!BA12</f>
        <v>0</v>
      </c>
      <c r="GL11" s="73">
        <f t="shared" ref="GL11:GL27" si="49">GK11</f>
        <v>0</v>
      </c>
      <c r="GM11" s="67"/>
      <c r="GN11" s="72"/>
      <c r="GO11" s="77">
        <f>'Федеральные  средства  по  МО'!BB12</f>
        <v>0</v>
      </c>
      <c r="GP11" s="67"/>
      <c r="GQ11" s="74">
        <f>'Проверочная  таблица'!MG16</f>
        <v>0</v>
      </c>
      <c r="GR11" s="72">
        <f>'Проверочная  таблица'!MO16</f>
        <v>0</v>
      </c>
      <c r="GS11" s="75">
        <f>'Федеральные  средства  по  МО'!BC12</f>
        <v>0</v>
      </c>
      <c r="GT11" s="74"/>
      <c r="GU11" s="72">
        <f>'Проверочная  таблица'!MK16</f>
        <v>0</v>
      </c>
      <c r="GV11" s="73">
        <f>'Проверочная  таблица'!MS16</f>
        <v>0</v>
      </c>
      <c r="GW11" s="75">
        <f>'Федеральные  средства  по  МО'!BD12</f>
        <v>0</v>
      </c>
      <c r="GX11" s="72">
        <f t="shared" ref="GX11:GX27" si="50">GW11</f>
        <v>0</v>
      </c>
      <c r="GY11" s="67"/>
      <c r="GZ11" s="74"/>
      <c r="HA11" s="71">
        <f>'Федеральные  средства  по  МО'!BE12</f>
        <v>0</v>
      </c>
      <c r="HB11" s="72">
        <f t="shared" ref="HB11:HB27" si="51">HA11</f>
        <v>0</v>
      </c>
      <c r="HC11" s="73"/>
      <c r="HD11" s="67"/>
      <c r="HE11" s="71">
        <f>'Федеральные  средства  по  МО'!BF12</f>
        <v>0</v>
      </c>
      <c r="HF11" s="74">
        <f t="shared" ref="HF11:HF27" si="52">HE11</f>
        <v>0</v>
      </c>
      <c r="HG11" s="72"/>
      <c r="HH11" s="73"/>
      <c r="HI11" s="77">
        <f>'Федеральные  средства  по  МО'!BG12</f>
        <v>0</v>
      </c>
      <c r="HJ11" s="74">
        <f t="shared" si="12"/>
        <v>0</v>
      </c>
      <c r="HK11" s="72"/>
      <c r="HL11" s="73"/>
      <c r="HM11" s="76">
        <f>'Федеральные  средства  по  МО'!BH12</f>
        <v>92304142.409999996</v>
      </c>
      <c r="HN11" s="74">
        <f t="shared" ref="HN11:HN27" si="53">HM11-HP11</f>
        <v>179042.40999999642</v>
      </c>
      <c r="HO11" s="72"/>
      <c r="HP11" s="73">
        <f>'Проверочная  таблица'!NX16</f>
        <v>92125100</v>
      </c>
      <c r="HQ11" s="77">
        <f>'Федеральные  средства  по  МО'!BI12</f>
        <v>179042.4</v>
      </c>
      <c r="HR11" s="74">
        <f t="shared" ref="HR11:HR27" si="54">HQ11-HT11</f>
        <v>179042.4</v>
      </c>
      <c r="HS11" s="74"/>
      <c r="HT11" s="72">
        <f>'Проверочная  таблица'!OA16</f>
        <v>0</v>
      </c>
      <c r="HU11" s="77">
        <f>'Федеральные  средства  по  МО'!BJ12</f>
        <v>0</v>
      </c>
      <c r="HV11" s="73">
        <f t="shared" ref="HV11:HV27" si="55">HU11</f>
        <v>0</v>
      </c>
      <c r="HW11" s="67"/>
      <c r="HX11" s="74"/>
      <c r="HY11" s="71">
        <f>'Федеральные  средства  по  МО'!BK12</f>
        <v>0</v>
      </c>
      <c r="HZ11" s="73">
        <f t="shared" si="13"/>
        <v>0</v>
      </c>
      <c r="IA11" s="67"/>
      <c r="IB11" s="72"/>
      <c r="IC11" s="76">
        <f>'Федеральные  средства  по  МО'!BL12</f>
        <v>26000000</v>
      </c>
      <c r="ID11" s="74"/>
      <c r="IE11" s="72"/>
      <c r="IF11" s="73">
        <f>'Проверочная  таблица'!PJ16</f>
        <v>26000000</v>
      </c>
      <c r="IG11" s="75">
        <f>'Федеральные  средства  по  МО'!BM12</f>
        <v>26000000</v>
      </c>
      <c r="IH11" s="74"/>
      <c r="II11" s="72"/>
      <c r="IJ11" s="73">
        <f>'Проверочная  таблица'!PN16</f>
        <v>26000000</v>
      </c>
      <c r="IK11" s="76">
        <f>'Федеральные  средства  по  МО'!BN12</f>
        <v>1290526.6400000001</v>
      </c>
      <c r="IL11" s="74">
        <f>'Проверочная  таблица'!PR16</f>
        <v>0</v>
      </c>
      <c r="IM11" s="72">
        <f t="shared" ref="IM11:IM27" si="56">IK11-IL11</f>
        <v>1290526.6400000001</v>
      </c>
      <c r="IN11" s="73"/>
      <c r="IO11" s="75">
        <f>'Федеральные  средства  по  МО'!BO12</f>
        <v>1282257.07</v>
      </c>
      <c r="IP11" s="74">
        <f>'Проверочная  таблица'!PW16</f>
        <v>0</v>
      </c>
      <c r="IQ11" s="72">
        <f t="shared" ref="IQ11:IQ27" si="57">IO11-IP11</f>
        <v>1282257.07</v>
      </c>
      <c r="IR11" s="73"/>
      <c r="IS11" s="76">
        <f>'Федеральные  средства  по  МО'!BR12</f>
        <v>0</v>
      </c>
      <c r="IT11" s="72">
        <f t="shared" ref="IT11:IT27" si="58">IS11</f>
        <v>0</v>
      </c>
      <c r="IU11" s="67"/>
      <c r="IV11" s="72"/>
      <c r="IW11" s="77">
        <f>'Федеральные  средства  по  МО'!BS12</f>
        <v>0</v>
      </c>
      <c r="IX11" s="73">
        <f t="shared" ref="IX11:IX27" si="59">IW11</f>
        <v>0</v>
      </c>
      <c r="IY11" s="73"/>
      <c r="IZ11" s="72"/>
      <c r="JA11" s="76">
        <f>'Федеральные  средства  по  МО'!BT12</f>
        <v>0</v>
      </c>
      <c r="JB11" s="72">
        <f>'Проверочная  таблица'!RF16</f>
        <v>0</v>
      </c>
      <c r="JC11" s="67">
        <f>'Проверочная  таблица'!RL16</f>
        <v>0</v>
      </c>
      <c r="JD11" s="72">
        <f>'Проверочная  таблица'!RR16</f>
        <v>0</v>
      </c>
      <c r="JE11" s="75">
        <f>'Федеральные  средства  по  МО'!BU12</f>
        <v>0</v>
      </c>
      <c r="JF11" s="72">
        <f>'Проверочная  таблица'!RC16</f>
        <v>0</v>
      </c>
      <c r="JG11" s="67">
        <f>'Проверочная  таблица'!RO16</f>
        <v>0</v>
      </c>
      <c r="JH11" s="74">
        <f>'Проверочная  таблица'!RU16</f>
        <v>0</v>
      </c>
      <c r="JI11" s="71">
        <f>'Федеральные  средства  по  МО'!BV12</f>
        <v>0</v>
      </c>
      <c r="JJ11" s="72">
        <f t="shared" ref="JJ11:JJ27" si="60">JI11</f>
        <v>0</v>
      </c>
      <c r="JK11" s="67"/>
      <c r="JL11" s="72"/>
      <c r="JM11" s="77">
        <f>'Федеральные  средства  по  МО'!BW12</f>
        <v>0</v>
      </c>
      <c r="JN11" s="73">
        <f t="shared" ref="JN11:JN27" si="61">JM11</f>
        <v>0</v>
      </c>
      <c r="JO11" s="67"/>
      <c r="JP11" s="74"/>
      <c r="JQ11" s="76">
        <f>'Федеральные  средства  по  МО'!BX12</f>
        <v>0</v>
      </c>
      <c r="JR11" s="72">
        <f t="shared" ref="JR11:JR27" si="62">JQ11</f>
        <v>0</v>
      </c>
      <c r="JS11" s="67"/>
      <c r="JT11" s="72"/>
      <c r="JU11" s="77">
        <f>'Федеральные  средства  по  МО'!BY12</f>
        <v>0</v>
      </c>
      <c r="JV11" s="72">
        <f t="shared" ref="JV11:JV27" si="63">JU11</f>
        <v>0</v>
      </c>
      <c r="JW11" s="67"/>
      <c r="JX11" s="72"/>
      <c r="JY11" s="76">
        <f>'Федеральные  средства  по  МО'!BZ12</f>
        <v>0</v>
      </c>
      <c r="JZ11" s="72">
        <f t="shared" ref="JZ11:JZ27" si="64">JY11</f>
        <v>0</v>
      </c>
      <c r="KA11" s="67"/>
      <c r="KB11" s="72"/>
      <c r="KC11" s="75">
        <f>'Федеральные  средства  по  МО'!CA12</f>
        <v>0</v>
      </c>
      <c r="KD11" s="72">
        <f t="shared" ref="KD11:KD27" si="65">KC11</f>
        <v>0</v>
      </c>
      <c r="KE11" s="67"/>
      <c r="KF11" s="72"/>
      <c r="KG11" s="75">
        <f>'Федеральные  средства  по  МО'!CB12</f>
        <v>0</v>
      </c>
      <c r="KH11" s="74">
        <f>'Проверочная  таблица'!SR16</f>
        <v>0</v>
      </c>
      <c r="KI11" s="72">
        <f>'Проверочная  таблица'!TT16</f>
        <v>0</v>
      </c>
      <c r="KJ11" s="67">
        <f>'Проверочная  таблица'!UH16</f>
        <v>0</v>
      </c>
      <c r="KK11" s="1139">
        <f>'Федеральные  средства  по  МО'!CC12</f>
        <v>0</v>
      </c>
      <c r="KL11" s="67">
        <f>'Проверочная  таблица'!SY16</f>
        <v>0</v>
      </c>
      <c r="KM11" s="72">
        <f>'Проверочная  таблица'!UA16</f>
        <v>0</v>
      </c>
      <c r="KN11" s="73">
        <f>'Проверочная  таблица'!UO16</f>
        <v>0</v>
      </c>
      <c r="KO11" s="75">
        <f>'Федеральные  средства  по  МО'!CD12</f>
        <v>0</v>
      </c>
      <c r="KP11" s="72">
        <f>'Проверочная  таблица'!ST16</f>
        <v>0</v>
      </c>
      <c r="KQ11" s="67">
        <f t="shared" ref="KQ11:KQ27" si="66">KO11-KP11</f>
        <v>0</v>
      </c>
      <c r="KR11" s="72"/>
      <c r="KS11" s="75">
        <f>'Федеральные  средства  по  МО'!CE12</f>
        <v>0</v>
      </c>
      <c r="KT11" s="72">
        <f>'Проверочная  таблица'!TA16</f>
        <v>0</v>
      </c>
      <c r="KU11" s="67">
        <f t="shared" ref="KU11:KU27" si="67">KS11-KT11</f>
        <v>0</v>
      </c>
      <c r="KV11" s="74"/>
      <c r="KW11" s="76">
        <f>'Федеральные  средства  по  МО'!CF12</f>
        <v>123288200</v>
      </c>
      <c r="KX11" s="74">
        <f>'Проверочная  таблица'!SV16</f>
        <v>123288200</v>
      </c>
      <c r="KY11" s="72">
        <f>'Проверочная  таблица'!TX16</f>
        <v>0</v>
      </c>
      <c r="KZ11" s="73"/>
      <c r="LA11" s="75">
        <f>'Федеральные  средства  по  МО'!CG12</f>
        <v>0</v>
      </c>
      <c r="LB11" s="74">
        <f>'Проверочная  таблица'!TC16</f>
        <v>0</v>
      </c>
      <c r="LC11" s="72">
        <f>'Проверочная  таблица'!TQ16</f>
        <v>0</v>
      </c>
      <c r="LD11" s="72"/>
    </row>
    <row r="12" spans="1:316" ht="25.5" customHeight="1" x14ac:dyDescent="0.25">
      <c r="A12" s="52" t="s">
        <v>319</v>
      </c>
      <c r="B12" s="69">
        <f t="shared" si="14"/>
        <v>228749991.21000001</v>
      </c>
      <c r="C12" s="70">
        <f t="shared" si="15"/>
        <v>47343042.599999994</v>
      </c>
      <c r="D12" s="70">
        <f t="shared" si="16"/>
        <v>1861117.62</v>
      </c>
      <c r="E12" s="70">
        <f t="shared" si="17"/>
        <v>179545830.99000001</v>
      </c>
      <c r="F12" s="69">
        <f t="shared" si="18"/>
        <v>94792299.450000003</v>
      </c>
      <c r="G12" s="70">
        <f t="shared" si="19"/>
        <v>216139.53000000003</v>
      </c>
      <c r="H12" s="70">
        <f t="shared" si="1"/>
        <v>1615705.51</v>
      </c>
      <c r="I12" s="70">
        <f t="shared" si="2"/>
        <v>92960454.409999996</v>
      </c>
      <c r="J12" s="52"/>
      <c r="K12" s="53">
        <f>M12-'Федеральные  средства  по  МО'!N13-'Федеральные  средства  по  МО'!D13</f>
        <v>0</v>
      </c>
      <c r="L12" s="53">
        <f>Q12-'Федеральные  средства  по  МО'!O13-'Федеральные  средства  по  МО'!E13</f>
        <v>0</v>
      </c>
      <c r="M12" s="1180">
        <f t="shared" si="20"/>
        <v>302110814.28999996</v>
      </c>
      <c r="N12" s="70">
        <f t="shared" si="21"/>
        <v>109567820.59999999</v>
      </c>
      <c r="O12" s="70">
        <f t="shared" si="22"/>
        <v>1861117.62</v>
      </c>
      <c r="P12" s="70">
        <f t="shared" si="23"/>
        <v>179545830.99000001</v>
      </c>
      <c r="Q12" s="1180">
        <f t="shared" si="24"/>
        <v>96368299.450000003</v>
      </c>
      <c r="R12" s="70">
        <f t="shared" si="25"/>
        <v>1792139.53</v>
      </c>
      <c r="S12" s="70">
        <f t="shared" si="26"/>
        <v>1615705.51</v>
      </c>
      <c r="T12" s="70">
        <f t="shared" si="27"/>
        <v>92960454.409999996</v>
      </c>
      <c r="U12" s="71">
        <f>'Федеральные  средства  по  МО'!F13</f>
        <v>0</v>
      </c>
      <c r="V12" s="67">
        <f>'Проверочная  таблица'!BL17</f>
        <v>0</v>
      </c>
      <c r="W12" s="72">
        <f>'Проверочная  таблица'!BP17</f>
        <v>0</v>
      </c>
      <c r="X12" s="67">
        <f>'Проверочная  таблица'!BR17</f>
        <v>0</v>
      </c>
      <c r="Y12" s="71">
        <f>'Федеральные  средства  по  МО'!G13</f>
        <v>0</v>
      </c>
      <c r="Z12" s="67">
        <f>'Проверочная  таблица'!BM17</f>
        <v>0</v>
      </c>
      <c r="AA12" s="72">
        <f>'Проверочная  таблица'!BQ17</f>
        <v>0</v>
      </c>
      <c r="AB12" s="67">
        <f>'Проверочная  таблица'!BS17</f>
        <v>0</v>
      </c>
      <c r="AC12" s="1139">
        <f>'Федеральные  средства  по  МО'!H13</f>
        <v>36031778</v>
      </c>
      <c r="AD12" s="73">
        <f t="shared" si="28"/>
        <v>36031778</v>
      </c>
      <c r="AE12" s="67"/>
      <c r="AF12" s="74"/>
      <c r="AG12" s="1139">
        <f>'Федеральные  средства  по  МО'!I13</f>
        <v>0</v>
      </c>
      <c r="AH12" s="73">
        <f t="shared" si="29"/>
        <v>0</v>
      </c>
      <c r="AI12" s="67"/>
      <c r="AJ12" s="72"/>
      <c r="AK12" s="71">
        <f>'Федеральные  средства  по  МО'!J13</f>
        <v>26193000</v>
      </c>
      <c r="AL12" s="73">
        <f t="shared" si="30"/>
        <v>26193000</v>
      </c>
      <c r="AM12" s="67"/>
      <c r="AN12" s="74"/>
      <c r="AO12" s="71">
        <f>'Федеральные  средства  по  МО'!K13</f>
        <v>1576000</v>
      </c>
      <c r="AP12" s="73">
        <f t="shared" si="31"/>
        <v>1576000</v>
      </c>
      <c r="AQ12" s="67"/>
      <c r="AR12" s="72"/>
      <c r="AS12" s="75">
        <f>'Федеральные  средства  по  МО'!P13</f>
        <v>0</v>
      </c>
      <c r="AT12" s="72">
        <f>'Проверочная  таблица'!CP17</f>
        <v>0</v>
      </c>
      <c r="AU12" s="78"/>
      <c r="AV12" s="79"/>
      <c r="AW12" s="76">
        <f>'Федеральные  средства  по  МО'!Q13</f>
        <v>0</v>
      </c>
      <c r="AX12" s="72">
        <f>'Проверочная  таблица'!CW17</f>
        <v>0</v>
      </c>
      <c r="AY12" s="80"/>
      <c r="AZ12" s="78"/>
      <c r="BA12" s="76">
        <f>'Федеральные  средства  по  МО'!R13</f>
        <v>0</v>
      </c>
      <c r="BB12" s="72">
        <f>'Проверочная  таблица'!CR17</f>
        <v>0</v>
      </c>
      <c r="BC12" s="67"/>
      <c r="BD12" s="72">
        <f>'Проверочная  таблица'!DD17</f>
        <v>0</v>
      </c>
      <c r="BE12" s="75">
        <f>'Федеральные  средства  по  МО'!S13</f>
        <v>0</v>
      </c>
      <c r="BF12" s="72">
        <f>'Проверочная  таблица'!CY17</f>
        <v>0</v>
      </c>
      <c r="BG12" s="78"/>
      <c r="BH12" s="72">
        <f>'Проверочная  таблица'!DG17</f>
        <v>0</v>
      </c>
      <c r="BI12" s="75">
        <f>'Федеральные  средства  по  МО'!T13</f>
        <v>0</v>
      </c>
      <c r="BJ12" s="72">
        <f t="shared" si="32"/>
        <v>0</v>
      </c>
      <c r="BK12" s="67"/>
      <c r="BL12" s="72"/>
      <c r="BM12" s="77">
        <f>'Федеральные  средства  по  МО'!U13</f>
        <v>0</v>
      </c>
      <c r="BN12" s="72">
        <f t="shared" si="33"/>
        <v>0</v>
      </c>
      <c r="BO12" s="80"/>
      <c r="BP12" s="80"/>
      <c r="BQ12" s="71">
        <f>'Федеральные  средства  по  МО'!V13</f>
        <v>0</v>
      </c>
      <c r="BR12" s="80">
        <f t="shared" si="4"/>
        <v>0</v>
      </c>
      <c r="BS12" s="81"/>
      <c r="BT12" s="78"/>
      <c r="BU12" s="71">
        <f>'Федеральные  средства  по  МО'!W13</f>
        <v>0</v>
      </c>
      <c r="BV12" s="80">
        <f t="shared" si="5"/>
        <v>0</v>
      </c>
      <c r="BW12" s="81"/>
      <c r="BX12" s="78"/>
      <c r="BY12" s="71">
        <f>'Федеральные  средства  по  МО'!X13</f>
        <v>0</v>
      </c>
      <c r="BZ12" s="80">
        <f t="shared" si="6"/>
        <v>0</v>
      </c>
      <c r="CA12" s="81"/>
      <c r="CB12" s="78"/>
      <c r="CC12" s="71">
        <f>'Федеральные  средства  по  МО'!Y13</f>
        <v>0</v>
      </c>
      <c r="CD12" s="80">
        <f t="shared" si="7"/>
        <v>0</v>
      </c>
      <c r="CE12" s="81"/>
      <c r="CF12" s="78"/>
      <c r="CG12" s="71">
        <f>'Федеральные  средства  по  МО'!Z13</f>
        <v>0</v>
      </c>
      <c r="CH12" s="80">
        <f t="shared" si="8"/>
        <v>0</v>
      </c>
      <c r="CI12" s="78"/>
      <c r="CJ12" s="79"/>
      <c r="CK12" s="71">
        <f>'Федеральные  средства  по  МО'!AA13</f>
        <v>0</v>
      </c>
      <c r="CL12" s="80">
        <f t="shared" si="9"/>
        <v>0</v>
      </c>
      <c r="CM12" s="81"/>
      <c r="CN12" s="80"/>
      <c r="CO12" s="76">
        <f>'Федеральные  средства  по  МО'!AB13</f>
        <v>0</v>
      </c>
      <c r="CP12" s="72">
        <f t="shared" si="34"/>
        <v>0</v>
      </c>
      <c r="CQ12" s="67"/>
      <c r="CR12" s="72"/>
      <c r="CS12" s="75">
        <f>'Федеральные  средства  по  МО'!AC13</f>
        <v>0</v>
      </c>
      <c r="CT12" s="72">
        <f t="shared" si="35"/>
        <v>0</v>
      </c>
      <c r="CU12" s="67"/>
      <c r="CV12" s="72"/>
      <c r="CW12" s="76">
        <f>'Федеральные  средства  по  МО'!AD13</f>
        <v>0</v>
      </c>
      <c r="CX12" s="74">
        <f>'Проверочная  таблица'!EV17</f>
        <v>0</v>
      </c>
      <c r="CY12" s="72">
        <f t="shared" si="36"/>
        <v>0</v>
      </c>
      <c r="CZ12" s="73"/>
      <c r="DA12" s="75">
        <f>'Федеральные  средства  по  МО'!AE13</f>
        <v>0</v>
      </c>
      <c r="DB12" s="74">
        <f>'Проверочная  таблица'!EY17</f>
        <v>0</v>
      </c>
      <c r="DC12" s="72">
        <f t="shared" si="37"/>
        <v>0</v>
      </c>
      <c r="DD12" s="67"/>
      <c r="DE12" s="71">
        <f>'Федеральные  средства  по  МО'!AF13</f>
        <v>0</v>
      </c>
      <c r="DF12" s="73">
        <f t="shared" si="38"/>
        <v>0</v>
      </c>
      <c r="DG12" s="67"/>
      <c r="DH12" s="74"/>
      <c r="DI12" s="71">
        <f>'Федеральные  средства  по  МО'!AG13</f>
        <v>0</v>
      </c>
      <c r="DJ12" s="73">
        <f t="shared" si="39"/>
        <v>0</v>
      </c>
      <c r="DK12" s="67"/>
      <c r="DL12" s="74"/>
      <c r="DM12" s="71">
        <f>'Федеральные  средства  по  МО'!AH13</f>
        <v>0</v>
      </c>
      <c r="DN12" s="73">
        <f t="shared" si="40"/>
        <v>0</v>
      </c>
      <c r="DO12" s="67"/>
      <c r="DP12" s="74"/>
      <c r="DQ12" s="71">
        <f>'Федеральные  средства  по  МО'!AI13</f>
        <v>0</v>
      </c>
      <c r="DR12" s="73">
        <f t="shared" si="41"/>
        <v>0</v>
      </c>
      <c r="DS12" s="67"/>
      <c r="DT12" s="72"/>
      <c r="DU12" s="76">
        <f>'Федеральные  средства  по  МО'!AJ13</f>
        <v>47088003.100000001</v>
      </c>
      <c r="DV12" s="72">
        <f t="shared" si="42"/>
        <v>47088003.100000001</v>
      </c>
      <c r="DW12" s="67"/>
      <c r="DX12" s="72"/>
      <c r="DY12" s="75">
        <f>'Федеральные  средства  по  МО'!AK13</f>
        <v>0</v>
      </c>
      <c r="DZ12" s="72">
        <f t="shared" si="43"/>
        <v>0</v>
      </c>
      <c r="EA12" s="67"/>
      <c r="EB12" s="74"/>
      <c r="EC12" s="71">
        <f>'Федеральные  средства  по  МО'!AL13</f>
        <v>0</v>
      </c>
      <c r="ED12" s="67">
        <f t="shared" si="10"/>
        <v>0</v>
      </c>
      <c r="EE12" s="72"/>
      <c r="EF12" s="67"/>
      <c r="EG12" s="71">
        <f>'Федеральные  средства  по  МО'!AM13</f>
        <v>0</v>
      </c>
      <c r="EH12" s="67">
        <f t="shared" si="11"/>
        <v>0</v>
      </c>
      <c r="EI12" s="72"/>
      <c r="EJ12" s="67"/>
      <c r="EK12" s="76">
        <f>'Федеральные  средства  по  МО'!AN13</f>
        <v>72384000</v>
      </c>
      <c r="EL12" s="72"/>
      <c r="EM12" s="67"/>
      <c r="EN12" s="72">
        <f t="shared" si="44"/>
        <v>72384000</v>
      </c>
      <c r="EO12" s="75">
        <f>'Федеральные  средства  по  МО'!AO13</f>
        <v>72384000</v>
      </c>
      <c r="EP12" s="72"/>
      <c r="EQ12" s="67"/>
      <c r="ER12" s="74">
        <f t="shared" si="45"/>
        <v>72384000</v>
      </c>
      <c r="ES12" s="1152">
        <f>'Федеральные  средства  по  МО'!AP13</f>
        <v>0</v>
      </c>
      <c r="ET12" s="72">
        <f>'Проверочная  таблица'!IJ17</f>
        <v>0</v>
      </c>
      <c r="EU12" s="67">
        <f>'Проверочная  таблица'!IT17</f>
        <v>0</v>
      </c>
      <c r="EV12" s="72">
        <f>'Проверочная  таблица'!IV17</f>
        <v>0</v>
      </c>
      <c r="EW12" s="1154">
        <f>'Федеральные  средства  по  МО'!AQ13</f>
        <v>0</v>
      </c>
      <c r="EX12" s="72">
        <f>'Проверочная  таблица'!IM17</f>
        <v>0</v>
      </c>
      <c r="EY12" s="67">
        <f>'Проверочная  таблица'!IU17</f>
        <v>0</v>
      </c>
      <c r="EZ12" s="72">
        <f>'Проверочная  таблица'!IS14</f>
        <v>0</v>
      </c>
      <c r="FA12" s="77">
        <f>'Федеральные  средства  по  МО'!AR13</f>
        <v>0</v>
      </c>
      <c r="FB12" s="73"/>
      <c r="FC12" s="67"/>
      <c r="FD12" s="74"/>
      <c r="FE12" s="71">
        <f>'Федеральные  средства  по  МО'!AS13</f>
        <v>0</v>
      </c>
      <c r="FF12" s="73"/>
      <c r="FG12" s="67"/>
      <c r="FH12" s="72"/>
      <c r="FI12" s="77">
        <f>'Федеральные  средства  по  МО'!AT13</f>
        <v>0</v>
      </c>
      <c r="FJ12" s="80"/>
      <c r="FK12" s="78"/>
      <c r="FL12" s="79"/>
      <c r="FM12" s="71">
        <f>'Федеральные  средства  по  МО'!AU13</f>
        <v>0</v>
      </c>
      <c r="FN12" s="78"/>
      <c r="FO12" s="81"/>
      <c r="FP12" s="78"/>
      <c r="FQ12" s="76">
        <f>'Федеральные  средства  по  МО'!AV13</f>
        <v>0</v>
      </c>
      <c r="FR12" s="74">
        <f>'Проверочная  таблица'!JL17</f>
        <v>0</v>
      </c>
      <c r="FS12" s="72">
        <f>'Проверочная  таблица'!JX17</f>
        <v>-216139.53</v>
      </c>
      <c r="FT12" s="72">
        <f>'Проверочная  таблица'!KD17</f>
        <v>216139.53</v>
      </c>
      <c r="FU12" s="75">
        <f>'Федеральные  средства  по  МО'!AW13</f>
        <v>0</v>
      </c>
      <c r="FV12" s="72">
        <f>'Проверочная  таблица'!JO17</f>
        <v>0</v>
      </c>
      <c r="FW12" s="67">
        <f>'Проверочная  таблица'!KA17</f>
        <v>0</v>
      </c>
      <c r="FX12" s="72">
        <f>'Проверочная  таблица'!KG17</f>
        <v>0</v>
      </c>
      <c r="FY12" s="76">
        <f>'Федеральные  средства  по  МО'!AX13</f>
        <v>461551.64</v>
      </c>
      <c r="FZ12" s="72"/>
      <c r="GA12" s="67">
        <f t="shared" si="46"/>
        <v>461551.64</v>
      </c>
      <c r="GB12" s="72"/>
      <c r="GC12" s="71">
        <f>'Федеральные  средства  по  МО'!AY13</f>
        <v>0</v>
      </c>
      <c r="GD12" s="67"/>
      <c r="GE12" s="72">
        <f t="shared" si="47"/>
        <v>0</v>
      </c>
      <c r="GF12" s="67"/>
      <c r="GG12" s="71">
        <f>'Федеральные  средства  по  МО'!AZ13</f>
        <v>38899.97</v>
      </c>
      <c r="GH12" s="73">
        <f t="shared" si="48"/>
        <v>38899.97</v>
      </c>
      <c r="GI12" s="67"/>
      <c r="GJ12" s="74"/>
      <c r="GK12" s="71">
        <f>'Федеральные  средства  по  МО'!BA13</f>
        <v>0</v>
      </c>
      <c r="GL12" s="73">
        <f t="shared" si="49"/>
        <v>0</v>
      </c>
      <c r="GM12" s="67"/>
      <c r="GN12" s="72"/>
      <c r="GO12" s="77">
        <f>'Федеральные  средства  по  МО'!BB13</f>
        <v>0</v>
      </c>
      <c r="GP12" s="78"/>
      <c r="GQ12" s="74">
        <f>'Проверочная  таблица'!MG17</f>
        <v>0</v>
      </c>
      <c r="GR12" s="72">
        <f>'Проверочная  таблица'!MO17</f>
        <v>0</v>
      </c>
      <c r="GS12" s="75">
        <f>'Федеральные  средства  по  МО'!BC13</f>
        <v>0</v>
      </c>
      <c r="GT12" s="74"/>
      <c r="GU12" s="72">
        <f>'Проверочная  таблица'!MK17</f>
        <v>0</v>
      </c>
      <c r="GV12" s="73">
        <f>'Проверочная  таблица'!MS17</f>
        <v>0</v>
      </c>
      <c r="GW12" s="75">
        <f>'Федеральные  средства  по  МО'!BD13</f>
        <v>0</v>
      </c>
      <c r="GX12" s="72">
        <f t="shared" si="50"/>
        <v>0</v>
      </c>
      <c r="GY12" s="67"/>
      <c r="GZ12" s="74"/>
      <c r="HA12" s="71">
        <f>'Федеральные  средства  по  МО'!BE13</f>
        <v>0</v>
      </c>
      <c r="HB12" s="72">
        <f t="shared" si="51"/>
        <v>0</v>
      </c>
      <c r="HC12" s="73"/>
      <c r="HD12" s="78"/>
      <c r="HE12" s="71">
        <f>'Федеральные  средства  по  МО'!BF13</f>
        <v>0</v>
      </c>
      <c r="HF12" s="74">
        <f t="shared" si="52"/>
        <v>0</v>
      </c>
      <c r="HG12" s="72"/>
      <c r="HH12" s="73"/>
      <c r="HI12" s="77">
        <f>'Федеральные  средства  по  МО'!BG13</f>
        <v>0</v>
      </c>
      <c r="HJ12" s="74">
        <f t="shared" si="12"/>
        <v>0</v>
      </c>
      <c r="HK12" s="72"/>
      <c r="HL12" s="73"/>
      <c r="HM12" s="76">
        <f>'Федеральные  средства  по  МО'!BH13</f>
        <v>72600139.530000001</v>
      </c>
      <c r="HN12" s="74">
        <f t="shared" si="53"/>
        <v>216139.53000000119</v>
      </c>
      <c r="HO12" s="72"/>
      <c r="HP12" s="73">
        <f>'Проверочная  таблица'!NX17</f>
        <v>72384000</v>
      </c>
      <c r="HQ12" s="77">
        <f>'Федеральные  средства  по  МО'!BI13</f>
        <v>216139.53</v>
      </c>
      <c r="HR12" s="74">
        <f t="shared" si="54"/>
        <v>216139.53</v>
      </c>
      <c r="HS12" s="79"/>
      <c r="HT12" s="72">
        <f>'Проверочная  таблица'!OA17</f>
        <v>0</v>
      </c>
      <c r="HU12" s="77">
        <f>'Федеральные  средства  по  МО'!BJ13</f>
        <v>0</v>
      </c>
      <c r="HV12" s="80">
        <f t="shared" si="55"/>
        <v>0</v>
      </c>
      <c r="HW12" s="78"/>
      <c r="HX12" s="79"/>
      <c r="HY12" s="71">
        <f>'Федеральные  средства  по  МО'!BK13</f>
        <v>0</v>
      </c>
      <c r="HZ12" s="80">
        <f t="shared" si="13"/>
        <v>0</v>
      </c>
      <c r="IA12" s="78"/>
      <c r="IB12" s="81"/>
      <c r="IC12" s="76">
        <f>'Федеральные  средства  по  МО'!BL13</f>
        <v>26736045.079999998</v>
      </c>
      <c r="ID12" s="74"/>
      <c r="IE12" s="72"/>
      <c r="IF12" s="73">
        <f>'Проверочная  таблица'!PJ17</f>
        <v>15600000</v>
      </c>
      <c r="IG12" s="75">
        <f>'Федеральные  средства  по  МО'!BM13</f>
        <v>14281886.689999999</v>
      </c>
      <c r="IH12" s="74"/>
      <c r="II12" s="72"/>
      <c r="IJ12" s="73">
        <f>'Проверочная  таблица'!PN17</f>
        <v>14281886.689999999</v>
      </c>
      <c r="IK12" s="76">
        <f>'Федеральные  средства  по  МО'!BN13</f>
        <v>1615705.51</v>
      </c>
      <c r="IL12" s="74">
        <f>'Проверочная  таблица'!PR17</f>
        <v>0</v>
      </c>
      <c r="IM12" s="72">
        <f t="shared" si="56"/>
        <v>1615705.51</v>
      </c>
      <c r="IN12" s="73"/>
      <c r="IO12" s="75">
        <f>'Федеральные  средства  по  МО'!BO13</f>
        <v>1615705.51</v>
      </c>
      <c r="IP12" s="74">
        <f>'Проверочная  таблица'!PW17</f>
        <v>0</v>
      </c>
      <c r="IQ12" s="72">
        <f t="shared" si="57"/>
        <v>1615705.51</v>
      </c>
      <c r="IR12" s="73"/>
      <c r="IS12" s="76">
        <f>'Федеральные  средства  по  МО'!BR13</f>
        <v>0</v>
      </c>
      <c r="IT12" s="72">
        <f t="shared" si="58"/>
        <v>0</v>
      </c>
      <c r="IU12" s="67"/>
      <c r="IV12" s="72"/>
      <c r="IW12" s="77">
        <f>'Федеральные  средства  по  МО'!BS13</f>
        <v>0</v>
      </c>
      <c r="IX12" s="73">
        <f t="shared" si="59"/>
        <v>0</v>
      </c>
      <c r="IY12" s="73"/>
      <c r="IZ12" s="72"/>
      <c r="JA12" s="76">
        <f>'Федеральные  средства  по  МО'!BT13</f>
        <v>0</v>
      </c>
      <c r="JB12" s="72">
        <f>'Проверочная  таблица'!RF17</f>
        <v>0</v>
      </c>
      <c r="JC12" s="67">
        <f>'Проверочная  таблица'!RL17</f>
        <v>0</v>
      </c>
      <c r="JD12" s="72">
        <f>'Проверочная  таблица'!RR17</f>
        <v>0</v>
      </c>
      <c r="JE12" s="75">
        <f>'Федеральные  средства  по  МО'!BU13</f>
        <v>0</v>
      </c>
      <c r="JF12" s="72">
        <f>'Проверочная  таблица'!RC17</f>
        <v>0</v>
      </c>
      <c r="JG12" s="67">
        <f>'Проверочная  таблица'!RO17</f>
        <v>0</v>
      </c>
      <c r="JH12" s="74">
        <f>'Проверочная  таблица'!RU17</f>
        <v>0</v>
      </c>
      <c r="JI12" s="71">
        <f>'Федеральные  средства  по  МО'!BV13</f>
        <v>0</v>
      </c>
      <c r="JJ12" s="72">
        <f t="shared" si="60"/>
        <v>0</v>
      </c>
      <c r="JK12" s="67"/>
      <c r="JL12" s="72"/>
      <c r="JM12" s="77">
        <f>'Федеральные  средства  по  МО'!BW13</f>
        <v>0</v>
      </c>
      <c r="JN12" s="73">
        <f t="shared" si="61"/>
        <v>0</v>
      </c>
      <c r="JO12" s="67"/>
      <c r="JP12" s="74"/>
      <c r="JQ12" s="76">
        <f>'Федеральные  средства  по  МО'!BX13</f>
        <v>0</v>
      </c>
      <c r="JR12" s="72">
        <f t="shared" si="62"/>
        <v>0</v>
      </c>
      <c r="JS12" s="67"/>
      <c r="JT12" s="72"/>
      <c r="JU12" s="77">
        <f>'Федеральные  средства  по  МО'!BY13</f>
        <v>0</v>
      </c>
      <c r="JV12" s="72">
        <f t="shared" si="63"/>
        <v>0</v>
      </c>
      <c r="JW12" s="67"/>
      <c r="JX12" s="72"/>
      <c r="JY12" s="76">
        <f>'Федеральные  средства  по  МО'!BZ13</f>
        <v>0</v>
      </c>
      <c r="JZ12" s="72">
        <f t="shared" si="64"/>
        <v>0</v>
      </c>
      <c r="KA12" s="67"/>
      <c r="KB12" s="72"/>
      <c r="KC12" s="75">
        <f>'Федеральные  средства  по  МО'!CA13</f>
        <v>0</v>
      </c>
      <c r="KD12" s="72">
        <f t="shared" si="65"/>
        <v>0</v>
      </c>
      <c r="KE12" s="67"/>
      <c r="KF12" s="72"/>
      <c r="KG12" s="75">
        <f>'Федеральные  средства  по  МО'!CB13</f>
        <v>18961691.460000001</v>
      </c>
      <c r="KH12" s="74">
        <f>'Проверочная  таблица'!SR17</f>
        <v>0</v>
      </c>
      <c r="KI12" s="72">
        <f>'Проверочная  таблица'!TT17</f>
        <v>0</v>
      </c>
      <c r="KJ12" s="67">
        <f>'Проверочная  таблица'!UH17</f>
        <v>18961691.460000001</v>
      </c>
      <c r="KK12" s="1139">
        <f>'Федеральные  средства  по  МО'!CC13</f>
        <v>6294567.7199999997</v>
      </c>
      <c r="KL12" s="67">
        <f>'Проверочная  таблица'!SY17</f>
        <v>0</v>
      </c>
      <c r="KM12" s="72">
        <f>'Проверочная  таблица'!UA17</f>
        <v>0</v>
      </c>
      <c r="KN12" s="73">
        <f>'Проверочная  таблица'!UO17</f>
        <v>6294567.7199999997</v>
      </c>
      <c r="KO12" s="75">
        <f>'Федеральные  средства  по  МО'!CD13</f>
        <v>0</v>
      </c>
      <c r="KP12" s="72">
        <f>'Проверочная  таблица'!ST17</f>
        <v>0</v>
      </c>
      <c r="KQ12" s="67">
        <f t="shared" si="66"/>
        <v>0</v>
      </c>
      <c r="KR12" s="72"/>
      <c r="KS12" s="75">
        <f>'Федеральные  средства  по  МО'!CE13</f>
        <v>0</v>
      </c>
      <c r="KT12" s="72">
        <f>'Проверочная  таблица'!TA17</f>
        <v>0</v>
      </c>
      <c r="KU12" s="67">
        <f t="shared" si="67"/>
        <v>0</v>
      </c>
      <c r="KV12" s="74"/>
      <c r="KW12" s="76">
        <f>'Федеральные  средства  по  МО'!CF13</f>
        <v>0</v>
      </c>
      <c r="KX12" s="74">
        <f>'Проверочная  таблица'!SV17</f>
        <v>0</v>
      </c>
      <c r="KY12" s="72">
        <f>'Проверочная  таблица'!TX17</f>
        <v>0</v>
      </c>
      <c r="KZ12" s="73"/>
      <c r="LA12" s="75">
        <f>'Федеральные  средства  по  МО'!CG13</f>
        <v>0</v>
      </c>
      <c r="LB12" s="74">
        <f>'Проверочная  таблица'!TC17</f>
        <v>0</v>
      </c>
      <c r="LC12" s="72">
        <f>'Проверочная  таблица'!TQ17</f>
        <v>0</v>
      </c>
      <c r="LD12" s="72"/>
    </row>
    <row r="13" spans="1:316" ht="25.5" customHeight="1" x14ac:dyDescent="0.25">
      <c r="A13" s="68" t="s">
        <v>320</v>
      </c>
      <c r="B13" s="69">
        <f t="shared" si="14"/>
        <v>16494994.519999998</v>
      </c>
      <c r="C13" s="70">
        <f t="shared" si="15"/>
        <v>4973280.549999997</v>
      </c>
      <c r="D13" s="70">
        <f t="shared" si="16"/>
        <v>11335163.84</v>
      </c>
      <c r="E13" s="70">
        <f t="shared" si="17"/>
        <v>186550.13</v>
      </c>
      <c r="F13" s="69">
        <f t="shared" si="18"/>
        <v>8272668.7400000002</v>
      </c>
      <c r="G13" s="70">
        <f t="shared" si="19"/>
        <v>671347.74000000022</v>
      </c>
      <c r="H13" s="70">
        <f t="shared" si="1"/>
        <v>7601321</v>
      </c>
      <c r="I13" s="70">
        <f t="shared" si="2"/>
        <v>0</v>
      </c>
      <c r="J13" s="52"/>
      <c r="K13" s="53">
        <f>M13-'Федеральные  средства  по  МО'!N14-'Федеральные  средства  по  МО'!D14</f>
        <v>0</v>
      </c>
      <c r="L13" s="53">
        <f>Q13-'Федеральные  средства  по  МО'!O14-'Федеральные  средства  по  МО'!E14</f>
        <v>0</v>
      </c>
      <c r="M13" s="1180">
        <f t="shared" si="20"/>
        <v>127969759.7</v>
      </c>
      <c r="N13" s="70">
        <f t="shared" si="21"/>
        <v>98817180.549999997</v>
      </c>
      <c r="O13" s="70">
        <f t="shared" si="22"/>
        <v>11335163.84</v>
      </c>
      <c r="P13" s="70">
        <f t="shared" si="23"/>
        <v>186550.13</v>
      </c>
      <c r="Q13" s="1180">
        <f t="shared" si="24"/>
        <v>13980518.68</v>
      </c>
      <c r="R13" s="70">
        <f t="shared" si="25"/>
        <v>6379197.6800000006</v>
      </c>
      <c r="S13" s="70">
        <f t="shared" si="26"/>
        <v>7601321</v>
      </c>
      <c r="T13" s="70">
        <f t="shared" si="27"/>
        <v>0</v>
      </c>
      <c r="U13" s="71">
        <f>'Федеральные  средства  по  МО'!F14</f>
        <v>0</v>
      </c>
      <c r="V13" s="67">
        <f>'Проверочная  таблица'!BL18</f>
        <v>0</v>
      </c>
      <c r="W13" s="72">
        <f>'Проверочная  таблица'!BP18</f>
        <v>0</v>
      </c>
      <c r="X13" s="67">
        <f>'Проверочная  таблица'!BR18</f>
        <v>0</v>
      </c>
      <c r="Y13" s="71">
        <f>'Федеральные  средства  по  МО'!G14</f>
        <v>0</v>
      </c>
      <c r="Z13" s="67">
        <f>'Проверочная  таблица'!BM18</f>
        <v>0</v>
      </c>
      <c r="AA13" s="72">
        <f>'Проверочная  таблица'!BQ18</f>
        <v>0</v>
      </c>
      <c r="AB13" s="67">
        <f>'Проверочная  таблица'!BS18</f>
        <v>0</v>
      </c>
      <c r="AC13" s="1139">
        <f>'Федеральные  средства  по  МО'!H14</f>
        <v>53236900</v>
      </c>
      <c r="AD13" s="73">
        <f t="shared" si="28"/>
        <v>53236900</v>
      </c>
      <c r="AE13" s="67"/>
      <c r="AF13" s="74"/>
      <c r="AG13" s="1139">
        <f>'Федеральные  средства  по  МО'!I14</f>
        <v>0</v>
      </c>
      <c r="AH13" s="73">
        <f t="shared" si="29"/>
        <v>0</v>
      </c>
      <c r="AI13" s="67"/>
      <c r="AJ13" s="72"/>
      <c r="AK13" s="71">
        <f>'Федеральные  средства  по  МО'!J14</f>
        <v>40607000</v>
      </c>
      <c r="AL13" s="73">
        <f t="shared" si="30"/>
        <v>40607000</v>
      </c>
      <c r="AM13" s="67"/>
      <c r="AN13" s="74"/>
      <c r="AO13" s="71">
        <f>'Федеральные  средства  по  МО'!K14</f>
        <v>5707849.9400000004</v>
      </c>
      <c r="AP13" s="73">
        <f t="shared" si="31"/>
        <v>5707849.9400000004</v>
      </c>
      <c r="AQ13" s="67"/>
      <c r="AR13" s="72"/>
      <c r="AS13" s="75">
        <f>'Федеральные  средства  по  МО'!P14</f>
        <v>0</v>
      </c>
      <c r="AT13" s="72">
        <f>'Проверочная  таблица'!CP18</f>
        <v>0</v>
      </c>
      <c r="AU13" s="67"/>
      <c r="AV13" s="74"/>
      <c r="AW13" s="76">
        <f>'Федеральные  средства  по  МО'!Q14</f>
        <v>0</v>
      </c>
      <c r="AX13" s="72">
        <f>'Проверочная  таблица'!CW18</f>
        <v>0</v>
      </c>
      <c r="AY13" s="73"/>
      <c r="AZ13" s="67"/>
      <c r="BA13" s="76">
        <f>'Федеральные  средства  по  МО'!R14</f>
        <v>0</v>
      </c>
      <c r="BB13" s="72">
        <f>'Проверочная  таблица'!CR18</f>
        <v>0</v>
      </c>
      <c r="BC13" s="67"/>
      <c r="BD13" s="72">
        <f>'Проверочная  таблица'!DD18</f>
        <v>0</v>
      </c>
      <c r="BE13" s="75">
        <f>'Федеральные  средства  по  МО'!S14</f>
        <v>0</v>
      </c>
      <c r="BF13" s="72">
        <f>'Проверочная  таблица'!CY18</f>
        <v>0</v>
      </c>
      <c r="BG13" s="67"/>
      <c r="BH13" s="72">
        <f>'Проверочная  таблица'!DG18</f>
        <v>0</v>
      </c>
      <c r="BI13" s="75">
        <f>'Федеральные  средства  по  МО'!T14</f>
        <v>0</v>
      </c>
      <c r="BJ13" s="72">
        <f t="shared" si="32"/>
        <v>0</v>
      </c>
      <c r="BK13" s="67"/>
      <c r="BL13" s="72"/>
      <c r="BM13" s="77">
        <f>'Федеральные  средства  по  МО'!U14</f>
        <v>0</v>
      </c>
      <c r="BN13" s="72">
        <f t="shared" si="33"/>
        <v>0</v>
      </c>
      <c r="BO13" s="73"/>
      <c r="BP13" s="73"/>
      <c r="BQ13" s="71">
        <f>'Федеральные  средства  по  МО'!V14</f>
        <v>0</v>
      </c>
      <c r="BR13" s="73">
        <f t="shared" si="4"/>
        <v>0</v>
      </c>
      <c r="BS13" s="72"/>
      <c r="BT13" s="67"/>
      <c r="BU13" s="71">
        <f>'Федеральные  средства  по  МО'!W14</f>
        <v>0</v>
      </c>
      <c r="BV13" s="73">
        <f t="shared" si="5"/>
        <v>0</v>
      </c>
      <c r="BW13" s="72"/>
      <c r="BX13" s="67"/>
      <c r="BY13" s="71">
        <f>'Федеральные  средства  по  МО'!X14</f>
        <v>0</v>
      </c>
      <c r="BZ13" s="73">
        <f t="shared" si="6"/>
        <v>0</v>
      </c>
      <c r="CA13" s="72"/>
      <c r="CB13" s="67"/>
      <c r="CC13" s="71">
        <f>'Федеральные  средства  по  МО'!Y14</f>
        <v>0</v>
      </c>
      <c r="CD13" s="73">
        <f t="shared" si="7"/>
        <v>0</v>
      </c>
      <c r="CE13" s="72"/>
      <c r="CF13" s="67"/>
      <c r="CG13" s="71">
        <f>'Федеральные  средства  по  МО'!Z14</f>
        <v>0</v>
      </c>
      <c r="CH13" s="73">
        <f t="shared" si="8"/>
        <v>0</v>
      </c>
      <c r="CI13" s="67"/>
      <c r="CJ13" s="74"/>
      <c r="CK13" s="71">
        <f>'Федеральные  средства  по  МО'!AA14</f>
        <v>0</v>
      </c>
      <c r="CL13" s="73">
        <f t="shared" si="9"/>
        <v>0</v>
      </c>
      <c r="CM13" s="72"/>
      <c r="CN13" s="73"/>
      <c r="CO13" s="76">
        <f>'Федеральные  средства  по  МО'!AB14</f>
        <v>0</v>
      </c>
      <c r="CP13" s="72">
        <f t="shared" si="34"/>
        <v>0</v>
      </c>
      <c r="CQ13" s="67"/>
      <c r="CR13" s="72"/>
      <c r="CS13" s="75">
        <f>'Федеральные  средства  по  МО'!AC14</f>
        <v>0</v>
      </c>
      <c r="CT13" s="72">
        <f t="shared" si="35"/>
        <v>0</v>
      </c>
      <c r="CU13" s="67"/>
      <c r="CV13" s="72"/>
      <c r="CW13" s="76">
        <f>'Федеральные  средства  по  МО'!AD14</f>
        <v>0</v>
      </c>
      <c r="CX13" s="74">
        <f>'Проверочная  таблица'!EV18</f>
        <v>0</v>
      </c>
      <c r="CY13" s="72">
        <f t="shared" si="36"/>
        <v>0</v>
      </c>
      <c r="CZ13" s="73"/>
      <c r="DA13" s="75">
        <f>'Федеральные  средства  по  МО'!AE14</f>
        <v>0</v>
      </c>
      <c r="DB13" s="74">
        <f>'Проверочная  таблица'!EY18</f>
        <v>0</v>
      </c>
      <c r="DC13" s="72">
        <f t="shared" si="37"/>
        <v>0</v>
      </c>
      <c r="DD13" s="67"/>
      <c r="DE13" s="71">
        <f>'Федеральные  средства  по  МО'!AF14</f>
        <v>0</v>
      </c>
      <c r="DF13" s="73">
        <f t="shared" si="38"/>
        <v>0</v>
      </c>
      <c r="DG13" s="67"/>
      <c r="DH13" s="74"/>
      <c r="DI13" s="71">
        <f>'Федеральные  средства  по  МО'!AG14</f>
        <v>0</v>
      </c>
      <c r="DJ13" s="73">
        <f t="shared" si="39"/>
        <v>0</v>
      </c>
      <c r="DK13" s="67"/>
      <c r="DL13" s="74"/>
      <c r="DM13" s="71">
        <f>'Федеральные  средства  по  МО'!AH14</f>
        <v>0</v>
      </c>
      <c r="DN13" s="73">
        <f t="shared" si="40"/>
        <v>0</v>
      </c>
      <c r="DO13" s="67"/>
      <c r="DP13" s="74"/>
      <c r="DQ13" s="71">
        <f>'Федеральные  средства  по  МО'!AI14</f>
        <v>0</v>
      </c>
      <c r="DR13" s="73">
        <f t="shared" si="41"/>
        <v>0</v>
      </c>
      <c r="DS13" s="67"/>
      <c r="DT13" s="72"/>
      <c r="DU13" s="76">
        <f>'Федеральные  средства  по  МО'!AJ14</f>
        <v>0</v>
      </c>
      <c r="DV13" s="72">
        <f t="shared" si="42"/>
        <v>0</v>
      </c>
      <c r="DW13" s="67"/>
      <c r="DX13" s="72"/>
      <c r="DY13" s="75">
        <f>'Федеральные  средства  по  МО'!AK14</f>
        <v>0</v>
      </c>
      <c r="DZ13" s="72">
        <f t="shared" si="43"/>
        <v>0</v>
      </c>
      <c r="EA13" s="67"/>
      <c r="EB13" s="74"/>
      <c r="EC13" s="71">
        <f>'Федеральные  средства  по  МО'!AL14</f>
        <v>0</v>
      </c>
      <c r="ED13" s="67">
        <f t="shared" si="10"/>
        <v>0</v>
      </c>
      <c r="EE13" s="72"/>
      <c r="EF13" s="67"/>
      <c r="EG13" s="71">
        <f>'Федеральные  средства  по  МО'!AM14</f>
        <v>0</v>
      </c>
      <c r="EH13" s="67">
        <f t="shared" si="11"/>
        <v>0</v>
      </c>
      <c r="EI13" s="72"/>
      <c r="EJ13" s="67"/>
      <c r="EK13" s="76">
        <f>'Федеральные  средства  по  МО'!AN14</f>
        <v>0</v>
      </c>
      <c r="EL13" s="72"/>
      <c r="EM13" s="67"/>
      <c r="EN13" s="72">
        <f t="shared" si="44"/>
        <v>0</v>
      </c>
      <c r="EO13" s="75">
        <f>'Федеральные  средства  по  МО'!AO14</f>
        <v>0</v>
      </c>
      <c r="EP13" s="72"/>
      <c r="EQ13" s="67"/>
      <c r="ER13" s="74">
        <f t="shared" si="45"/>
        <v>0</v>
      </c>
      <c r="ES13" s="1152">
        <f>'Федеральные  средства  по  МО'!AP14</f>
        <v>0</v>
      </c>
      <c r="ET13" s="72">
        <f>'Проверочная  таблица'!IJ18</f>
        <v>0</v>
      </c>
      <c r="EU13" s="67">
        <f>'Проверочная  таблица'!IT18</f>
        <v>0</v>
      </c>
      <c r="EV13" s="72">
        <f>'Проверочная  таблица'!IV18</f>
        <v>0</v>
      </c>
      <c r="EW13" s="1154">
        <f>'Федеральные  средства  по  МО'!AQ14</f>
        <v>0</v>
      </c>
      <c r="EX13" s="72">
        <f>'Проверочная  таблица'!IM18</f>
        <v>0</v>
      </c>
      <c r="EY13" s="67">
        <f>'Проверочная  таблица'!IU18</f>
        <v>0</v>
      </c>
      <c r="EZ13" s="72">
        <f>'Проверочная  таблица'!IS15</f>
        <v>0</v>
      </c>
      <c r="FA13" s="77">
        <f>'Федеральные  средства  по  МО'!AR14</f>
        <v>0</v>
      </c>
      <c r="FB13" s="73"/>
      <c r="FC13" s="67"/>
      <c r="FD13" s="74"/>
      <c r="FE13" s="71">
        <f>'Федеральные  средства  по  МО'!AS14</f>
        <v>0</v>
      </c>
      <c r="FF13" s="73"/>
      <c r="FG13" s="67"/>
      <c r="FH13" s="72"/>
      <c r="FI13" s="77">
        <f>'Федеральные  средства  по  МО'!AT14</f>
        <v>0</v>
      </c>
      <c r="FJ13" s="73"/>
      <c r="FK13" s="67"/>
      <c r="FL13" s="74"/>
      <c r="FM13" s="71">
        <f>'Федеральные  средства  по  МО'!AU14</f>
        <v>0</v>
      </c>
      <c r="FN13" s="67"/>
      <c r="FO13" s="72"/>
      <c r="FP13" s="67"/>
      <c r="FQ13" s="76">
        <f>'Федеральные  средства  по  МО'!AV14</f>
        <v>0</v>
      </c>
      <c r="FR13" s="74">
        <f>'Проверочная  таблица'!JL18</f>
        <v>0</v>
      </c>
      <c r="FS13" s="72">
        <f>'Проверочная  таблица'!JX18</f>
        <v>-186550.13</v>
      </c>
      <c r="FT13" s="72">
        <f>'Проверочная  таблица'!KD18</f>
        <v>186550.13</v>
      </c>
      <c r="FU13" s="75">
        <f>'Федеральные  средства  по  МО'!AW14</f>
        <v>0</v>
      </c>
      <c r="FV13" s="72">
        <f>'Проверочная  таблица'!JO18</f>
        <v>0</v>
      </c>
      <c r="FW13" s="67">
        <f>'Проверочная  таблица'!KA18</f>
        <v>0</v>
      </c>
      <c r="FX13" s="72">
        <f>'Проверочная  таблица'!KG18</f>
        <v>0</v>
      </c>
      <c r="FY13" s="76">
        <f>'Федеральные  средства  по  МО'!AX14</f>
        <v>353490.17</v>
      </c>
      <c r="FZ13" s="72"/>
      <c r="GA13" s="67">
        <f t="shared" si="46"/>
        <v>353490.17</v>
      </c>
      <c r="GB13" s="72"/>
      <c r="GC13" s="71">
        <f>'Федеральные  средства  по  МО'!AY14</f>
        <v>0</v>
      </c>
      <c r="GD13" s="67"/>
      <c r="GE13" s="72">
        <f t="shared" si="47"/>
        <v>0</v>
      </c>
      <c r="GF13" s="67"/>
      <c r="GG13" s="71">
        <f>'Федеральные  средства  по  МО'!AZ14</f>
        <v>29130.42</v>
      </c>
      <c r="GH13" s="73">
        <f t="shared" si="48"/>
        <v>29130.42</v>
      </c>
      <c r="GI13" s="67"/>
      <c r="GJ13" s="74"/>
      <c r="GK13" s="71">
        <f>'Федеральные  средства  по  МО'!BA14</f>
        <v>0</v>
      </c>
      <c r="GL13" s="73">
        <f t="shared" si="49"/>
        <v>0</v>
      </c>
      <c r="GM13" s="67"/>
      <c r="GN13" s="72"/>
      <c r="GO13" s="77">
        <f>'Федеральные  средства  по  МО'!BB14</f>
        <v>0</v>
      </c>
      <c r="GP13" s="67"/>
      <c r="GQ13" s="74">
        <f>'Проверочная  таблица'!MG18</f>
        <v>0</v>
      </c>
      <c r="GR13" s="72">
        <f>'Проверочная  таблица'!MO18</f>
        <v>0</v>
      </c>
      <c r="GS13" s="75">
        <f>'Федеральные  средства  по  МО'!BC14</f>
        <v>0</v>
      </c>
      <c r="GT13" s="74"/>
      <c r="GU13" s="72">
        <f>'Проверочная  таблица'!MK18</f>
        <v>0</v>
      </c>
      <c r="GV13" s="73">
        <f>'Проверочная  таблица'!MS18</f>
        <v>0</v>
      </c>
      <c r="GW13" s="75">
        <f>'Федеральные  средства  по  МО'!BD14</f>
        <v>4757600</v>
      </c>
      <c r="GX13" s="72">
        <f t="shared" si="50"/>
        <v>4757600</v>
      </c>
      <c r="GY13" s="67"/>
      <c r="GZ13" s="74"/>
      <c r="HA13" s="71">
        <f>'Федеральные  средства  по  МО'!BE14</f>
        <v>484797.61</v>
      </c>
      <c r="HB13" s="72">
        <f t="shared" si="51"/>
        <v>484797.61</v>
      </c>
      <c r="HC13" s="73"/>
      <c r="HD13" s="67"/>
      <c r="HE13" s="71">
        <f>'Федеральные  средства  по  МО'!BF14</f>
        <v>0</v>
      </c>
      <c r="HF13" s="74">
        <f t="shared" si="52"/>
        <v>0</v>
      </c>
      <c r="HG13" s="72"/>
      <c r="HH13" s="73"/>
      <c r="HI13" s="77">
        <f>'Федеральные  средства  по  МО'!BG14</f>
        <v>0</v>
      </c>
      <c r="HJ13" s="74">
        <f t="shared" si="12"/>
        <v>0</v>
      </c>
      <c r="HK13" s="72"/>
      <c r="HL13" s="73"/>
      <c r="HM13" s="76">
        <f>'Федеральные  средства  по  МО'!BH14</f>
        <v>186550.13</v>
      </c>
      <c r="HN13" s="74">
        <f t="shared" si="53"/>
        <v>186550.13</v>
      </c>
      <c r="HO13" s="72"/>
      <c r="HP13" s="73">
        <f>'Проверочная  таблица'!NX18</f>
        <v>0</v>
      </c>
      <c r="HQ13" s="77">
        <f>'Федеральные  средства  по  МО'!BI14</f>
        <v>186550.13</v>
      </c>
      <c r="HR13" s="74">
        <f t="shared" si="54"/>
        <v>186550.13</v>
      </c>
      <c r="HS13" s="74"/>
      <c r="HT13" s="72">
        <f>'Проверочная  таблица'!OA18</f>
        <v>0</v>
      </c>
      <c r="HU13" s="77">
        <f>'Федеральные  средства  по  МО'!BJ14</f>
        <v>0</v>
      </c>
      <c r="HV13" s="73">
        <f t="shared" si="55"/>
        <v>0</v>
      </c>
      <c r="HW13" s="67"/>
      <c r="HX13" s="74"/>
      <c r="HY13" s="71">
        <f>'Федеральные  средства  по  МО'!BK14</f>
        <v>0</v>
      </c>
      <c r="HZ13" s="73">
        <f t="shared" si="13"/>
        <v>0</v>
      </c>
      <c r="IA13" s="67"/>
      <c r="IB13" s="72"/>
      <c r="IC13" s="76">
        <f>'Федеральные  средства  по  МО'!BL14</f>
        <v>17630865.18</v>
      </c>
      <c r="ID13" s="74"/>
      <c r="IE13" s="72"/>
      <c r="IF13" s="73">
        <f>'Проверочная  таблица'!PJ18</f>
        <v>0</v>
      </c>
      <c r="IG13" s="75">
        <f>'Федеральные  средства  по  МО'!BM14</f>
        <v>0</v>
      </c>
      <c r="IH13" s="74"/>
      <c r="II13" s="72"/>
      <c r="IJ13" s="73">
        <f>'Проверочная  таблица'!PN18</f>
        <v>0</v>
      </c>
      <c r="IK13" s="76">
        <f>'Федеральные  средства  по  МО'!BN14</f>
        <v>0</v>
      </c>
      <c r="IL13" s="74">
        <f>'Проверочная  таблица'!PR18</f>
        <v>0</v>
      </c>
      <c r="IM13" s="72">
        <f t="shared" si="56"/>
        <v>0</v>
      </c>
      <c r="IN13" s="73"/>
      <c r="IO13" s="75">
        <f>'Федеральные  средства  по  МО'!BO14</f>
        <v>0</v>
      </c>
      <c r="IP13" s="74">
        <f>'Проверочная  таблица'!PW18</f>
        <v>0</v>
      </c>
      <c r="IQ13" s="72">
        <f t="shared" si="57"/>
        <v>0</v>
      </c>
      <c r="IR13" s="73"/>
      <c r="IS13" s="76">
        <f>'Федеральные  средства  по  МО'!BR14</f>
        <v>0</v>
      </c>
      <c r="IT13" s="72">
        <f t="shared" si="58"/>
        <v>0</v>
      </c>
      <c r="IU13" s="67"/>
      <c r="IV13" s="72"/>
      <c r="IW13" s="77">
        <f>'Федеральные  средства  по  МО'!BS14</f>
        <v>0</v>
      </c>
      <c r="IX13" s="73">
        <f t="shared" si="59"/>
        <v>0</v>
      </c>
      <c r="IY13" s="73"/>
      <c r="IZ13" s="72"/>
      <c r="JA13" s="76">
        <f>'Федеральные  средства  по  МО'!BT14</f>
        <v>0</v>
      </c>
      <c r="JB13" s="72">
        <f>'Проверочная  таблица'!RF18</f>
        <v>0</v>
      </c>
      <c r="JC13" s="67">
        <f>'Проверочная  таблица'!RL18</f>
        <v>0</v>
      </c>
      <c r="JD13" s="72">
        <f>'Проверочная  таблица'!RR18</f>
        <v>0</v>
      </c>
      <c r="JE13" s="75">
        <f>'Федеральные  средства  по  МО'!BU14</f>
        <v>0</v>
      </c>
      <c r="JF13" s="72">
        <f>'Проверочная  таблица'!RC18</f>
        <v>0</v>
      </c>
      <c r="JG13" s="67">
        <f>'Проверочная  таблица'!RO18</f>
        <v>0</v>
      </c>
      <c r="JH13" s="74">
        <f>'Проверочная  таблица'!RU18</f>
        <v>0</v>
      </c>
      <c r="JI13" s="71">
        <f>'Федеральные  средства  по  МО'!BV14</f>
        <v>0</v>
      </c>
      <c r="JJ13" s="72">
        <f t="shared" si="60"/>
        <v>0</v>
      </c>
      <c r="JK13" s="67"/>
      <c r="JL13" s="72"/>
      <c r="JM13" s="77">
        <f>'Федеральные  средства  по  МО'!BW14</f>
        <v>0</v>
      </c>
      <c r="JN13" s="73">
        <f t="shared" si="61"/>
        <v>0</v>
      </c>
      <c r="JO13" s="67"/>
      <c r="JP13" s="74"/>
      <c r="JQ13" s="76">
        <f>'Федеральные  средства  по  МО'!BX14</f>
        <v>0</v>
      </c>
      <c r="JR13" s="72">
        <f t="shared" si="62"/>
        <v>0</v>
      </c>
      <c r="JS13" s="67"/>
      <c r="JT13" s="72"/>
      <c r="JU13" s="77">
        <f>'Федеральные  средства  по  МО'!BY14</f>
        <v>0</v>
      </c>
      <c r="JV13" s="72">
        <f t="shared" si="63"/>
        <v>0</v>
      </c>
      <c r="JW13" s="67"/>
      <c r="JX13" s="72"/>
      <c r="JY13" s="76">
        <f>'Федеральные  средства  по  МО'!BZ14</f>
        <v>0</v>
      </c>
      <c r="JZ13" s="72">
        <f t="shared" si="64"/>
        <v>0</v>
      </c>
      <c r="KA13" s="67"/>
      <c r="KB13" s="72"/>
      <c r="KC13" s="75">
        <f>'Федеральные  средства  по  МО'!CA14</f>
        <v>0</v>
      </c>
      <c r="KD13" s="72">
        <f t="shared" si="65"/>
        <v>0</v>
      </c>
      <c r="KE13" s="67"/>
      <c r="KF13" s="72"/>
      <c r="KG13" s="75">
        <f>'Федеральные  средства  по  МО'!CB14</f>
        <v>11168223.800000001</v>
      </c>
      <c r="KH13" s="74">
        <f>'Проверочная  таблица'!SR18</f>
        <v>0</v>
      </c>
      <c r="KI13" s="72">
        <f>'Проверочная  таблица'!TT18</f>
        <v>11168223.800000001</v>
      </c>
      <c r="KJ13" s="67">
        <f>'Проверочная  таблица'!UH18</f>
        <v>0</v>
      </c>
      <c r="KK13" s="1139">
        <f>'Федеральные  средства  по  МО'!CC14</f>
        <v>7601321</v>
      </c>
      <c r="KL13" s="67">
        <f>'Проверочная  таблица'!SY18</f>
        <v>0</v>
      </c>
      <c r="KM13" s="72">
        <f>'Проверочная  таблица'!UA18</f>
        <v>7601321</v>
      </c>
      <c r="KN13" s="73">
        <f>'Проверочная  таблица'!UO18</f>
        <v>0</v>
      </c>
      <c r="KO13" s="75">
        <f>'Федеральные  средства  по  МО'!CD14</f>
        <v>0</v>
      </c>
      <c r="KP13" s="72">
        <f>'Проверочная  таблица'!ST18</f>
        <v>0</v>
      </c>
      <c r="KQ13" s="67">
        <f t="shared" si="66"/>
        <v>0</v>
      </c>
      <c r="KR13" s="72"/>
      <c r="KS13" s="75">
        <f>'Федеральные  средства  по  МО'!CE14</f>
        <v>0</v>
      </c>
      <c r="KT13" s="72">
        <f>'Проверочная  таблица'!TA18</f>
        <v>0</v>
      </c>
      <c r="KU13" s="67">
        <f t="shared" si="67"/>
        <v>0</v>
      </c>
      <c r="KV13" s="74"/>
      <c r="KW13" s="76">
        <f>'Федеральные  средства  по  МО'!CF14</f>
        <v>0</v>
      </c>
      <c r="KX13" s="74">
        <f>'Проверочная  таблица'!SV18</f>
        <v>0</v>
      </c>
      <c r="KY13" s="72">
        <f>'Проверочная  таблица'!TX18</f>
        <v>0</v>
      </c>
      <c r="KZ13" s="73"/>
      <c r="LA13" s="75">
        <f>'Федеральные  средства  по  МО'!CG14</f>
        <v>0</v>
      </c>
      <c r="LB13" s="74">
        <f>'Проверочная  таблица'!TC18</f>
        <v>0</v>
      </c>
      <c r="LC13" s="72">
        <f>'Проверочная  таблица'!TQ18</f>
        <v>0</v>
      </c>
      <c r="LD13" s="72"/>
    </row>
    <row r="14" spans="1:316" ht="25.5" customHeight="1" x14ac:dyDescent="0.25">
      <c r="A14" s="82" t="s">
        <v>321</v>
      </c>
      <c r="B14" s="51">
        <f t="shared" si="14"/>
        <v>891000933.89999998</v>
      </c>
      <c r="C14" s="51">
        <f t="shared" si="15"/>
        <v>887529883.12</v>
      </c>
      <c r="D14" s="51">
        <f t="shared" si="16"/>
        <v>3236007.01</v>
      </c>
      <c r="E14" s="51">
        <f t="shared" si="17"/>
        <v>235043.77</v>
      </c>
      <c r="F14" s="51">
        <f t="shared" si="18"/>
        <v>707715764.32000005</v>
      </c>
      <c r="G14" s="51">
        <f t="shared" si="19"/>
        <v>707715764.32000005</v>
      </c>
      <c r="H14" s="51">
        <f t="shared" si="1"/>
        <v>0</v>
      </c>
      <c r="I14" s="51">
        <f t="shared" si="2"/>
        <v>0</v>
      </c>
      <c r="J14" s="52"/>
      <c r="K14" s="53">
        <f>M14-'Федеральные  средства  по  МО'!N15-'Федеральные  средства  по  МО'!D15</f>
        <v>0</v>
      </c>
      <c r="L14" s="53">
        <f>Q14-'Федеральные  средства  по  МО'!O15-'Федеральные  средства  по  МО'!E15</f>
        <v>1.1920928955078125E-7</v>
      </c>
      <c r="M14" s="1181">
        <f t="shared" si="20"/>
        <v>995309022.4000001</v>
      </c>
      <c r="N14" s="1181">
        <f t="shared" si="21"/>
        <v>991837971.62</v>
      </c>
      <c r="O14" s="1181">
        <f t="shared" si="22"/>
        <v>3236007.01</v>
      </c>
      <c r="P14" s="1181">
        <f t="shared" si="23"/>
        <v>235043.77</v>
      </c>
      <c r="Q14" s="1181">
        <f t="shared" si="24"/>
        <v>715064764.32000005</v>
      </c>
      <c r="R14" s="1181">
        <f t="shared" si="25"/>
        <v>715064764.32000005</v>
      </c>
      <c r="S14" s="1181">
        <f t="shared" si="26"/>
        <v>0</v>
      </c>
      <c r="T14" s="1181">
        <f t="shared" si="27"/>
        <v>0</v>
      </c>
      <c r="U14" s="83">
        <f>'Федеральные  средства  по  МО'!F15</f>
        <v>0</v>
      </c>
      <c r="V14" s="84">
        <f>'Проверочная  таблица'!BL13</f>
        <v>0</v>
      </c>
      <c r="W14" s="83">
        <f>'Проверочная  таблица'!BP13</f>
        <v>0</v>
      </c>
      <c r="X14" s="84">
        <f>'Проверочная  таблица'!BR13</f>
        <v>0</v>
      </c>
      <c r="Y14" s="83">
        <f>'Федеральные  средства  по  МО'!G15</f>
        <v>0</v>
      </c>
      <c r="Z14" s="84">
        <f>'Проверочная  таблица'!BM13</f>
        <v>0</v>
      </c>
      <c r="AA14" s="83">
        <f>'Проверочная  таблица'!BQ13</f>
        <v>0</v>
      </c>
      <c r="AB14" s="84">
        <f>'Проверочная  таблица'!BS13</f>
        <v>0</v>
      </c>
      <c r="AC14" s="1176">
        <f>'Федеральные  средства  по  МО'!H15</f>
        <v>51003088.5</v>
      </c>
      <c r="AD14" s="1177">
        <f t="shared" si="28"/>
        <v>51003088.5</v>
      </c>
      <c r="AE14" s="1178"/>
      <c r="AF14" s="1179"/>
      <c r="AG14" s="1176">
        <f>'Федеральные  средства  по  МО'!I15</f>
        <v>0</v>
      </c>
      <c r="AH14" s="85">
        <f t="shared" si="29"/>
        <v>0</v>
      </c>
      <c r="AI14" s="84"/>
      <c r="AJ14" s="83"/>
      <c r="AK14" s="83">
        <f>'Федеральные  средства  по  МО'!J15</f>
        <v>53305000</v>
      </c>
      <c r="AL14" s="85">
        <f t="shared" si="30"/>
        <v>53305000</v>
      </c>
      <c r="AM14" s="84"/>
      <c r="AN14" s="86"/>
      <c r="AO14" s="83">
        <f>'Федеральные  средства  по  МО'!K15</f>
        <v>7349000</v>
      </c>
      <c r="AP14" s="85">
        <f t="shared" si="31"/>
        <v>7349000</v>
      </c>
      <c r="AQ14" s="84"/>
      <c r="AR14" s="83"/>
      <c r="AS14" s="84">
        <f>'Федеральные  средства  по  МО'!P15</f>
        <v>0</v>
      </c>
      <c r="AT14" s="83">
        <f>'Проверочная  таблица'!CP13</f>
        <v>0</v>
      </c>
      <c r="AU14" s="63"/>
      <c r="AV14" s="64"/>
      <c r="AW14" s="86">
        <f>'Федеральные  средства  по  МО'!Q15</f>
        <v>0</v>
      </c>
      <c r="AX14" s="83">
        <f>'Проверочная  таблица'!CW13</f>
        <v>0</v>
      </c>
      <c r="AY14" s="62"/>
      <c r="AZ14" s="63"/>
      <c r="BA14" s="86">
        <f>'Федеральные  средства  по  МО'!R15</f>
        <v>0</v>
      </c>
      <c r="BB14" s="83">
        <f>'Проверочная  таблица'!CR13</f>
        <v>0</v>
      </c>
      <c r="BC14" s="84"/>
      <c r="BD14" s="83">
        <f>'Проверочная  таблица'!DD13</f>
        <v>0</v>
      </c>
      <c r="BE14" s="84">
        <f>'Федеральные  средства  по  МО'!S15</f>
        <v>0</v>
      </c>
      <c r="BF14" s="83">
        <f>'Проверочная  таблица'!CY13</f>
        <v>0</v>
      </c>
      <c r="BG14" s="63"/>
      <c r="BH14" s="83">
        <f>'Проверочная  таблица'!DG13</f>
        <v>0</v>
      </c>
      <c r="BI14" s="84">
        <f>'Федеральные  средства  по  МО'!T15</f>
        <v>0</v>
      </c>
      <c r="BJ14" s="83">
        <f t="shared" si="32"/>
        <v>0</v>
      </c>
      <c r="BK14" s="84"/>
      <c r="BL14" s="83"/>
      <c r="BM14" s="85">
        <f>'Федеральные  средства  по  МО'!U15</f>
        <v>0</v>
      </c>
      <c r="BN14" s="83">
        <f t="shared" si="33"/>
        <v>0</v>
      </c>
      <c r="BO14" s="62"/>
      <c r="BP14" s="62"/>
      <c r="BQ14" s="83">
        <f>'Федеральные  средства  по  МО'!V15</f>
        <v>0</v>
      </c>
      <c r="BR14" s="62">
        <f t="shared" si="4"/>
        <v>0</v>
      </c>
      <c r="BS14" s="65"/>
      <c r="BT14" s="63"/>
      <c r="BU14" s="83">
        <f>'Федеральные  средства  по  МО'!W15</f>
        <v>0</v>
      </c>
      <c r="BV14" s="62">
        <f t="shared" si="5"/>
        <v>0</v>
      </c>
      <c r="BW14" s="65"/>
      <c r="BX14" s="63"/>
      <c r="BY14" s="83">
        <f>'Федеральные  средства  по  МО'!X15</f>
        <v>0</v>
      </c>
      <c r="BZ14" s="62">
        <f t="shared" si="6"/>
        <v>0</v>
      </c>
      <c r="CA14" s="65"/>
      <c r="CB14" s="63"/>
      <c r="CC14" s="83">
        <f>'Федеральные  средства  по  МО'!Y15</f>
        <v>0</v>
      </c>
      <c r="CD14" s="62">
        <f t="shared" si="7"/>
        <v>0</v>
      </c>
      <c r="CE14" s="65"/>
      <c r="CF14" s="63"/>
      <c r="CG14" s="83">
        <f>'Федеральные  средства  по  МО'!Z15</f>
        <v>0</v>
      </c>
      <c r="CH14" s="62">
        <f t="shared" si="8"/>
        <v>0</v>
      </c>
      <c r="CI14" s="63"/>
      <c r="CJ14" s="64"/>
      <c r="CK14" s="83">
        <f>'Федеральные  средства  по  МО'!AA15</f>
        <v>0</v>
      </c>
      <c r="CL14" s="62">
        <f t="shared" si="9"/>
        <v>0</v>
      </c>
      <c r="CM14" s="65"/>
      <c r="CN14" s="62"/>
      <c r="CO14" s="86">
        <f>'Федеральные  средства  по  МО'!AB15</f>
        <v>0</v>
      </c>
      <c r="CP14" s="83">
        <f t="shared" si="34"/>
        <v>0</v>
      </c>
      <c r="CQ14" s="84"/>
      <c r="CR14" s="83"/>
      <c r="CS14" s="84">
        <f>'Федеральные  средства  по  МО'!AC15</f>
        <v>0</v>
      </c>
      <c r="CT14" s="83">
        <f t="shared" si="35"/>
        <v>0</v>
      </c>
      <c r="CU14" s="84"/>
      <c r="CV14" s="83"/>
      <c r="CW14" s="86">
        <f>'Федеральные  средства  по  МО'!AD15</f>
        <v>0</v>
      </c>
      <c r="CX14" s="86">
        <f>'Проверочная  таблица'!EV13</f>
        <v>0</v>
      </c>
      <c r="CY14" s="83">
        <f t="shared" si="36"/>
        <v>0</v>
      </c>
      <c r="CZ14" s="85"/>
      <c r="DA14" s="84">
        <f>'Федеральные  средства  по  МО'!AE15</f>
        <v>0</v>
      </c>
      <c r="DB14" s="86">
        <f>'Проверочная  таблица'!EY13</f>
        <v>0</v>
      </c>
      <c r="DC14" s="83">
        <f t="shared" si="37"/>
        <v>0</v>
      </c>
      <c r="DD14" s="84"/>
      <c r="DE14" s="83">
        <f>'Федеральные  средства  по  МО'!AF15</f>
        <v>0</v>
      </c>
      <c r="DF14" s="85">
        <f t="shared" si="38"/>
        <v>0</v>
      </c>
      <c r="DG14" s="84"/>
      <c r="DH14" s="86"/>
      <c r="DI14" s="83">
        <f>'Федеральные  средства  по  МО'!AG15</f>
        <v>0</v>
      </c>
      <c r="DJ14" s="85">
        <f t="shared" si="39"/>
        <v>0</v>
      </c>
      <c r="DK14" s="84"/>
      <c r="DL14" s="86"/>
      <c r="DM14" s="83">
        <f>'Федеральные  средства  по  МО'!AH15</f>
        <v>157087380.22999999</v>
      </c>
      <c r="DN14" s="85">
        <f t="shared" si="40"/>
        <v>157087380.22999999</v>
      </c>
      <c r="DO14" s="84"/>
      <c r="DP14" s="86"/>
      <c r="DQ14" s="83">
        <f>'Федеральные  средства  по  МО'!AI15</f>
        <v>157087380.22</v>
      </c>
      <c r="DR14" s="85">
        <f t="shared" si="41"/>
        <v>157087380.22</v>
      </c>
      <c r="DS14" s="84"/>
      <c r="DT14" s="83"/>
      <c r="DU14" s="86">
        <f>'Федеральные  средства  по  МО'!AJ15</f>
        <v>0</v>
      </c>
      <c r="DV14" s="83">
        <f t="shared" si="42"/>
        <v>0</v>
      </c>
      <c r="DW14" s="84"/>
      <c r="DX14" s="83"/>
      <c r="DY14" s="84">
        <f>'Федеральные  средства  по  МО'!AK15</f>
        <v>0</v>
      </c>
      <c r="DZ14" s="83">
        <f t="shared" si="43"/>
        <v>0</v>
      </c>
      <c r="EA14" s="84"/>
      <c r="EB14" s="86"/>
      <c r="EC14" s="83">
        <f>'Федеральные  средства  по  МО'!AL15</f>
        <v>0</v>
      </c>
      <c r="ED14" s="84">
        <f t="shared" si="10"/>
        <v>0</v>
      </c>
      <c r="EE14" s="83"/>
      <c r="EF14" s="84"/>
      <c r="EG14" s="83">
        <f>'Федеральные  средства  по  МО'!AM15</f>
        <v>0</v>
      </c>
      <c r="EH14" s="84">
        <f t="shared" si="11"/>
        <v>0</v>
      </c>
      <c r="EI14" s="83"/>
      <c r="EJ14" s="84"/>
      <c r="EK14" s="86">
        <f>'Федеральные  средства  по  МО'!AN15</f>
        <v>0</v>
      </c>
      <c r="EL14" s="83"/>
      <c r="EM14" s="84"/>
      <c r="EN14" s="83">
        <f t="shared" si="44"/>
        <v>0</v>
      </c>
      <c r="EO14" s="84">
        <f>'Федеральные  средства  по  МО'!AO15</f>
        <v>0</v>
      </c>
      <c r="EP14" s="83"/>
      <c r="EQ14" s="84"/>
      <c r="ER14" s="86">
        <f t="shared" si="45"/>
        <v>0</v>
      </c>
      <c r="ES14" s="455">
        <f>'Федеральные  средства  по  МО'!AP15</f>
        <v>0</v>
      </c>
      <c r="ET14" s="456">
        <f>'Проверочная  таблица'!IJ13</f>
        <v>0</v>
      </c>
      <c r="EU14" s="1159">
        <f>'Проверочная  таблица'!IT13</f>
        <v>0</v>
      </c>
      <c r="EV14" s="456">
        <f>'Проверочная  таблица'!IV13</f>
        <v>0</v>
      </c>
      <c r="EW14" s="1159">
        <f>'Федеральные  средства  по  МО'!AQ15</f>
        <v>0</v>
      </c>
      <c r="EX14" s="456">
        <f>'Проверочная  таблица'!IM13</f>
        <v>0</v>
      </c>
      <c r="EY14" s="1159">
        <f>'Проверочная  таблица'!IU13</f>
        <v>0</v>
      </c>
      <c r="EZ14" s="456">
        <f>'Проверочная  таблица'!IS16</f>
        <v>0</v>
      </c>
      <c r="FA14" s="85">
        <f>'Федеральные  средства  по  МО'!AR15</f>
        <v>0</v>
      </c>
      <c r="FB14" s="85"/>
      <c r="FC14" s="84"/>
      <c r="FD14" s="86"/>
      <c r="FE14" s="83">
        <f>'Федеральные  средства  по  МО'!AS15</f>
        <v>0</v>
      </c>
      <c r="FF14" s="85"/>
      <c r="FG14" s="84"/>
      <c r="FH14" s="83"/>
      <c r="FI14" s="85">
        <f>'Федеральные  средства  по  МО'!AT15</f>
        <v>0</v>
      </c>
      <c r="FJ14" s="62"/>
      <c r="FK14" s="63"/>
      <c r="FL14" s="64"/>
      <c r="FM14" s="83">
        <f>'Федеральные  средства  по  МО'!AU15</f>
        <v>0</v>
      </c>
      <c r="FN14" s="63"/>
      <c r="FO14" s="65"/>
      <c r="FP14" s="63"/>
      <c r="FQ14" s="86">
        <f>'Федеральные  средства  по  МО'!AV15</f>
        <v>0</v>
      </c>
      <c r="FR14" s="86">
        <f>'Проверочная  таблица'!JL13</f>
        <v>0</v>
      </c>
      <c r="FS14" s="83">
        <f>'Проверочная  таблица'!JX13</f>
        <v>-235043.77</v>
      </c>
      <c r="FT14" s="83">
        <f>'Проверочная  таблица'!KD13</f>
        <v>235043.77</v>
      </c>
      <c r="FU14" s="84">
        <f>'Федеральные  средства  по  МО'!AW15</f>
        <v>0</v>
      </c>
      <c r="FV14" s="83">
        <f>'Проверочная  таблица'!JO13</f>
        <v>0</v>
      </c>
      <c r="FW14" s="84">
        <f>'Проверочная  таблица'!KA13</f>
        <v>0</v>
      </c>
      <c r="FX14" s="83">
        <f>'Проверочная  таблица'!KG13</f>
        <v>0</v>
      </c>
      <c r="FY14" s="86">
        <f>'Федеральные  средства  по  МО'!AX15</f>
        <v>227717.34</v>
      </c>
      <c r="FZ14" s="83"/>
      <c r="GA14" s="84">
        <f t="shared" si="46"/>
        <v>227717.34</v>
      </c>
      <c r="GB14" s="83"/>
      <c r="GC14" s="83">
        <f>'Федеральные  средства  по  МО'!AY15</f>
        <v>0</v>
      </c>
      <c r="GD14" s="84"/>
      <c r="GE14" s="83">
        <f t="shared" si="47"/>
        <v>0</v>
      </c>
      <c r="GF14" s="84"/>
      <c r="GG14" s="83">
        <f>'Федеральные  средства  по  МО'!AZ15</f>
        <v>203066.48</v>
      </c>
      <c r="GH14" s="85">
        <f t="shared" si="48"/>
        <v>203066.48</v>
      </c>
      <c r="GI14" s="84"/>
      <c r="GJ14" s="86"/>
      <c r="GK14" s="83">
        <f>'Федеральные  средства  по  МО'!BA15</f>
        <v>0</v>
      </c>
      <c r="GL14" s="85">
        <f t="shared" si="49"/>
        <v>0</v>
      </c>
      <c r="GM14" s="84"/>
      <c r="GN14" s="83"/>
      <c r="GO14" s="85">
        <f>'Федеральные  средства  по  МО'!BB15</f>
        <v>0</v>
      </c>
      <c r="GP14" s="63"/>
      <c r="GQ14" s="86">
        <f>'Проверочная  таблица'!MG13</f>
        <v>0</v>
      </c>
      <c r="GR14" s="83">
        <f>'Проверочная  таблица'!MO13</f>
        <v>0</v>
      </c>
      <c r="GS14" s="84">
        <f>'Федеральные  средства  по  МО'!BC15</f>
        <v>0</v>
      </c>
      <c r="GT14" s="86"/>
      <c r="GU14" s="83">
        <f>'Проверочная  таблица'!MK13</f>
        <v>0</v>
      </c>
      <c r="GV14" s="85">
        <f>'Проверочная  таблица'!MS13</f>
        <v>0</v>
      </c>
      <c r="GW14" s="84">
        <f>'Федеральные  средства  по  МО'!BD15</f>
        <v>0</v>
      </c>
      <c r="GX14" s="83">
        <f t="shared" si="50"/>
        <v>0</v>
      </c>
      <c r="GY14" s="84"/>
      <c r="GZ14" s="86"/>
      <c r="HA14" s="83">
        <f>'Федеральные  средства  по  МО'!BE15</f>
        <v>0</v>
      </c>
      <c r="HB14" s="83">
        <f t="shared" si="51"/>
        <v>0</v>
      </c>
      <c r="HC14" s="85"/>
      <c r="HD14" s="63"/>
      <c r="HE14" s="83">
        <f>'Федеральные  средства  по  МО'!BF15</f>
        <v>0</v>
      </c>
      <c r="HF14" s="86">
        <f t="shared" si="52"/>
        <v>0</v>
      </c>
      <c r="HG14" s="83"/>
      <c r="HH14" s="85"/>
      <c r="HI14" s="85">
        <f>'Федеральные  средства  по  МО'!BG15</f>
        <v>0</v>
      </c>
      <c r="HJ14" s="86">
        <f t="shared" si="12"/>
        <v>0</v>
      </c>
      <c r="HK14" s="83"/>
      <c r="HL14" s="85"/>
      <c r="HM14" s="86">
        <f>'Федеральные  средства  по  МО'!BH15</f>
        <v>235043.77</v>
      </c>
      <c r="HN14" s="86">
        <f t="shared" si="53"/>
        <v>235043.77</v>
      </c>
      <c r="HO14" s="83"/>
      <c r="HP14" s="85">
        <f>'Проверочная  таблица'!NX13</f>
        <v>0</v>
      </c>
      <c r="HQ14" s="85">
        <f>'Федеральные  средства  по  МО'!BI15</f>
        <v>235043.77</v>
      </c>
      <c r="HR14" s="86">
        <f t="shared" si="54"/>
        <v>235043.77</v>
      </c>
      <c r="HS14" s="64"/>
      <c r="HT14" s="83">
        <f>'Проверочная  таблица'!OA13</f>
        <v>0</v>
      </c>
      <c r="HU14" s="85">
        <f>'Федеральные  средства  по  МО'!BJ15</f>
        <v>0</v>
      </c>
      <c r="HV14" s="62">
        <f t="shared" si="55"/>
        <v>0</v>
      </c>
      <c r="HW14" s="63"/>
      <c r="HX14" s="64"/>
      <c r="HY14" s="83">
        <f>'Федеральные  средства  по  МО'!BK15</f>
        <v>0</v>
      </c>
      <c r="HZ14" s="62">
        <f t="shared" si="13"/>
        <v>0</v>
      </c>
      <c r="IA14" s="63"/>
      <c r="IB14" s="65"/>
      <c r="IC14" s="86">
        <f>'Федеральные  средства  по  МО'!BL15</f>
        <v>0</v>
      </c>
      <c r="ID14" s="86"/>
      <c r="IE14" s="83"/>
      <c r="IF14" s="85">
        <f>'Проверочная  таблица'!PJ13</f>
        <v>0</v>
      </c>
      <c r="IG14" s="84">
        <f>'Федеральные  средства  по  МО'!BM15</f>
        <v>0</v>
      </c>
      <c r="IH14" s="86"/>
      <c r="II14" s="83"/>
      <c r="IJ14" s="85">
        <f>'Проверочная  таблица'!PN13</f>
        <v>0</v>
      </c>
      <c r="IK14" s="86">
        <f>'Федеральные  средства  по  МО'!BN15</f>
        <v>2889951.19</v>
      </c>
      <c r="IL14" s="86">
        <f>'Проверочная  таблица'!PR13</f>
        <v>2889951.19</v>
      </c>
      <c r="IM14" s="83">
        <f t="shared" si="56"/>
        <v>0</v>
      </c>
      <c r="IN14" s="85"/>
      <c r="IO14" s="84">
        <f>'Федеральные  средства  по  МО'!BO15</f>
        <v>1343428.44</v>
      </c>
      <c r="IP14" s="86">
        <f>'Проверочная  таблица'!PW13</f>
        <v>1343428.44</v>
      </c>
      <c r="IQ14" s="83">
        <f t="shared" si="57"/>
        <v>0</v>
      </c>
      <c r="IR14" s="85"/>
      <c r="IS14" s="86">
        <f>'Федеральные  средства  по  МО'!BR15</f>
        <v>0</v>
      </c>
      <c r="IT14" s="83">
        <f t="shared" si="58"/>
        <v>0</v>
      </c>
      <c r="IU14" s="84"/>
      <c r="IV14" s="83"/>
      <c r="IW14" s="85">
        <f>'Федеральные  средства  по  МО'!BS15</f>
        <v>0</v>
      </c>
      <c r="IX14" s="85">
        <f t="shared" si="59"/>
        <v>0</v>
      </c>
      <c r="IY14" s="85"/>
      <c r="IZ14" s="83"/>
      <c r="JA14" s="86">
        <f>'Федеральные  средства  по  МО'!BT15</f>
        <v>0</v>
      </c>
      <c r="JB14" s="83">
        <f>'Проверочная  таблица'!RF13</f>
        <v>0</v>
      </c>
      <c r="JC14" s="84">
        <f>'Проверочная  таблица'!RL13</f>
        <v>0</v>
      </c>
      <c r="JD14" s="83">
        <f>'Проверочная  таблица'!RR13</f>
        <v>0</v>
      </c>
      <c r="JE14" s="84">
        <f>'Федеральные  средства  по  МО'!BU15</f>
        <v>0</v>
      </c>
      <c r="JF14" s="83">
        <f>'Проверочная  таблица'!RC13</f>
        <v>0</v>
      </c>
      <c r="JG14" s="84">
        <f>'Проверочная  таблица'!RO13</f>
        <v>0</v>
      </c>
      <c r="JH14" s="86">
        <f>'Проверочная  таблица'!RU13</f>
        <v>0</v>
      </c>
      <c r="JI14" s="83">
        <f>'Федеральные  средства  по  МО'!BV15</f>
        <v>0</v>
      </c>
      <c r="JJ14" s="83">
        <f t="shared" si="60"/>
        <v>0</v>
      </c>
      <c r="JK14" s="84"/>
      <c r="JL14" s="83"/>
      <c r="JM14" s="85">
        <f>'Федеральные  средства  по  МО'!BW15</f>
        <v>0</v>
      </c>
      <c r="JN14" s="85">
        <f t="shared" si="61"/>
        <v>0</v>
      </c>
      <c r="JO14" s="84"/>
      <c r="JP14" s="86"/>
      <c r="JQ14" s="86">
        <f>'Федеральные  средства  по  МО'!BX15</f>
        <v>0</v>
      </c>
      <c r="JR14" s="83">
        <f t="shared" si="62"/>
        <v>0</v>
      </c>
      <c r="JS14" s="84"/>
      <c r="JT14" s="83"/>
      <c r="JU14" s="85">
        <f>'Федеральные  средства  по  МО'!BY15</f>
        <v>0</v>
      </c>
      <c r="JV14" s="83">
        <f t="shared" si="63"/>
        <v>0</v>
      </c>
      <c r="JW14" s="84"/>
      <c r="JX14" s="83"/>
      <c r="JY14" s="86">
        <f>'Федеральные  средства  по  МО'!BZ15</f>
        <v>0</v>
      </c>
      <c r="JZ14" s="83">
        <f t="shared" si="64"/>
        <v>0</v>
      </c>
      <c r="KA14" s="84"/>
      <c r="KB14" s="83"/>
      <c r="KC14" s="84">
        <f>'Федеральные  средства  по  МО'!CA15</f>
        <v>0</v>
      </c>
      <c r="KD14" s="83">
        <f t="shared" si="65"/>
        <v>0</v>
      </c>
      <c r="KE14" s="84"/>
      <c r="KF14" s="83"/>
      <c r="KG14" s="84">
        <f>'Федеральные  средства  по  МО'!CB15</f>
        <v>110880741.45</v>
      </c>
      <c r="KH14" s="86">
        <f>'Проверочная  таблица'!SR13</f>
        <v>110880741.45</v>
      </c>
      <c r="KI14" s="83">
        <f>'Проверочная  таблица'!TT13</f>
        <v>0</v>
      </c>
      <c r="KJ14" s="84">
        <f>'Проверочная  таблица'!UH13</f>
        <v>0</v>
      </c>
      <c r="KK14" s="83">
        <f>'Федеральные  средства  по  МО'!CC15</f>
        <v>68969431.310000002</v>
      </c>
      <c r="KL14" s="84">
        <f>'Проверочная  таблица'!SY13</f>
        <v>68969431.310000002</v>
      </c>
      <c r="KM14" s="83">
        <f>'Проверочная  таблица'!UA13</f>
        <v>0</v>
      </c>
      <c r="KN14" s="85">
        <f>'Проверочная  таблица'!UO13</f>
        <v>0</v>
      </c>
      <c r="KO14" s="84">
        <f>'Федеральные  средства  по  МО'!CD15</f>
        <v>3243333.44</v>
      </c>
      <c r="KP14" s="83">
        <f>'Проверочная  таблица'!ST13</f>
        <v>0</v>
      </c>
      <c r="KQ14" s="84">
        <f t="shared" si="66"/>
        <v>3243333.44</v>
      </c>
      <c r="KR14" s="83"/>
      <c r="KS14" s="84">
        <f>'Федеральные  средства  по  МО'!CE15</f>
        <v>0</v>
      </c>
      <c r="KT14" s="83">
        <f>'Проверочная  таблица'!TA13</f>
        <v>0</v>
      </c>
      <c r="KU14" s="84">
        <f t="shared" si="67"/>
        <v>0</v>
      </c>
      <c r="KV14" s="86"/>
      <c r="KW14" s="86">
        <f>'Федеральные  средства  по  МО'!CF15+'Федеральные  средства  по  МО'!BP15</f>
        <v>616233700</v>
      </c>
      <c r="KX14" s="86">
        <f>KW14</f>
        <v>616233700</v>
      </c>
      <c r="KY14" s="83">
        <f>'Проверочная  таблица'!TX13</f>
        <v>0</v>
      </c>
      <c r="KZ14" s="85"/>
      <c r="LA14" s="84">
        <f>'Федеральные  средства  по  МО'!CG15+'Федеральные  средства  по  МО'!BQ15</f>
        <v>480080480.57999998</v>
      </c>
      <c r="LB14" s="86">
        <f>LA14</f>
        <v>480080480.57999998</v>
      </c>
      <c r="LC14" s="83">
        <f>'Проверочная  таблица'!TQ13</f>
        <v>0</v>
      </c>
      <c r="LD14" s="83"/>
    </row>
    <row r="15" spans="1:316" ht="25.5" customHeight="1" x14ac:dyDescent="0.25">
      <c r="A15" s="68" t="s">
        <v>322</v>
      </c>
      <c r="B15" s="69">
        <f t="shared" si="14"/>
        <v>2300294.330000001</v>
      </c>
      <c r="C15" s="70">
        <f t="shared" si="15"/>
        <v>127598.03000000119</v>
      </c>
      <c r="D15" s="70">
        <f t="shared" si="16"/>
        <v>2111219.2999999998</v>
      </c>
      <c r="E15" s="70">
        <f t="shared" si="17"/>
        <v>61477</v>
      </c>
      <c r="F15" s="69">
        <f t="shared" si="18"/>
        <v>1782284.85</v>
      </c>
      <c r="G15" s="70">
        <f t="shared" si="19"/>
        <v>61477</v>
      </c>
      <c r="H15" s="70">
        <f t="shared" si="1"/>
        <v>1720807.85</v>
      </c>
      <c r="I15" s="70">
        <f t="shared" si="2"/>
        <v>0</v>
      </c>
      <c r="J15" s="52"/>
      <c r="K15" s="53">
        <f>M15-'Федеральные  средства  по  МО'!N16-'Федеральные  средства  по  МО'!D16</f>
        <v>0</v>
      </c>
      <c r="L15" s="53">
        <f>Q15-'Федеральные  средства  по  МО'!O16-'Федеральные  средства  по  МО'!E16</f>
        <v>0</v>
      </c>
      <c r="M15" s="1180">
        <f t="shared" si="20"/>
        <v>58831639.090000004</v>
      </c>
      <c r="N15" s="70">
        <f t="shared" si="21"/>
        <v>46765613.770000003</v>
      </c>
      <c r="O15" s="70">
        <f t="shared" si="22"/>
        <v>2111219.2999999998</v>
      </c>
      <c r="P15" s="70">
        <f t="shared" si="23"/>
        <v>61477</v>
      </c>
      <c r="Q15" s="1180">
        <f t="shared" si="24"/>
        <v>1782284.85</v>
      </c>
      <c r="R15" s="70">
        <f t="shared" si="25"/>
        <v>61477</v>
      </c>
      <c r="S15" s="70">
        <f t="shared" si="26"/>
        <v>1720807.85</v>
      </c>
      <c r="T15" s="70">
        <f t="shared" si="27"/>
        <v>0</v>
      </c>
      <c r="U15" s="71">
        <f>'Федеральные  средства  по  МО'!F16</f>
        <v>0</v>
      </c>
      <c r="V15" s="67">
        <f>'Проверочная  таблица'!BL19</f>
        <v>0</v>
      </c>
      <c r="W15" s="72">
        <f>'Проверочная  таблица'!BP19</f>
        <v>0</v>
      </c>
      <c r="X15" s="67">
        <f>'Проверочная  таблица'!BR19</f>
        <v>0</v>
      </c>
      <c r="Y15" s="71">
        <f>'Федеральные  средства  по  МО'!G16</f>
        <v>0</v>
      </c>
      <c r="Z15" s="67">
        <f>'Проверочная  таблица'!BM19</f>
        <v>0</v>
      </c>
      <c r="AA15" s="72">
        <f>'Проверочная  таблица'!BQ19</f>
        <v>0</v>
      </c>
      <c r="AB15" s="67">
        <f>'Проверочная  таблица'!BS19</f>
        <v>0</v>
      </c>
      <c r="AC15" s="1139">
        <f>'Федеральные  средства  по  МО'!H16</f>
        <v>46638015.740000002</v>
      </c>
      <c r="AD15" s="73">
        <f t="shared" si="28"/>
        <v>46638015.740000002</v>
      </c>
      <c r="AE15" s="67"/>
      <c r="AF15" s="74"/>
      <c r="AG15" s="1139">
        <f>'Федеральные  средства  по  МО'!I16</f>
        <v>0</v>
      </c>
      <c r="AH15" s="73">
        <f t="shared" si="29"/>
        <v>0</v>
      </c>
      <c r="AI15" s="67"/>
      <c r="AJ15" s="72"/>
      <c r="AK15" s="71">
        <f>'Федеральные  средства  по  МО'!J16</f>
        <v>0</v>
      </c>
      <c r="AL15" s="73">
        <f t="shared" si="30"/>
        <v>0</v>
      </c>
      <c r="AM15" s="67"/>
      <c r="AN15" s="74"/>
      <c r="AO15" s="71">
        <f>'Федеральные  средства  по  МО'!K16</f>
        <v>0</v>
      </c>
      <c r="AP15" s="73">
        <f t="shared" si="31"/>
        <v>0</v>
      </c>
      <c r="AQ15" s="67"/>
      <c r="AR15" s="72"/>
      <c r="AS15" s="75">
        <f>'Федеральные  средства  по  МО'!P16</f>
        <v>0</v>
      </c>
      <c r="AT15" s="72">
        <f>'Проверочная  таблица'!CP19</f>
        <v>0</v>
      </c>
      <c r="AU15" s="67"/>
      <c r="AV15" s="74"/>
      <c r="AW15" s="76">
        <f>'Федеральные  средства  по  МО'!Q16</f>
        <v>0</v>
      </c>
      <c r="AX15" s="72">
        <f>'Проверочная  таблица'!CW19</f>
        <v>0</v>
      </c>
      <c r="AY15" s="73"/>
      <c r="AZ15" s="67"/>
      <c r="BA15" s="76">
        <f>'Федеральные  средства  по  МО'!R16</f>
        <v>0</v>
      </c>
      <c r="BB15" s="72">
        <f>'Проверочная  таблица'!CR19</f>
        <v>0</v>
      </c>
      <c r="BC15" s="67"/>
      <c r="BD15" s="72">
        <f>'Проверочная  таблица'!DD19</f>
        <v>0</v>
      </c>
      <c r="BE15" s="75">
        <f>'Федеральные  средства  по  МО'!S16</f>
        <v>0</v>
      </c>
      <c r="BF15" s="72">
        <f>'Проверочная  таблица'!CY19</f>
        <v>0</v>
      </c>
      <c r="BG15" s="67"/>
      <c r="BH15" s="72">
        <f>'Проверочная  таблица'!DG19</f>
        <v>0</v>
      </c>
      <c r="BI15" s="75">
        <f>'Федеральные  средства  по  МО'!T16</f>
        <v>0</v>
      </c>
      <c r="BJ15" s="72">
        <f t="shared" si="32"/>
        <v>0</v>
      </c>
      <c r="BK15" s="67"/>
      <c r="BL15" s="72"/>
      <c r="BM15" s="77">
        <f>'Федеральные  средства  по  МО'!U16</f>
        <v>0</v>
      </c>
      <c r="BN15" s="72">
        <f t="shared" si="33"/>
        <v>0</v>
      </c>
      <c r="BO15" s="73"/>
      <c r="BP15" s="73"/>
      <c r="BQ15" s="71">
        <f>'Федеральные  средства  по  МО'!V16</f>
        <v>0</v>
      </c>
      <c r="BR15" s="73">
        <f t="shared" si="4"/>
        <v>0</v>
      </c>
      <c r="BS15" s="72"/>
      <c r="BT15" s="67"/>
      <c r="BU15" s="71">
        <f>'Федеральные  средства  по  МО'!W16</f>
        <v>0</v>
      </c>
      <c r="BV15" s="73">
        <f t="shared" si="5"/>
        <v>0</v>
      </c>
      <c r="BW15" s="72"/>
      <c r="BX15" s="67"/>
      <c r="BY15" s="71">
        <f>'Федеральные  средства  по  МО'!X16</f>
        <v>0</v>
      </c>
      <c r="BZ15" s="73">
        <f t="shared" si="6"/>
        <v>0</v>
      </c>
      <c r="CA15" s="72"/>
      <c r="CB15" s="67"/>
      <c r="CC15" s="71">
        <f>'Федеральные  средства  по  МО'!Y16</f>
        <v>0</v>
      </c>
      <c r="CD15" s="73">
        <f t="shared" si="7"/>
        <v>0</v>
      </c>
      <c r="CE15" s="72"/>
      <c r="CF15" s="67"/>
      <c r="CG15" s="71">
        <f>'Федеральные  средства  по  МО'!Z16</f>
        <v>0</v>
      </c>
      <c r="CH15" s="73">
        <f t="shared" si="8"/>
        <v>0</v>
      </c>
      <c r="CI15" s="67"/>
      <c r="CJ15" s="74"/>
      <c r="CK15" s="71">
        <f>'Федеральные  средства  по  МО'!AA16</f>
        <v>0</v>
      </c>
      <c r="CL15" s="73">
        <f t="shared" si="9"/>
        <v>0</v>
      </c>
      <c r="CM15" s="72"/>
      <c r="CN15" s="73"/>
      <c r="CO15" s="76">
        <f>'Федеральные  средства  по  МО'!AB16</f>
        <v>0</v>
      </c>
      <c r="CP15" s="72">
        <f t="shared" si="34"/>
        <v>0</v>
      </c>
      <c r="CQ15" s="67"/>
      <c r="CR15" s="72"/>
      <c r="CS15" s="75">
        <f>'Федеральные  средства  по  МО'!AC16</f>
        <v>0</v>
      </c>
      <c r="CT15" s="72">
        <f t="shared" si="35"/>
        <v>0</v>
      </c>
      <c r="CU15" s="67"/>
      <c r="CV15" s="72"/>
      <c r="CW15" s="76">
        <f>'Федеральные  средства  по  МО'!AD16</f>
        <v>312911.32</v>
      </c>
      <c r="CX15" s="74">
        <f>'Проверочная  таблица'!EV19</f>
        <v>0</v>
      </c>
      <c r="CY15" s="72">
        <f t="shared" si="36"/>
        <v>312911.32</v>
      </c>
      <c r="CZ15" s="73"/>
      <c r="DA15" s="75">
        <f>'Федеральные  средства  по  МО'!AE16</f>
        <v>312911.32</v>
      </c>
      <c r="DB15" s="74">
        <f>'Проверочная  таблица'!EY19</f>
        <v>0</v>
      </c>
      <c r="DC15" s="72">
        <f t="shared" si="37"/>
        <v>312911.32</v>
      </c>
      <c r="DD15" s="67"/>
      <c r="DE15" s="71">
        <f>'Федеральные  средства  по  МО'!AF16</f>
        <v>0</v>
      </c>
      <c r="DF15" s="73">
        <f t="shared" si="38"/>
        <v>0</v>
      </c>
      <c r="DG15" s="67"/>
      <c r="DH15" s="74"/>
      <c r="DI15" s="71">
        <f>'Федеральные  средства  по  МО'!AG16</f>
        <v>0</v>
      </c>
      <c r="DJ15" s="73">
        <f t="shared" si="39"/>
        <v>0</v>
      </c>
      <c r="DK15" s="67"/>
      <c r="DL15" s="74"/>
      <c r="DM15" s="71">
        <f>'Федеральные  средства  по  МО'!AH16</f>
        <v>0</v>
      </c>
      <c r="DN15" s="73">
        <f t="shared" si="40"/>
        <v>0</v>
      </c>
      <c r="DO15" s="67"/>
      <c r="DP15" s="74"/>
      <c r="DQ15" s="71">
        <f>'Федеральные  средства  по  МО'!AI16</f>
        <v>0</v>
      </c>
      <c r="DR15" s="73">
        <f t="shared" si="41"/>
        <v>0</v>
      </c>
      <c r="DS15" s="67"/>
      <c r="DT15" s="72"/>
      <c r="DU15" s="76">
        <f>'Федеральные  средства  по  МО'!AJ16</f>
        <v>0</v>
      </c>
      <c r="DV15" s="72">
        <f t="shared" si="42"/>
        <v>0</v>
      </c>
      <c r="DW15" s="67"/>
      <c r="DX15" s="72"/>
      <c r="DY15" s="75">
        <f>'Федеральные  средства  по  МО'!AK16</f>
        <v>0</v>
      </c>
      <c r="DZ15" s="72">
        <f t="shared" si="43"/>
        <v>0</v>
      </c>
      <c r="EA15" s="67"/>
      <c r="EB15" s="74"/>
      <c r="EC15" s="71">
        <f>'Федеральные  средства  по  МО'!AL16</f>
        <v>0</v>
      </c>
      <c r="ED15" s="67">
        <f t="shared" si="10"/>
        <v>0</v>
      </c>
      <c r="EE15" s="72"/>
      <c r="EF15" s="67"/>
      <c r="EG15" s="71">
        <f>'Федеральные  средства  по  МО'!AM16</f>
        <v>0</v>
      </c>
      <c r="EH15" s="67">
        <f t="shared" si="11"/>
        <v>0</v>
      </c>
      <c r="EI15" s="72"/>
      <c r="EJ15" s="67"/>
      <c r="EK15" s="76">
        <f>'Федеральные  средства  по  МО'!AN16</f>
        <v>0</v>
      </c>
      <c r="EL15" s="72"/>
      <c r="EM15" s="67"/>
      <c r="EN15" s="72">
        <f t="shared" si="44"/>
        <v>0</v>
      </c>
      <c r="EO15" s="75">
        <f>'Федеральные  средства  по  МО'!AO16</f>
        <v>0</v>
      </c>
      <c r="EP15" s="72"/>
      <c r="EQ15" s="67"/>
      <c r="ER15" s="74">
        <f t="shared" si="45"/>
        <v>0</v>
      </c>
      <c r="ES15" s="1152">
        <f>'Федеральные  средства  по  МО'!AP16</f>
        <v>0</v>
      </c>
      <c r="ET15" s="72">
        <f>'Проверочная  таблица'!IJ19</f>
        <v>0</v>
      </c>
      <c r="EU15" s="67">
        <f>'Проверочная  таблица'!IT19</f>
        <v>0</v>
      </c>
      <c r="EV15" s="72">
        <f>'Проверочная  таблица'!IV19</f>
        <v>0</v>
      </c>
      <c r="EW15" s="1154">
        <f>'Федеральные  средства  по  МО'!AQ16</f>
        <v>0</v>
      </c>
      <c r="EX15" s="72">
        <f>'Проверочная  таблица'!IM19</f>
        <v>0</v>
      </c>
      <c r="EY15" s="67">
        <f>'Проверочная  таблица'!IU19</f>
        <v>0</v>
      </c>
      <c r="EZ15" s="72">
        <f>'Проверочная  таблица'!IS17</f>
        <v>0</v>
      </c>
      <c r="FA15" s="77">
        <f>'Федеральные  средства  по  МО'!AR16</f>
        <v>0</v>
      </c>
      <c r="FB15" s="73"/>
      <c r="FC15" s="67"/>
      <c r="FD15" s="74"/>
      <c r="FE15" s="71">
        <f>'Федеральные  средства  по  МО'!AS16</f>
        <v>0</v>
      </c>
      <c r="FF15" s="73"/>
      <c r="FG15" s="67"/>
      <c r="FH15" s="72"/>
      <c r="FI15" s="77">
        <f>'Федеральные  средства  по  МО'!AT16</f>
        <v>0</v>
      </c>
      <c r="FJ15" s="73"/>
      <c r="FK15" s="67"/>
      <c r="FL15" s="74"/>
      <c r="FM15" s="71">
        <f>'Федеральные  средства  по  МО'!AU16</f>
        <v>0</v>
      </c>
      <c r="FN15" s="67"/>
      <c r="FO15" s="72"/>
      <c r="FP15" s="67"/>
      <c r="FQ15" s="76">
        <f>'Федеральные  средства  по  МО'!AV16</f>
        <v>0</v>
      </c>
      <c r="FR15" s="74">
        <f>'Проверочная  таблица'!JL19</f>
        <v>0</v>
      </c>
      <c r="FS15" s="72">
        <f>'Проверочная  таблица'!JX19</f>
        <v>-61477</v>
      </c>
      <c r="FT15" s="72">
        <f>'Проверочная  таблица'!KD19</f>
        <v>61477</v>
      </c>
      <c r="FU15" s="75">
        <f>'Федеральные  средства  по  МО'!AW16</f>
        <v>0</v>
      </c>
      <c r="FV15" s="72">
        <f>'Проверочная  таблица'!JO19</f>
        <v>0</v>
      </c>
      <c r="FW15" s="67">
        <f>'Проверочная  таблица'!KA19</f>
        <v>0</v>
      </c>
      <c r="FX15" s="72">
        <f>'Проверочная  таблица'!KG19</f>
        <v>0</v>
      </c>
      <c r="FY15" s="76">
        <f>'Федеральные  средства  по  МО'!AX16</f>
        <v>256948.80000000002</v>
      </c>
      <c r="FZ15" s="72"/>
      <c r="GA15" s="67">
        <f t="shared" si="46"/>
        <v>256948.80000000002</v>
      </c>
      <c r="GB15" s="72"/>
      <c r="GC15" s="71">
        <f>'Федеральные  средства  по  МО'!AY16</f>
        <v>0</v>
      </c>
      <c r="GD15" s="67"/>
      <c r="GE15" s="72">
        <f t="shared" si="47"/>
        <v>0</v>
      </c>
      <c r="GF15" s="67"/>
      <c r="GG15" s="71">
        <f>'Федеральные  средства  по  МО'!AZ16</f>
        <v>66121.03</v>
      </c>
      <c r="GH15" s="73">
        <f t="shared" si="48"/>
        <v>66121.03</v>
      </c>
      <c r="GI15" s="67"/>
      <c r="GJ15" s="74"/>
      <c r="GK15" s="71">
        <f>'Федеральные  средства  по  МО'!BA16</f>
        <v>0</v>
      </c>
      <c r="GL15" s="73">
        <f t="shared" si="49"/>
        <v>0</v>
      </c>
      <c r="GM15" s="67"/>
      <c r="GN15" s="72"/>
      <c r="GO15" s="77">
        <f>'Федеральные  средства  по  МО'!BB16</f>
        <v>0</v>
      </c>
      <c r="GP15" s="67"/>
      <c r="GQ15" s="74">
        <f>'Проверочная  таблица'!MG19</f>
        <v>0</v>
      </c>
      <c r="GR15" s="72">
        <f>'Проверочная  таблица'!MO19</f>
        <v>0</v>
      </c>
      <c r="GS15" s="75">
        <f>'Федеральные  средства  по  МО'!BC16</f>
        <v>0</v>
      </c>
      <c r="GT15" s="74"/>
      <c r="GU15" s="72">
        <f>'Проверочная  таблица'!MK19</f>
        <v>0</v>
      </c>
      <c r="GV15" s="73">
        <f>'Проверочная  таблица'!MS19</f>
        <v>0</v>
      </c>
      <c r="GW15" s="75">
        <f>'Федеральные  средства  по  МО'!BD16</f>
        <v>0</v>
      </c>
      <c r="GX15" s="72">
        <f t="shared" si="50"/>
        <v>0</v>
      </c>
      <c r="GY15" s="67"/>
      <c r="GZ15" s="74"/>
      <c r="HA15" s="71">
        <f>'Федеральные  средства  по  МО'!BE16</f>
        <v>0</v>
      </c>
      <c r="HB15" s="72">
        <f t="shared" si="51"/>
        <v>0</v>
      </c>
      <c r="HC15" s="73"/>
      <c r="HD15" s="67"/>
      <c r="HE15" s="71">
        <f>'Федеральные  средства  по  МО'!BF16</f>
        <v>0</v>
      </c>
      <c r="HF15" s="74">
        <f t="shared" si="52"/>
        <v>0</v>
      </c>
      <c r="HG15" s="72"/>
      <c r="HH15" s="73"/>
      <c r="HI15" s="77">
        <f>'Федеральные  средства  по  МО'!BG16</f>
        <v>0</v>
      </c>
      <c r="HJ15" s="74">
        <f t="shared" si="12"/>
        <v>0</v>
      </c>
      <c r="HK15" s="72"/>
      <c r="HL15" s="73"/>
      <c r="HM15" s="76">
        <f>'Федеральные  средства  по  МО'!BH16</f>
        <v>61477</v>
      </c>
      <c r="HN15" s="74">
        <f t="shared" si="53"/>
        <v>61477</v>
      </c>
      <c r="HO15" s="72"/>
      <c r="HP15" s="73">
        <f>'Проверочная  таблица'!NX19</f>
        <v>0</v>
      </c>
      <c r="HQ15" s="77">
        <f>'Федеральные  средства  по  МО'!BI16</f>
        <v>61477</v>
      </c>
      <c r="HR15" s="74">
        <f t="shared" si="54"/>
        <v>61477</v>
      </c>
      <c r="HS15" s="74"/>
      <c r="HT15" s="72">
        <f>'Проверочная  таблица'!OA19</f>
        <v>0</v>
      </c>
      <c r="HU15" s="77">
        <f>'Федеральные  средства  по  МО'!BJ16</f>
        <v>0</v>
      </c>
      <c r="HV15" s="73">
        <f t="shared" si="55"/>
        <v>0</v>
      </c>
      <c r="HW15" s="67"/>
      <c r="HX15" s="74"/>
      <c r="HY15" s="71">
        <f>'Федеральные  средства  по  МО'!BK16</f>
        <v>0</v>
      </c>
      <c r="HZ15" s="73">
        <f t="shared" si="13"/>
        <v>0</v>
      </c>
      <c r="IA15" s="67"/>
      <c r="IB15" s="72"/>
      <c r="IC15" s="76">
        <f>'Федеральные  средства  по  МО'!BL16</f>
        <v>9893329.0199999996</v>
      </c>
      <c r="ID15" s="74"/>
      <c r="IE15" s="72"/>
      <c r="IF15" s="73">
        <f>'Проверочная  таблица'!PJ19</f>
        <v>0</v>
      </c>
      <c r="IG15" s="75">
        <f>'Федеральные  средства  по  МО'!BM16</f>
        <v>0</v>
      </c>
      <c r="IH15" s="74"/>
      <c r="II15" s="72"/>
      <c r="IJ15" s="73">
        <f>'Проверочная  таблица'!PN19</f>
        <v>0</v>
      </c>
      <c r="IK15" s="76">
        <f>'Федеральные  средства  по  МО'!BN16</f>
        <v>1602836.18</v>
      </c>
      <c r="IL15" s="74">
        <f>'Проверочная  таблица'!PR19</f>
        <v>0</v>
      </c>
      <c r="IM15" s="72">
        <f t="shared" si="56"/>
        <v>1602836.18</v>
      </c>
      <c r="IN15" s="73"/>
      <c r="IO15" s="75">
        <f>'Федеральные  средства  по  МО'!BO16</f>
        <v>1407896.53</v>
      </c>
      <c r="IP15" s="74">
        <f>'Проверочная  таблица'!PW19</f>
        <v>0</v>
      </c>
      <c r="IQ15" s="72">
        <f t="shared" si="57"/>
        <v>1407896.53</v>
      </c>
      <c r="IR15" s="73"/>
      <c r="IS15" s="76">
        <f>'Федеральные  средства  по  МО'!BR16</f>
        <v>0</v>
      </c>
      <c r="IT15" s="72">
        <f t="shared" si="58"/>
        <v>0</v>
      </c>
      <c r="IU15" s="67"/>
      <c r="IV15" s="72"/>
      <c r="IW15" s="77">
        <f>'Федеральные  средства  по  МО'!BS16</f>
        <v>0</v>
      </c>
      <c r="IX15" s="73">
        <f t="shared" si="59"/>
        <v>0</v>
      </c>
      <c r="IY15" s="73"/>
      <c r="IZ15" s="72"/>
      <c r="JA15" s="76">
        <f>'Федеральные  средства  по  МО'!BT16</f>
        <v>0</v>
      </c>
      <c r="JB15" s="72">
        <f>'Проверочная  таблица'!RF19</f>
        <v>0</v>
      </c>
      <c r="JC15" s="67">
        <f>'Проверочная  таблица'!RL19</f>
        <v>0</v>
      </c>
      <c r="JD15" s="72">
        <f>'Проверочная  таблица'!RR19</f>
        <v>0</v>
      </c>
      <c r="JE15" s="75">
        <f>'Федеральные  средства  по  МО'!BU16</f>
        <v>0</v>
      </c>
      <c r="JF15" s="72">
        <f>'Проверочная  таблица'!RC19</f>
        <v>0</v>
      </c>
      <c r="JG15" s="67">
        <f>'Проверочная  таблица'!RO19</f>
        <v>0</v>
      </c>
      <c r="JH15" s="74">
        <f>'Проверочная  таблица'!RU19</f>
        <v>0</v>
      </c>
      <c r="JI15" s="71">
        <f>'Федеральные  средства  по  МО'!BV16</f>
        <v>0</v>
      </c>
      <c r="JJ15" s="72">
        <f t="shared" si="60"/>
        <v>0</v>
      </c>
      <c r="JK15" s="67"/>
      <c r="JL15" s="72"/>
      <c r="JM15" s="77">
        <f>'Федеральные  средства  по  МО'!BW16</f>
        <v>0</v>
      </c>
      <c r="JN15" s="73">
        <f t="shared" si="61"/>
        <v>0</v>
      </c>
      <c r="JO15" s="67"/>
      <c r="JP15" s="74"/>
      <c r="JQ15" s="76">
        <f>'Федеральные  средства  по  МО'!BX16</f>
        <v>0</v>
      </c>
      <c r="JR15" s="72">
        <f t="shared" si="62"/>
        <v>0</v>
      </c>
      <c r="JS15" s="67"/>
      <c r="JT15" s="72"/>
      <c r="JU15" s="77">
        <f>'Федеральные  средства  по  МО'!BY16</f>
        <v>0</v>
      </c>
      <c r="JV15" s="72">
        <f t="shared" si="63"/>
        <v>0</v>
      </c>
      <c r="JW15" s="67"/>
      <c r="JX15" s="72"/>
      <c r="JY15" s="76">
        <f>'Федеральные  средства  по  МО'!BZ16</f>
        <v>0</v>
      </c>
      <c r="JZ15" s="72">
        <f t="shared" si="64"/>
        <v>0</v>
      </c>
      <c r="KA15" s="67"/>
      <c r="KB15" s="72"/>
      <c r="KC15" s="75">
        <f>'Федеральные  средства  по  МО'!CA16</f>
        <v>0</v>
      </c>
      <c r="KD15" s="72">
        <f t="shared" si="65"/>
        <v>0</v>
      </c>
      <c r="KE15" s="67"/>
      <c r="KF15" s="72"/>
      <c r="KG15" s="75">
        <f>'Федеральные  средства  по  МО'!CB16</f>
        <v>0</v>
      </c>
      <c r="KH15" s="74">
        <f>'Проверочная  таблица'!SR19</f>
        <v>0</v>
      </c>
      <c r="KI15" s="72">
        <f>'Проверочная  таблица'!TT19</f>
        <v>0</v>
      </c>
      <c r="KJ15" s="67">
        <f>'Проверочная  таблица'!UH19</f>
        <v>0</v>
      </c>
      <c r="KK15" s="1139">
        <f>'Федеральные  средства  по  МО'!CC16</f>
        <v>0</v>
      </c>
      <c r="KL15" s="67">
        <f>'Проверочная  таблица'!SY19</f>
        <v>0</v>
      </c>
      <c r="KM15" s="72">
        <f>'Проверочная  таблица'!UA19</f>
        <v>0</v>
      </c>
      <c r="KN15" s="73">
        <f>'Проверочная  таблица'!UO19</f>
        <v>0</v>
      </c>
      <c r="KO15" s="75">
        <f>'Федеральные  средства  по  МО'!CD16</f>
        <v>0</v>
      </c>
      <c r="KP15" s="72">
        <f>'Проверочная  таблица'!ST19</f>
        <v>0</v>
      </c>
      <c r="KQ15" s="67">
        <f t="shared" si="66"/>
        <v>0</v>
      </c>
      <c r="KR15" s="72"/>
      <c r="KS15" s="75">
        <f>'Федеральные  средства  по  МО'!CE16</f>
        <v>0</v>
      </c>
      <c r="KT15" s="72">
        <f>'Проверочная  таблица'!TA19</f>
        <v>0</v>
      </c>
      <c r="KU15" s="67">
        <f t="shared" si="67"/>
        <v>0</v>
      </c>
      <c r="KV15" s="74"/>
      <c r="KW15" s="76">
        <f>'Федеральные  средства  по  МО'!CF16</f>
        <v>0</v>
      </c>
      <c r="KX15" s="74">
        <f>'Проверочная  таблица'!SV19</f>
        <v>0</v>
      </c>
      <c r="KY15" s="72">
        <f>'Проверочная  таблица'!TX19</f>
        <v>0</v>
      </c>
      <c r="KZ15" s="73"/>
      <c r="LA15" s="75">
        <f>'Федеральные  средства  по  МО'!CG16</f>
        <v>0</v>
      </c>
      <c r="LB15" s="74">
        <f>'Проверочная  таблица'!TC19</f>
        <v>0</v>
      </c>
      <c r="LC15" s="72">
        <f>'Проверочная  таблица'!TQ19</f>
        <v>0</v>
      </c>
      <c r="LD15" s="72"/>
    </row>
    <row r="16" spans="1:316" ht="25.5" customHeight="1" x14ac:dyDescent="0.25">
      <c r="A16" s="52" t="s">
        <v>323</v>
      </c>
      <c r="B16" s="69">
        <f t="shared" si="14"/>
        <v>1184789.98</v>
      </c>
      <c r="C16" s="70">
        <f t="shared" si="15"/>
        <v>202613.16</v>
      </c>
      <c r="D16" s="70">
        <f t="shared" si="16"/>
        <v>865363.8</v>
      </c>
      <c r="E16" s="70">
        <f t="shared" si="17"/>
        <v>116813.02</v>
      </c>
      <c r="F16" s="69">
        <f t="shared" si="18"/>
        <v>684706.51</v>
      </c>
      <c r="G16" s="70">
        <f t="shared" si="19"/>
        <v>116813.02</v>
      </c>
      <c r="H16" s="70">
        <f t="shared" si="1"/>
        <v>567893.49</v>
      </c>
      <c r="I16" s="70">
        <f t="shared" si="2"/>
        <v>0</v>
      </c>
      <c r="J16" s="52"/>
      <c r="K16" s="53">
        <f>M16-'Федеральные  средства  по  МО'!N17-'Федеральные  средства  по  МО'!D17</f>
        <v>0</v>
      </c>
      <c r="L16" s="53">
        <f>Q16-'Федеральные  средства  по  МО'!O17-'Федеральные  средства  по  МО'!E17</f>
        <v>0</v>
      </c>
      <c r="M16" s="1180">
        <f t="shared" si="20"/>
        <v>19689599.449999999</v>
      </c>
      <c r="N16" s="70">
        <f t="shared" si="21"/>
        <v>202613.16</v>
      </c>
      <c r="O16" s="70">
        <f t="shared" si="22"/>
        <v>865363.8</v>
      </c>
      <c r="P16" s="70">
        <f t="shared" si="23"/>
        <v>116813.02</v>
      </c>
      <c r="Q16" s="1180">
        <f t="shared" si="24"/>
        <v>684706.51</v>
      </c>
      <c r="R16" s="70">
        <f t="shared" si="25"/>
        <v>116813.02</v>
      </c>
      <c r="S16" s="70">
        <f t="shared" si="26"/>
        <v>567893.49</v>
      </c>
      <c r="T16" s="70">
        <f t="shared" si="27"/>
        <v>0</v>
      </c>
      <c r="U16" s="71">
        <f>'Федеральные  средства  по  МО'!F17</f>
        <v>0</v>
      </c>
      <c r="V16" s="67">
        <f>'Проверочная  таблица'!BL20</f>
        <v>0</v>
      </c>
      <c r="W16" s="72">
        <f>'Проверочная  таблица'!BP20</f>
        <v>0</v>
      </c>
      <c r="X16" s="67">
        <f>'Проверочная  таблица'!BR20</f>
        <v>0</v>
      </c>
      <c r="Y16" s="71">
        <f>'Федеральные  средства  по  МО'!G17</f>
        <v>0</v>
      </c>
      <c r="Z16" s="67">
        <f>'Проверочная  таблица'!BM20</f>
        <v>0</v>
      </c>
      <c r="AA16" s="72">
        <f>'Проверочная  таблица'!BQ20</f>
        <v>0</v>
      </c>
      <c r="AB16" s="67">
        <f>'Проверочная  таблица'!BS20</f>
        <v>0</v>
      </c>
      <c r="AC16" s="1139">
        <f>'Федеральные  средства  по  МО'!H17</f>
        <v>0</v>
      </c>
      <c r="AD16" s="73">
        <f t="shared" si="28"/>
        <v>0</v>
      </c>
      <c r="AE16" s="67"/>
      <c r="AF16" s="74"/>
      <c r="AG16" s="1139">
        <f>'Федеральные  средства  по  МО'!I17</f>
        <v>0</v>
      </c>
      <c r="AH16" s="73">
        <f t="shared" si="29"/>
        <v>0</v>
      </c>
      <c r="AI16" s="67"/>
      <c r="AJ16" s="72"/>
      <c r="AK16" s="71">
        <f>'Федеральные  средства  по  МО'!J17</f>
        <v>0</v>
      </c>
      <c r="AL16" s="73">
        <f t="shared" si="30"/>
        <v>0</v>
      </c>
      <c r="AM16" s="67"/>
      <c r="AN16" s="74"/>
      <c r="AO16" s="71">
        <f>'Федеральные  средства  по  МО'!K17</f>
        <v>0</v>
      </c>
      <c r="AP16" s="73">
        <f t="shared" si="31"/>
        <v>0</v>
      </c>
      <c r="AQ16" s="67"/>
      <c r="AR16" s="72"/>
      <c r="AS16" s="75">
        <f>'Федеральные  средства  по  МО'!P17</f>
        <v>0</v>
      </c>
      <c r="AT16" s="72">
        <f>'Проверочная  таблица'!CP20</f>
        <v>0</v>
      </c>
      <c r="AU16" s="78"/>
      <c r="AV16" s="79"/>
      <c r="AW16" s="76">
        <f>'Федеральные  средства  по  МО'!Q17</f>
        <v>0</v>
      </c>
      <c r="AX16" s="72">
        <f>'Проверочная  таблица'!CW20</f>
        <v>0</v>
      </c>
      <c r="AY16" s="80"/>
      <c r="AZ16" s="78"/>
      <c r="BA16" s="76">
        <f>'Федеральные  средства  по  МО'!R17</f>
        <v>0</v>
      </c>
      <c r="BB16" s="72">
        <f>'Проверочная  таблица'!CR20</f>
        <v>0</v>
      </c>
      <c r="BC16" s="67"/>
      <c r="BD16" s="72">
        <f>'Проверочная  таблица'!DD20</f>
        <v>0</v>
      </c>
      <c r="BE16" s="75">
        <f>'Федеральные  средства  по  МО'!S17</f>
        <v>0</v>
      </c>
      <c r="BF16" s="72">
        <f>'Проверочная  таблица'!CY20</f>
        <v>0</v>
      </c>
      <c r="BG16" s="78"/>
      <c r="BH16" s="72">
        <f>'Проверочная  таблица'!DG20</f>
        <v>0</v>
      </c>
      <c r="BI16" s="75">
        <f>'Федеральные  средства  по  МО'!T17</f>
        <v>0</v>
      </c>
      <c r="BJ16" s="72">
        <f t="shared" si="32"/>
        <v>0</v>
      </c>
      <c r="BK16" s="67"/>
      <c r="BL16" s="72"/>
      <c r="BM16" s="77">
        <f>'Федеральные  средства  по  МО'!U17</f>
        <v>0</v>
      </c>
      <c r="BN16" s="72">
        <f t="shared" si="33"/>
        <v>0</v>
      </c>
      <c r="BO16" s="80"/>
      <c r="BP16" s="80"/>
      <c r="BQ16" s="71">
        <f>'Федеральные  средства  по  МО'!V17</f>
        <v>0</v>
      </c>
      <c r="BR16" s="80">
        <f t="shared" si="4"/>
        <v>0</v>
      </c>
      <c r="BS16" s="81"/>
      <c r="BT16" s="78"/>
      <c r="BU16" s="71">
        <f>'Федеральные  средства  по  МО'!W17</f>
        <v>0</v>
      </c>
      <c r="BV16" s="80">
        <f t="shared" si="5"/>
        <v>0</v>
      </c>
      <c r="BW16" s="81"/>
      <c r="BX16" s="78"/>
      <c r="BY16" s="71">
        <f>'Федеральные  средства  по  МО'!X17</f>
        <v>0</v>
      </c>
      <c r="BZ16" s="80">
        <f t="shared" si="6"/>
        <v>0</v>
      </c>
      <c r="CA16" s="81"/>
      <c r="CB16" s="78"/>
      <c r="CC16" s="71">
        <f>'Федеральные  средства  по  МО'!Y17</f>
        <v>0</v>
      </c>
      <c r="CD16" s="80">
        <f t="shared" si="7"/>
        <v>0</v>
      </c>
      <c r="CE16" s="81"/>
      <c r="CF16" s="78"/>
      <c r="CG16" s="71">
        <f>'Федеральные  средства  по  МО'!Z17</f>
        <v>0</v>
      </c>
      <c r="CH16" s="80">
        <f t="shared" si="8"/>
        <v>0</v>
      </c>
      <c r="CI16" s="78"/>
      <c r="CJ16" s="79"/>
      <c r="CK16" s="71">
        <f>'Федеральные  средства  по  МО'!AA17</f>
        <v>0</v>
      </c>
      <c r="CL16" s="80">
        <f t="shared" si="9"/>
        <v>0</v>
      </c>
      <c r="CM16" s="81"/>
      <c r="CN16" s="80"/>
      <c r="CO16" s="76">
        <f>'Федеральные  средства  по  МО'!AB17</f>
        <v>0</v>
      </c>
      <c r="CP16" s="72">
        <f t="shared" si="34"/>
        <v>0</v>
      </c>
      <c r="CQ16" s="67"/>
      <c r="CR16" s="72"/>
      <c r="CS16" s="75">
        <f>'Федеральные  средства  по  МО'!AC17</f>
        <v>0</v>
      </c>
      <c r="CT16" s="72">
        <f t="shared" si="35"/>
        <v>0</v>
      </c>
      <c r="CU16" s="67"/>
      <c r="CV16" s="72"/>
      <c r="CW16" s="76">
        <f>'Федеральные  средства  по  МО'!AD17</f>
        <v>567893.5</v>
      </c>
      <c r="CX16" s="74">
        <f>'Проверочная  таблица'!EV20</f>
        <v>0</v>
      </c>
      <c r="CY16" s="72">
        <f t="shared" si="36"/>
        <v>567893.5</v>
      </c>
      <c r="CZ16" s="73"/>
      <c r="DA16" s="75">
        <f>'Федеральные  средства  по  МО'!AE17</f>
        <v>567893.49</v>
      </c>
      <c r="DB16" s="74">
        <f>'Проверочная  таблица'!EY20</f>
        <v>0</v>
      </c>
      <c r="DC16" s="72">
        <f t="shared" si="37"/>
        <v>567893.49</v>
      </c>
      <c r="DD16" s="67"/>
      <c r="DE16" s="71">
        <f>'Федеральные  средства  по  МО'!AF17</f>
        <v>0</v>
      </c>
      <c r="DF16" s="73">
        <f t="shared" si="38"/>
        <v>0</v>
      </c>
      <c r="DG16" s="67"/>
      <c r="DH16" s="74"/>
      <c r="DI16" s="71">
        <f>'Федеральные  средства  по  МО'!AG17</f>
        <v>0</v>
      </c>
      <c r="DJ16" s="73">
        <f t="shared" si="39"/>
        <v>0</v>
      </c>
      <c r="DK16" s="67"/>
      <c r="DL16" s="74"/>
      <c r="DM16" s="71">
        <f>'Федеральные  средства  по  МО'!AH17</f>
        <v>0</v>
      </c>
      <c r="DN16" s="73">
        <f t="shared" si="40"/>
        <v>0</v>
      </c>
      <c r="DO16" s="67"/>
      <c r="DP16" s="74"/>
      <c r="DQ16" s="71">
        <f>'Федеральные  средства  по  МО'!AI17</f>
        <v>0</v>
      </c>
      <c r="DR16" s="73">
        <f t="shared" si="41"/>
        <v>0</v>
      </c>
      <c r="DS16" s="67"/>
      <c r="DT16" s="72"/>
      <c r="DU16" s="76">
        <f>'Федеральные  средства  по  МО'!AJ17</f>
        <v>0</v>
      </c>
      <c r="DV16" s="72">
        <f t="shared" si="42"/>
        <v>0</v>
      </c>
      <c r="DW16" s="67"/>
      <c r="DX16" s="72"/>
      <c r="DY16" s="75">
        <f>'Федеральные  средства  по  МО'!AK17</f>
        <v>0</v>
      </c>
      <c r="DZ16" s="72">
        <f t="shared" si="43"/>
        <v>0</v>
      </c>
      <c r="EA16" s="67"/>
      <c r="EB16" s="74"/>
      <c r="EC16" s="71">
        <f>'Федеральные  средства  по  МО'!AL17</f>
        <v>0</v>
      </c>
      <c r="ED16" s="67">
        <f t="shared" si="10"/>
        <v>0</v>
      </c>
      <c r="EE16" s="72"/>
      <c r="EF16" s="67"/>
      <c r="EG16" s="71">
        <f>'Федеральные  средства  по  МО'!AM17</f>
        <v>0</v>
      </c>
      <c r="EH16" s="67">
        <f t="shared" si="11"/>
        <v>0</v>
      </c>
      <c r="EI16" s="72"/>
      <c r="EJ16" s="67"/>
      <c r="EK16" s="76">
        <f>'Федеральные  средства  по  МО'!AN17</f>
        <v>0</v>
      </c>
      <c r="EL16" s="72"/>
      <c r="EM16" s="67"/>
      <c r="EN16" s="72">
        <f t="shared" si="44"/>
        <v>0</v>
      </c>
      <c r="EO16" s="75">
        <f>'Федеральные  средства  по  МО'!AO17</f>
        <v>0</v>
      </c>
      <c r="EP16" s="72"/>
      <c r="EQ16" s="67"/>
      <c r="ER16" s="74">
        <f t="shared" si="45"/>
        <v>0</v>
      </c>
      <c r="ES16" s="1152">
        <f>'Федеральные  средства  по  МО'!AP17</f>
        <v>0</v>
      </c>
      <c r="ET16" s="72">
        <f>'Проверочная  таблица'!IJ20</f>
        <v>0</v>
      </c>
      <c r="EU16" s="67">
        <f>'Проверочная  таблица'!IT20</f>
        <v>0</v>
      </c>
      <c r="EV16" s="72">
        <f>'Проверочная  таблица'!IV20</f>
        <v>0</v>
      </c>
      <c r="EW16" s="1154">
        <f>'Федеральные  средства  по  МО'!AQ17</f>
        <v>0</v>
      </c>
      <c r="EX16" s="72">
        <f>'Проверочная  таблица'!IM20</f>
        <v>0</v>
      </c>
      <c r="EY16" s="67">
        <f>'Проверочная  таблица'!IU20</f>
        <v>0</v>
      </c>
      <c r="EZ16" s="72">
        <f>'Проверочная  таблица'!IS18</f>
        <v>0</v>
      </c>
      <c r="FA16" s="77">
        <f>'Федеральные  средства  по  МО'!AR17</f>
        <v>0</v>
      </c>
      <c r="FB16" s="73"/>
      <c r="FC16" s="67"/>
      <c r="FD16" s="74"/>
      <c r="FE16" s="71">
        <f>'Федеральные  средства  по  МО'!AS17</f>
        <v>0</v>
      </c>
      <c r="FF16" s="73"/>
      <c r="FG16" s="67"/>
      <c r="FH16" s="72"/>
      <c r="FI16" s="77">
        <f>'Федеральные  средства  по  МО'!AT17</f>
        <v>0</v>
      </c>
      <c r="FJ16" s="80"/>
      <c r="FK16" s="78"/>
      <c r="FL16" s="79"/>
      <c r="FM16" s="71">
        <f>'Федеральные  средства  по  МО'!AU17</f>
        <v>0</v>
      </c>
      <c r="FN16" s="78"/>
      <c r="FO16" s="81"/>
      <c r="FP16" s="78"/>
      <c r="FQ16" s="76">
        <f>'Федеральные  средства  по  МО'!AV17</f>
        <v>0</v>
      </c>
      <c r="FR16" s="74">
        <f>'Проверочная  таблица'!JL20</f>
        <v>0</v>
      </c>
      <c r="FS16" s="72">
        <f>'Проверочная  таблица'!JX20</f>
        <v>-116813.02</v>
      </c>
      <c r="FT16" s="72">
        <f>'Проверочная  таблица'!KD20</f>
        <v>116813.02</v>
      </c>
      <c r="FU16" s="75">
        <f>'Федеральные  средства  по  МО'!AW17</f>
        <v>0</v>
      </c>
      <c r="FV16" s="72">
        <f>'Проверочная  таблица'!JO20</f>
        <v>0</v>
      </c>
      <c r="FW16" s="67">
        <f>'Проверочная  таблица'!KA20</f>
        <v>0</v>
      </c>
      <c r="FX16" s="72">
        <f>'Проверочная  таблица'!KG20</f>
        <v>0</v>
      </c>
      <c r="FY16" s="76">
        <f>'Федеральные  средства  по  МО'!AX17</f>
        <v>414283.32</v>
      </c>
      <c r="FZ16" s="72"/>
      <c r="GA16" s="67">
        <f t="shared" si="46"/>
        <v>414283.32</v>
      </c>
      <c r="GB16" s="72"/>
      <c r="GC16" s="71">
        <f>'Федеральные  средства  по  МО'!AY17</f>
        <v>0</v>
      </c>
      <c r="GD16" s="67"/>
      <c r="GE16" s="72">
        <f t="shared" si="47"/>
        <v>0</v>
      </c>
      <c r="GF16" s="67"/>
      <c r="GG16" s="71">
        <f>'Федеральные  средства  по  МО'!AZ17</f>
        <v>85800.14</v>
      </c>
      <c r="GH16" s="73">
        <f t="shared" si="48"/>
        <v>85800.14</v>
      </c>
      <c r="GI16" s="67"/>
      <c r="GJ16" s="74"/>
      <c r="GK16" s="71">
        <f>'Федеральные  средства  по  МО'!BA17</f>
        <v>0</v>
      </c>
      <c r="GL16" s="73">
        <f t="shared" si="49"/>
        <v>0</v>
      </c>
      <c r="GM16" s="67"/>
      <c r="GN16" s="72"/>
      <c r="GO16" s="77">
        <f>'Федеральные  средства  по  МО'!BB17</f>
        <v>0</v>
      </c>
      <c r="GP16" s="78"/>
      <c r="GQ16" s="74">
        <f>'Проверочная  таблица'!MG20</f>
        <v>0</v>
      </c>
      <c r="GR16" s="72">
        <f>'Проверочная  таблица'!MO20</f>
        <v>0</v>
      </c>
      <c r="GS16" s="75">
        <f>'Федеральные  средства  по  МО'!BC17</f>
        <v>0</v>
      </c>
      <c r="GT16" s="74"/>
      <c r="GU16" s="72">
        <f>'Проверочная  таблица'!MK20</f>
        <v>0</v>
      </c>
      <c r="GV16" s="73">
        <f>'Проверочная  таблица'!MS20</f>
        <v>0</v>
      </c>
      <c r="GW16" s="75">
        <f>'Федеральные  средства  по  МО'!BD17</f>
        <v>0</v>
      </c>
      <c r="GX16" s="72">
        <f t="shared" si="50"/>
        <v>0</v>
      </c>
      <c r="GY16" s="67"/>
      <c r="GZ16" s="74"/>
      <c r="HA16" s="71">
        <f>'Федеральные  средства  по  МО'!BE17</f>
        <v>0</v>
      </c>
      <c r="HB16" s="72">
        <f t="shared" si="51"/>
        <v>0</v>
      </c>
      <c r="HC16" s="73"/>
      <c r="HD16" s="78"/>
      <c r="HE16" s="71">
        <f>'Федеральные  средства  по  МО'!BF17</f>
        <v>0</v>
      </c>
      <c r="HF16" s="74">
        <f t="shared" si="52"/>
        <v>0</v>
      </c>
      <c r="HG16" s="72"/>
      <c r="HH16" s="73"/>
      <c r="HI16" s="77">
        <f>'Федеральные  средства  по  МО'!BG17</f>
        <v>0</v>
      </c>
      <c r="HJ16" s="74">
        <f t="shared" si="12"/>
        <v>0</v>
      </c>
      <c r="HK16" s="72"/>
      <c r="HL16" s="73"/>
      <c r="HM16" s="76">
        <f>'Федеральные  средства  по  МО'!BH17</f>
        <v>116813.02</v>
      </c>
      <c r="HN16" s="74">
        <f t="shared" si="53"/>
        <v>116813.02</v>
      </c>
      <c r="HO16" s="72"/>
      <c r="HP16" s="73">
        <f>'Проверочная  таблица'!NX20</f>
        <v>0</v>
      </c>
      <c r="HQ16" s="77">
        <f>'Федеральные  средства  по  МО'!BI17</f>
        <v>116813.02</v>
      </c>
      <c r="HR16" s="74">
        <f t="shared" si="54"/>
        <v>116813.02</v>
      </c>
      <c r="HS16" s="79"/>
      <c r="HT16" s="72">
        <f>'Проверочная  таблица'!OA20</f>
        <v>0</v>
      </c>
      <c r="HU16" s="77">
        <f>'Федеральные  средства  по  МО'!BJ17</f>
        <v>0</v>
      </c>
      <c r="HV16" s="80">
        <f t="shared" si="55"/>
        <v>0</v>
      </c>
      <c r="HW16" s="78"/>
      <c r="HX16" s="79"/>
      <c r="HY16" s="71">
        <f>'Федеральные  средства  по  МО'!BK17</f>
        <v>0</v>
      </c>
      <c r="HZ16" s="80">
        <f t="shared" si="13"/>
        <v>0</v>
      </c>
      <c r="IA16" s="78"/>
      <c r="IB16" s="81"/>
      <c r="IC16" s="76">
        <f>'Федеральные  средства  по  МО'!BL17</f>
        <v>18504809.469999999</v>
      </c>
      <c r="ID16" s="74"/>
      <c r="IE16" s="72"/>
      <c r="IF16" s="73">
        <f>'Проверочная  таблица'!PJ20</f>
        <v>0</v>
      </c>
      <c r="IG16" s="75">
        <f>'Федеральные  средства  по  МО'!BM17</f>
        <v>0</v>
      </c>
      <c r="IH16" s="74"/>
      <c r="II16" s="72"/>
      <c r="IJ16" s="73">
        <f>'Проверочная  таблица'!PN20</f>
        <v>0</v>
      </c>
      <c r="IK16" s="76">
        <f>'Федеральные  средства  по  МО'!BN17</f>
        <v>0</v>
      </c>
      <c r="IL16" s="74">
        <f>'Проверочная  таблица'!PR20</f>
        <v>0</v>
      </c>
      <c r="IM16" s="72">
        <f t="shared" si="56"/>
        <v>0</v>
      </c>
      <c r="IN16" s="73"/>
      <c r="IO16" s="75">
        <f>'Федеральные  средства  по  МО'!BO17</f>
        <v>0</v>
      </c>
      <c r="IP16" s="74">
        <f>'Проверочная  таблица'!PW20</f>
        <v>0</v>
      </c>
      <c r="IQ16" s="72">
        <f t="shared" si="57"/>
        <v>0</v>
      </c>
      <c r="IR16" s="73"/>
      <c r="IS16" s="76">
        <f>'Федеральные  средства  по  МО'!BR17</f>
        <v>0</v>
      </c>
      <c r="IT16" s="72">
        <f t="shared" si="58"/>
        <v>0</v>
      </c>
      <c r="IU16" s="67"/>
      <c r="IV16" s="72"/>
      <c r="IW16" s="77">
        <f>'Федеральные  средства  по  МО'!BS17</f>
        <v>0</v>
      </c>
      <c r="IX16" s="73">
        <f t="shared" si="59"/>
        <v>0</v>
      </c>
      <c r="IY16" s="73"/>
      <c r="IZ16" s="72"/>
      <c r="JA16" s="76">
        <f>'Федеральные  средства  по  МО'!BT17</f>
        <v>0</v>
      </c>
      <c r="JB16" s="72">
        <f>'Проверочная  таблица'!RF20</f>
        <v>0</v>
      </c>
      <c r="JC16" s="67">
        <f>'Проверочная  таблица'!RL20</f>
        <v>0</v>
      </c>
      <c r="JD16" s="72">
        <f>'Проверочная  таблица'!RR20</f>
        <v>0</v>
      </c>
      <c r="JE16" s="75">
        <f>'Федеральные  средства  по  МО'!BU17</f>
        <v>0</v>
      </c>
      <c r="JF16" s="72">
        <f>'Проверочная  таблица'!RC20</f>
        <v>0</v>
      </c>
      <c r="JG16" s="67">
        <f>'Проверочная  таблица'!RO20</f>
        <v>0</v>
      </c>
      <c r="JH16" s="74">
        <f>'Проверочная  таблица'!RU20</f>
        <v>0</v>
      </c>
      <c r="JI16" s="71">
        <f>'Федеральные  средства  по  МО'!BV17</f>
        <v>0</v>
      </c>
      <c r="JJ16" s="72">
        <f t="shared" si="60"/>
        <v>0</v>
      </c>
      <c r="JK16" s="67"/>
      <c r="JL16" s="72"/>
      <c r="JM16" s="77">
        <f>'Федеральные  средства  по  МО'!BW17</f>
        <v>0</v>
      </c>
      <c r="JN16" s="73">
        <f t="shared" si="61"/>
        <v>0</v>
      </c>
      <c r="JO16" s="67"/>
      <c r="JP16" s="74"/>
      <c r="JQ16" s="76">
        <f>'Федеральные  средства  по  МО'!BX17</f>
        <v>0</v>
      </c>
      <c r="JR16" s="72">
        <f t="shared" si="62"/>
        <v>0</v>
      </c>
      <c r="JS16" s="67"/>
      <c r="JT16" s="72"/>
      <c r="JU16" s="77">
        <f>'Федеральные  средства  по  МО'!BY17</f>
        <v>0</v>
      </c>
      <c r="JV16" s="72">
        <f t="shared" si="63"/>
        <v>0</v>
      </c>
      <c r="JW16" s="67"/>
      <c r="JX16" s="72"/>
      <c r="JY16" s="76">
        <f>'Федеральные  средства  по  МО'!BZ17</f>
        <v>0</v>
      </c>
      <c r="JZ16" s="72">
        <f t="shared" si="64"/>
        <v>0</v>
      </c>
      <c r="KA16" s="67"/>
      <c r="KB16" s="72"/>
      <c r="KC16" s="75">
        <f>'Федеральные  средства  по  МО'!CA17</f>
        <v>0</v>
      </c>
      <c r="KD16" s="72">
        <f t="shared" si="65"/>
        <v>0</v>
      </c>
      <c r="KE16" s="67"/>
      <c r="KF16" s="72"/>
      <c r="KG16" s="75">
        <f>'Федеральные  средства  по  МО'!CB17</f>
        <v>0</v>
      </c>
      <c r="KH16" s="74">
        <f>'Проверочная  таблица'!SR20</f>
        <v>0</v>
      </c>
      <c r="KI16" s="72">
        <f>'Проверочная  таблица'!TT20</f>
        <v>0</v>
      </c>
      <c r="KJ16" s="67">
        <f>'Проверочная  таблица'!UH20</f>
        <v>0</v>
      </c>
      <c r="KK16" s="1139">
        <f>'Федеральные  средства  по  МО'!CC17</f>
        <v>0</v>
      </c>
      <c r="KL16" s="67">
        <f>'Проверочная  таблица'!SY20</f>
        <v>0</v>
      </c>
      <c r="KM16" s="72">
        <f>'Проверочная  таблица'!UA20</f>
        <v>0</v>
      </c>
      <c r="KN16" s="73">
        <f>'Проверочная  таблица'!UO20</f>
        <v>0</v>
      </c>
      <c r="KO16" s="75">
        <f>'Федеральные  средства  по  МО'!CD17</f>
        <v>0</v>
      </c>
      <c r="KP16" s="72">
        <f>'Проверочная  таблица'!ST20</f>
        <v>0</v>
      </c>
      <c r="KQ16" s="67">
        <f t="shared" si="66"/>
        <v>0</v>
      </c>
      <c r="KR16" s="72"/>
      <c r="KS16" s="75">
        <f>'Федеральные  средства  по  МО'!CE17</f>
        <v>0</v>
      </c>
      <c r="KT16" s="72">
        <f>'Проверочная  таблица'!TA20</f>
        <v>0</v>
      </c>
      <c r="KU16" s="67">
        <f t="shared" si="67"/>
        <v>0</v>
      </c>
      <c r="KV16" s="74"/>
      <c r="KW16" s="76">
        <f>'Федеральные  средства  по  МО'!CF17</f>
        <v>0</v>
      </c>
      <c r="KX16" s="74">
        <f>'Проверочная  таблица'!SV20</f>
        <v>0</v>
      </c>
      <c r="KY16" s="72">
        <f>'Проверочная  таблица'!TX20</f>
        <v>0</v>
      </c>
      <c r="KZ16" s="73"/>
      <c r="LA16" s="75">
        <f>'Федеральные  средства  по  МО'!CG17</f>
        <v>0</v>
      </c>
      <c r="LB16" s="74">
        <f>'Проверочная  таблица'!TC20</f>
        <v>0</v>
      </c>
      <c r="LC16" s="72">
        <f>'Проверочная  таблица'!TQ20</f>
        <v>0</v>
      </c>
      <c r="LD16" s="72"/>
    </row>
    <row r="17" spans="1:316" ht="25.5" customHeight="1" x14ac:dyDescent="0.25">
      <c r="A17" s="68" t="s">
        <v>324</v>
      </c>
      <c r="B17" s="69">
        <f t="shared" si="14"/>
        <v>229669569.88</v>
      </c>
      <c r="C17" s="70">
        <f t="shared" si="15"/>
        <v>213157017.96000001</v>
      </c>
      <c r="D17" s="70">
        <f t="shared" si="16"/>
        <v>-37706.590000000011</v>
      </c>
      <c r="E17" s="70">
        <f t="shared" si="17"/>
        <v>16550258.51</v>
      </c>
      <c r="F17" s="69">
        <f t="shared" si="18"/>
        <v>57014404.469999999</v>
      </c>
      <c r="G17" s="70">
        <f t="shared" si="19"/>
        <v>41739525.729999997</v>
      </c>
      <c r="H17" s="70">
        <f t="shared" si="1"/>
        <v>0</v>
      </c>
      <c r="I17" s="70">
        <f t="shared" si="2"/>
        <v>15274878.74</v>
      </c>
      <c r="J17" s="52"/>
      <c r="K17" s="53">
        <f>M17-'Федеральные  средства  по  МО'!N18-'Федеральные  средства  по  МО'!D18</f>
        <v>0</v>
      </c>
      <c r="L17" s="53">
        <f>Q17-'Федеральные  средства  по  МО'!O18-'Федеральные  средства  по  МО'!E18</f>
        <v>0</v>
      </c>
      <c r="M17" s="1180">
        <f t="shared" si="20"/>
        <v>334393620.53999996</v>
      </c>
      <c r="N17" s="70">
        <f t="shared" si="21"/>
        <v>317881068.62</v>
      </c>
      <c r="O17" s="70">
        <f t="shared" si="22"/>
        <v>-37706.590000000011</v>
      </c>
      <c r="P17" s="70">
        <f t="shared" si="23"/>
        <v>16550258.51</v>
      </c>
      <c r="Q17" s="1180">
        <f t="shared" si="24"/>
        <v>69297525.219999999</v>
      </c>
      <c r="R17" s="70">
        <f t="shared" si="25"/>
        <v>54022646.479999997</v>
      </c>
      <c r="S17" s="70">
        <f t="shared" si="26"/>
        <v>0</v>
      </c>
      <c r="T17" s="70">
        <f t="shared" si="27"/>
        <v>15274878.74</v>
      </c>
      <c r="U17" s="71">
        <f>'Федеральные  средства  по  МО'!F18</f>
        <v>0</v>
      </c>
      <c r="V17" s="67">
        <f>'Проверочная  таблица'!BL21</f>
        <v>0</v>
      </c>
      <c r="W17" s="72">
        <f>'Проверочная  таблица'!BP21</f>
        <v>0</v>
      </c>
      <c r="X17" s="67">
        <f>'Проверочная  таблица'!BR21</f>
        <v>0</v>
      </c>
      <c r="Y17" s="71">
        <f>'Федеральные  средства  по  МО'!G18</f>
        <v>0</v>
      </c>
      <c r="Z17" s="67">
        <f>'Проверочная  таблица'!BM21</f>
        <v>0</v>
      </c>
      <c r="AA17" s="72">
        <f>'Проверочная  таблица'!BQ21</f>
        <v>0</v>
      </c>
      <c r="AB17" s="67">
        <f>'Проверочная  таблица'!BS21</f>
        <v>0</v>
      </c>
      <c r="AC17" s="1139">
        <f>'Федеральные  средства  по  МО'!H18</f>
        <v>35842050.659999996</v>
      </c>
      <c r="AD17" s="73">
        <f t="shared" si="28"/>
        <v>35842050.659999996</v>
      </c>
      <c r="AE17" s="67"/>
      <c r="AF17" s="74"/>
      <c r="AG17" s="1139">
        <f>'Федеральные  средства  по  МО'!I18</f>
        <v>0</v>
      </c>
      <c r="AH17" s="73">
        <f t="shared" si="29"/>
        <v>0</v>
      </c>
      <c r="AI17" s="67"/>
      <c r="AJ17" s="72"/>
      <c r="AK17" s="71">
        <f>'Федеральные  средства  по  МО'!J18</f>
        <v>68882000</v>
      </c>
      <c r="AL17" s="73">
        <f t="shared" si="30"/>
        <v>68882000</v>
      </c>
      <c r="AM17" s="67"/>
      <c r="AN17" s="74"/>
      <c r="AO17" s="71">
        <f>'Федеральные  средства  по  МО'!K18</f>
        <v>12283120.75</v>
      </c>
      <c r="AP17" s="73">
        <f t="shared" si="31"/>
        <v>12283120.75</v>
      </c>
      <c r="AQ17" s="67"/>
      <c r="AR17" s="72"/>
      <c r="AS17" s="75">
        <f>'Федеральные  средства  по  МО'!P18</f>
        <v>0</v>
      </c>
      <c r="AT17" s="72">
        <f>'Проверочная  таблица'!CP21</f>
        <v>0</v>
      </c>
      <c r="AU17" s="67"/>
      <c r="AV17" s="74"/>
      <c r="AW17" s="76">
        <f>'Федеральные  средства  по  МО'!Q18</f>
        <v>0</v>
      </c>
      <c r="AX17" s="72">
        <f>'Проверочная  таблица'!CW21</f>
        <v>0</v>
      </c>
      <c r="AY17" s="73"/>
      <c r="AZ17" s="67"/>
      <c r="BA17" s="76">
        <f>'Федеральные  средства  по  МО'!R18</f>
        <v>0</v>
      </c>
      <c r="BB17" s="72">
        <f>'Проверочная  таблица'!CR21</f>
        <v>0</v>
      </c>
      <c r="BC17" s="67"/>
      <c r="BD17" s="72">
        <f>'Проверочная  таблица'!DD21</f>
        <v>0</v>
      </c>
      <c r="BE17" s="75">
        <f>'Федеральные  средства  по  МО'!S18</f>
        <v>0</v>
      </c>
      <c r="BF17" s="72">
        <f>'Проверочная  таблица'!CY21</f>
        <v>0</v>
      </c>
      <c r="BG17" s="67"/>
      <c r="BH17" s="72">
        <f>'Проверочная  таблица'!DG21</f>
        <v>0</v>
      </c>
      <c r="BI17" s="75">
        <f>'Федеральные  средства  по  МО'!T18</f>
        <v>0</v>
      </c>
      <c r="BJ17" s="72">
        <f t="shared" si="32"/>
        <v>0</v>
      </c>
      <c r="BK17" s="67"/>
      <c r="BL17" s="72"/>
      <c r="BM17" s="77">
        <f>'Федеральные  средства  по  МО'!U18</f>
        <v>0</v>
      </c>
      <c r="BN17" s="72">
        <f t="shared" si="33"/>
        <v>0</v>
      </c>
      <c r="BO17" s="73"/>
      <c r="BP17" s="73"/>
      <c r="BQ17" s="71">
        <f>'Федеральные  средства  по  МО'!V18</f>
        <v>0</v>
      </c>
      <c r="BR17" s="73">
        <f t="shared" si="4"/>
        <v>0</v>
      </c>
      <c r="BS17" s="72"/>
      <c r="BT17" s="67"/>
      <c r="BU17" s="71">
        <f>'Федеральные  средства  по  МО'!W18</f>
        <v>0</v>
      </c>
      <c r="BV17" s="73">
        <f t="shared" si="5"/>
        <v>0</v>
      </c>
      <c r="BW17" s="72"/>
      <c r="BX17" s="67"/>
      <c r="BY17" s="71">
        <f>'Федеральные  средства  по  МО'!X18</f>
        <v>0</v>
      </c>
      <c r="BZ17" s="73">
        <f t="shared" si="6"/>
        <v>0</v>
      </c>
      <c r="CA17" s="72"/>
      <c r="CB17" s="67"/>
      <c r="CC17" s="71">
        <f>'Федеральные  средства  по  МО'!Y18</f>
        <v>0</v>
      </c>
      <c r="CD17" s="73">
        <f t="shared" si="7"/>
        <v>0</v>
      </c>
      <c r="CE17" s="72"/>
      <c r="CF17" s="67"/>
      <c r="CG17" s="71">
        <f>'Федеральные  средства  по  МО'!Z18</f>
        <v>0</v>
      </c>
      <c r="CH17" s="73">
        <f t="shared" si="8"/>
        <v>0</v>
      </c>
      <c r="CI17" s="67"/>
      <c r="CJ17" s="74"/>
      <c r="CK17" s="71">
        <f>'Федеральные  средства  по  МО'!AA18</f>
        <v>0</v>
      </c>
      <c r="CL17" s="73">
        <f t="shared" si="9"/>
        <v>0</v>
      </c>
      <c r="CM17" s="72"/>
      <c r="CN17" s="73"/>
      <c r="CO17" s="76">
        <f>'Федеральные  средства  по  МО'!AB18</f>
        <v>82494836.710000008</v>
      </c>
      <c r="CP17" s="72">
        <f t="shared" si="34"/>
        <v>82494836.710000008</v>
      </c>
      <c r="CQ17" s="67"/>
      <c r="CR17" s="72"/>
      <c r="CS17" s="75">
        <f>'Федеральные  средства  по  МО'!AC18</f>
        <v>0</v>
      </c>
      <c r="CT17" s="72">
        <f t="shared" si="35"/>
        <v>0</v>
      </c>
      <c r="CU17" s="67"/>
      <c r="CV17" s="72"/>
      <c r="CW17" s="76">
        <f>'Федеральные  средства  по  МО'!AD18</f>
        <v>0</v>
      </c>
      <c r="CX17" s="74">
        <f>'Проверочная  таблица'!EV21</f>
        <v>0</v>
      </c>
      <c r="CY17" s="72">
        <f t="shared" si="36"/>
        <v>0</v>
      </c>
      <c r="CZ17" s="73"/>
      <c r="DA17" s="75">
        <f>'Федеральные  средства  по  МО'!AE18</f>
        <v>0</v>
      </c>
      <c r="DB17" s="74">
        <f>'Проверочная  таблица'!EY21</f>
        <v>0</v>
      </c>
      <c r="DC17" s="72">
        <f t="shared" si="37"/>
        <v>0</v>
      </c>
      <c r="DD17" s="67"/>
      <c r="DE17" s="71">
        <f>'Федеральные  средства  по  МО'!AF18</f>
        <v>0</v>
      </c>
      <c r="DF17" s="73">
        <f t="shared" si="38"/>
        <v>0</v>
      </c>
      <c r="DG17" s="67"/>
      <c r="DH17" s="74"/>
      <c r="DI17" s="71">
        <f>'Федеральные  средства  по  МО'!AG18</f>
        <v>0</v>
      </c>
      <c r="DJ17" s="73">
        <f t="shared" si="39"/>
        <v>0</v>
      </c>
      <c r="DK17" s="67"/>
      <c r="DL17" s="74"/>
      <c r="DM17" s="71">
        <f>'Федеральные  средства  по  МО'!AH18</f>
        <v>0</v>
      </c>
      <c r="DN17" s="73">
        <f t="shared" si="40"/>
        <v>0</v>
      </c>
      <c r="DO17" s="67"/>
      <c r="DP17" s="74"/>
      <c r="DQ17" s="71">
        <f>'Федеральные  средства  по  МО'!AI18</f>
        <v>0</v>
      </c>
      <c r="DR17" s="73">
        <f t="shared" si="41"/>
        <v>0</v>
      </c>
      <c r="DS17" s="67"/>
      <c r="DT17" s="72"/>
      <c r="DU17" s="76">
        <f>'Федеральные  средства  по  МО'!AJ18</f>
        <v>0</v>
      </c>
      <c r="DV17" s="72">
        <f t="shared" si="42"/>
        <v>0</v>
      </c>
      <c r="DW17" s="67"/>
      <c r="DX17" s="72"/>
      <c r="DY17" s="75">
        <f>'Федеральные  средства  по  МО'!AK18</f>
        <v>0</v>
      </c>
      <c r="DZ17" s="72">
        <f t="shared" si="43"/>
        <v>0</v>
      </c>
      <c r="EA17" s="67"/>
      <c r="EB17" s="74"/>
      <c r="EC17" s="71">
        <f>'Федеральные  средства  по  МО'!AL18</f>
        <v>0</v>
      </c>
      <c r="ED17" s="67">
        <f t="shared" si="10"/>
        <v>0</v>
      </c>
      <c r="EE17" s="72"/>
      <c r="EF17" s="67"/>
      <c r="EG17" s="71">
        <f>'Федеральные  средства  по  МО'!AM18</f>
        <v>0</v>
      </c>
      <c r="EH17" s="67">
        <f t="shared" si="11"/>
        <v>0</v>
      </c>
      <c r="EI17" s="72"/>
      <c r="EJ17" s="67"/>
      <c r="EK17" s="76">
        <f>'Федеральные  средства  по  МО'!AN18</f>
        <v>821052.83999999985</v>
      </c>
      <c r="EL17" s="72"/>
      <c r="EM17" s="67"/>
      <c r="EN17" s="72">
        <f t="shared" si="44"/>
        <v>821052.83999999985</v>
      </c>
      <c r="EO17" s="75">
        <f>'Федеральные  средства  по  МО'!AO18</f>
        <v>0</v>
      </c>
      <c r="EP17" s="72"/>
      <c r="EQ17" s="67"/>
      <c r="ER17" s="74">
        <f t="shared" si="45"/>
        <v>0</v>
      </c>
      <c r="ES17" s="1152">
        <f>'Федеральные  средства  по  МО'!AP18</f>
        <v>0</v>
      </c>
      <c r="ET17" s="72">
        <f>'Проверочная  таблица'!IJ21</f>
        <v>0</v>
      </c>
      <c r="EU17" s="67">
        <f>'Проверочная  таблица'!IT21</f>
        <v>0</v>
      </c>
      <c r="EV17" s="72">
        <f>'Проверочная  таблица'!IV21</f>
        <v>0</v>
      </c>
      <c r="EW17" s="1154">
        <f>'Федеральные  средства  по  МО'!AQ18</f>
        <v>0</v>
      </c>
      <c r="EX17" s="72">
        <f>'Проверочная  таблица'!IM21</f>
        <v>0</v>
      </c>
      <c r="EY17" s="67">
        <f>'Проверочная  таблица'!IU21</f>
        <v>0</v>
      </c>
      <c r="EZ17" s="72">
        <f>'Проверочная  таблица'!IS19</f>
        <v>0</v>
      </c>
      <c r="FA17" s="77">
        <f>'Федеральные  средства  по  МО'!AR18</f>
        <v>0</v>
      </c>
      <c r="FB17" s="73"/>
      <c r="FC17" s="67"/>
      <c r="FD17" s="74"/>
      <c r="FE17" s="71">
        <f>'Федеральные  средства  по  МО'!AS18</f>
        <v>0</v>
      </c>
      <c r="FF17" s="73"/>
      <c r="FG17" s="67"/>
      <c r="FH17" s="72"/>
      <c r="FI17" s="77">
        <f>'Федеральные  средства  по  МО'!AT18</f>
        <v>0</v>
      </c>
      <c r="FJ17" s="73"/>
      <c r="FK17" s="67"/>
      <c r="FL17" s="74"/>
      <c r="FM17" s="71">
        <f>'Федеральные  средства  по  МО'!AU18</f>
        <v>0</v>
      </c>
      <c r="FN17" s="67"/>
      <c r="FO17" s="72"/>
      <c r="FP17" s="67"/>
      <c r="FQ17" s="76">
        <f>'Федеральные  средства  по  МО'!AV18</f>
        <v>23542.699999999983</v>
      </c>
      <c r="FR17" s="74">
        <f>'Проверочная  таблица'!JL21</f>
        <v>11771.349999999991</v>
      </c>
      <c r="FS17" s="72">
        <f>'Проверочная  таблица'!JX21</f>
        <v>-83931.260000000009</v>
      </c>
      <c r="FT17" s="72">
        <f>'Проверочная  таблица'!KD21</f>
        <v>95702.61</v>
      </c>
      <c r="FU17" s="75">
        <f>'Федеральные  средства  по  МО'!AW18</f>
        <v>0</v>
      </c>
      <c r="FV17" s="72">
        <f>'Проверочная  таблица'!JO21</f>
        <v>0</v>
      </c>
      <c r="FW17" s="67">
        <f>'Проверочная  таблица'!KA21</f>
        <v>0</v>
      </c>
      <c r="FX17" s="72">
        <f>'Проверочная  таблица'!KG21</f>
        <v>0</v>
      </c>
      <c r="FY17" s="76">
        <f>'Федеральные  средства  по  МО'!AX18</f>
        <v>46224.67</v>
      </c>
      <c r="FZ17" s="72"/>
      <c r="GA17" s="67">
        <f t="shared" si="46"/>
        <v>46224.67</v>
      </c>
      <c r="GB17" s="72"/>
      <c r="GC17" s="71">
        <f>'Федеральные  средства  по  МО'!AY18</f>
        <v>0</v>
      </c>
      <c r="GD17" s="67"/>
      <c r="GE17" s="72">
        <f t="shared" si="47"/>
        <v>0</v>
      </c>
      <c r="GF17" s="67"/>
      <c r="GG17" s="71">
        <f>'Федеральные  средства  по  МО'!AZ18</f>
        <v>99572.97</v>
      </c>
      <c r="GH17" s="73">
        <f t="shared" si="48"/>
        <v>99572.97</v>
      </c>
      <c r="GI17" s="67"/>
      <c r="GJ17" s="74"/>
      <c r="GK17" s="71">
        <f>'Федеральные  средства  по  МО'!BA18</f>
        <v>0</v>
      </c>
      <c r="GL17" s="73">
        <f t="shared" si="49"/>
        <v>0</v>
      </c>
      <c r="GM17" s="67"/>
      <c r="GN17" s="72"/>
      <c r="GO17" s="77">
        <f>'Федеральные  средства  по  МО'!BB18</f>
        <v>0</v>
      </c>
      <c r="GP17" s="67"/>
      <c r="GQ17" s="74">
        <f>'Проверочная  таблица'!MG21</f>
        <v>0</v>
      </c>
      <c r="GR17" s="72">
        <f>'Проверочная  таблица'!MO21</f>
        <v>0</v>
      </c>
      <c r="GS17" s="75">
        <f>'Федеральные  средства  по  МО'!BC18</f>
        <v>0</v>
      </c>
      <c r="GT17" s="74"/>
      <c r="GU17" s="72">
        <f>'Проверочная  таблица'!MK21</f>
        <v>0</v>
      </c>
      <c r="GV17" s="73">
        <f>'Проверочная  таблица'!MS21</f>
        <v>0</v>
      </c>
      <c r="GW17" s="75">
        <f>'Федеральные  средства  по  МО'!BD18</f>
        <v>0</v>
      </c>
      <c r="GX17" s="72">
        <f t="shared" si="50"/>
        <v>0</v>
      </c>
      <c r="GY17" s="67"/>
      <c r="GZ17" s="74"/>
      <c r="HA17" s="71">
        <f>'Федеральные  средства  по  МО'!BE18</f>
        <v>0</v>
      </c>
      <c r="HB17" s="72">
        <f t="shared" si="51"/>
        <v>0</v>
      </c>
      <c r="HC17" s="73"/>
      <c r="HD17" s="67"/>
      <c r="HE17" s="71">
        <f>'Федеральные  средства  по  МО'!BF18</f>
        <v>0</v>
      </c>
      <c r="HF17" s="74">
        <f t="shared" si="52"/>
        <v>0</v>
      </c>
      <c r="HG17" s="72"/>
      <c r="HH17" s="73"/>
      <c r="HI17" s="77">
        <f>'Федеральные  средства  по  МО'!BG18</f>
        <v>0</v>
      </c>
      <c r="HJ17" s="74">
        <f t="shared" si="12"/>
        <v>0</v>
      </c>
      <c r="HK17" s="72"/>
      <c r="HL17" s="73"/>
      <c r="HM17" s="76">
        <f>'Федеральные  средства  по  МО'!BH18</f>
        <v>129205.67</v>
      </c>
      <c r="HN17" s="74">
        <f t="shared" si="53"/>
        <v>95702.61</v>
      </c>
      <c r="HO17" s="72"/>
      <c r="HP17" s="73">
        <f>'Проверочная  таблица'!NX21</f>
        <v>33503.06</v>
      </c>
      <c r="HQ17" s="77">
        <f>'Федеральные  средства  по  МО'!BI18</f>
        <v>129205.67</v>
      </c>
      <c r="HR17" s="74">
        <f t="shared" si="54"/>
        <v>95702.61</v>
      </c>
      <c r="HS17" s="74"/>
      <c r="HT17" s="72">
        <f>'Проверочная  таблица'!OA21</f>
        <v>33503.06</v>
      </c>
      <c r="HU17" s="77">
        <f>'Федеральные  средства  по  МО'!BJ18</f>
        <v>0</v>
      </c>
      <c r="HV17" s="73">
        <f t="shared" si="55"/>
        <v>0</v>
      </c>
      <c r="HW17" s="67"/>
      <c r="HX17" s="74"/>
      <c r="HY17" s="71">
        <f>'Федеральные  средства  по  МО'!BK18</f>
        <v>0</v>
      </c>
      <c r="HZ17" s="73">
        <f t="shared" si="13"/>
        <v>0</v>
      </c>
      <c r="IA17" s="67"/>
      <c r="IB17" s="72"/>
      <c r="IC17" s="76">
        <f>'Федеральные  средства  по  МО'!BL18</f>
        <v>15600000</v>
      </c>
      <c r="ID17" s="74"/>
      <c r="IE17" s="72"/>
      <c r="IF17" s="73">
        <f>'Проверочная  таблица'!PJ21</f>
        <v>15600000</v>
      </c>
      <c r="IG17" s="75">
        <f>'Федеральные  средства  по  МО'!BM18</f>
        <v>15241375.68</v>
      </c>
      <c r="IH17" s="74"/>
      <c r="II17" s="72"/>
      <c r="IJ17" s="73">
        <f>'Проверочная  таблица'!PN21</f>
        <v>15241375.68</v>
      </c>
      <c r="IK17" s="76">
        <f>'Федеральные  средства  по  МО'!BN18</f>
        <v>0</v>
      </c>
      <c r="IL17" s="74">
        <f>'Проверочная  таблица'!PR21</f>
        <v>0</v>
      </c>
      <c r="IM17" s="72">
        <f t="shared" si="56"/>
        <v>0</v>
      </c>
      <c r="IN17" s="73"/>
      <c r="IO17" s="75">
        <f>'Федеральные  средства  по  МО'!BO18</f>
        <v>0</v>
      </c>
      <c r="IP17" s="74">
        <f>'Проверочная  таблица'!PW21</f>
        <v>0</v>
      </c>
      <c r="IQ17" s="72">
        <f t="shared" si="57"/>
        <v>0</v>
      </c>
      <c r="IR17" s="73"/>
      <c r="IS17" s="76">
        <f>'Федеральные  средства  по  МО'!BR18</f>
        <v>0</v>
      </c>
      <c r="IT17" s="72">
        <f t="shared" si="58"/>
        <v>0</v>
      </c>
      <c r="IU17" s="67"/>
      <c r="IV17" s="72"/>
      <c r="IW17" s="77">
        <f>'Федеральные  средства  по  МО'!BS18</f>
        <v>0</v>
      </c>
      <c r="IX17" s="73">
        <f t="shared" si="59"/>
        <v>0</v>
      </c>
      <c r="IY17" s="73"/>
      <c r="IZ17" s="72"/>
      <c r="JA17" s="76">
        <f>'Федеральные  средства  по  МО'!BT18</f>
        <v>0</v>
      </c>
      <c r="JB17" s="72">
        <f>'Проверочная  таблица'!RF21</f>
        <v>0</v>
      </c>
      <c r="JC17" s="67">
        <f>'Проверочная  таблица'!RL21</f>
        <v>0</v>
      </c>
      <c r="JD17" s="72">
        <f>'Проверочная  таблица'!RR21</f>
        <v>0</v>
      </c>
      <c r="JE17" s="75">
        <f>'Федеральные  средства  по  МО'!BU18</f>
        <v>0</v>
      </c>
      <c r="JF17" s="72">
        <f>'Проверочная  таблица'!RC21</f>
        <v>0</v>
      </c>
      <c r="JG17" s="67">
        <f>'Проверочная  таблица'!RO21</f>
        <v>0</v>
      </c>
      <c r="JH17" s="74">
        <f>'Проверочная  таблица'!RU21</f>
        <v>0</v>
      </c>
      <c r="JI17" s="71">
        <f>'Федеральные  средства  по  МО'!BV18</f>
        <v>0</v>
      </c>
      <c r="JJ17" s="72">
        <f t="shared" si="60"/>
        <v>0</v>
      </c>
      <c r="JK17" s="67"/>
      <c r="JL17" s="72"/>
      <c r="JM17" s="77">
        <f>'Федеральные  средства  по  МО'!BW18</f>
        <v>0</v>
      </c>
      <c r="JN17" s="73">
        <f t="shared" si="61"/>
        <v>0</v>
      </c>
      <c r="JO17" s="67"/>
      <c r="JP17" s="74"/>
      <c r="JQ17" s="76">
        <f>'Федеральные  средства  по  МО'!BX18</f>
        <v>75218600</v>
      </c>
      <c r="JR17" s="72">
        <f t="shared" si="62"/>
        <v>75218600</v>
      </c>
      <c r="JS17" s="67"/>
      <c r="JT17" s="72"/>
      <c r="JU17" s="77">
        <f>'Федеральные  средства  по  МО'!BY18</f>
        <v>7259789.8700000001</v>
      </c>
      <c r="JV17" s="72">
        <f t="shared" si="63"/>
        <v>7259789.8700000001</v>
      </c>
      <c r="JW17" s="67"/>
      <c r="JX17" s="72"/>
      <c r="JY17" s="76">
        <f>'Федеральные  средства  по  МО'!BZ18</f>
        <v>0</v>
      </c>
      <c r="JZ17" s="72">
        <f t="shared" si="64"/>
        <v>0</v>
      </c>
      <c r="KA17" s="67"/>
      <c r="KB17" s="72"/>
      <c r="KC17" s="75">
        <f>'Федеральные  средства  по  МО'!CA18</f>
        <v>0</v>
      </c>
      <c r="KD17" s="72">
        <f t="shared" si="65"/>
        <v>0</v>
      </c>
      <c r="KE17" s="67"/>
      <c r="KF17" s="72"/>
      <c r="KG17" s="75">
        <f>'Федеральные  средства  по  МО'!CB18</f>
        <v>0</v>
      </c>
      <c r="KH17" s="74">
        <f>'Проверочная  таблица'!SR21</f>
        <v>0</v>
      </c>
      <c r="KI17" s="72">
        <f>'Проверочная  таблица'!TT21</f>
        <v>0</v>
      </c>
      <c r="KJ17" s="67">
        <f>'Проверочная  таблица'!UH21</f>
        <v>0</v>
      </c>
      <c r="KK17" s="1139">
        <f>'Федеральные  средства  по  МО'!CC18</f>
        <v>0</v>
      </c>
      <c r="KL17" s="67">
        <f>'Проверочная  таблица'!SY21</f>
        <v>0</v>
      </c>
      <c r="KM17" s="72">
        <f>'Проверочная  таблица'!UA21</f>
        <v>0</v>
      </c>
      <c r="KN17" s="73">
        <f>'Проверочная  таблица'!UO21</f>
        <v>0</v>
      </c>
      <c r="KO17" s="75">
        <f>'Федеральные  средства  по  МО'!CD18</f>
        <v>0</v>
      </c>
      <c r="KP17" s="72">
        <f>'Проверочная  таблица'!ST21</f>
        <v>0</v>
      </c>
      <c r="KQ17" s="67">
        <f t="shared" si="66"/>
        <v>0</v>
      </c>
      <c r="KR17" s="72"/>
      <c r="KS17" s="75">
        <f>'Федеральные  средства  по  МО'!CE18</f>
        <v>0</v>
      </c>
      <c r="KT17" s="72">
        <f>'Проверочная  таблица'!TA21</f>
        <v>0</v>
      </c>
      <c r="KU17" s="67">
        <f t="shared" si="67"/>
        <v>0</v>
      </c>
      <c r="KV17" s="74"/>
      <c r="KW17" s="76">
        <f>'Федеральные  средства  по  МО'!CF18</f>
        <v>55236534.32</v>
      </c>
      <c r="KX17" s="74">
        <f>'Проверочная  таблица'!SV21</f>
        <v>55236534.32</v>
      </c>
      <c r="KY17" s="72">
        <f>'Проверочная  таблица'!TX21</f>
        <v>0</v>
      </c>
      <c r="KZ17" s="73"/>
      <c r="LA17" s="75">
        <f>'Федеральные  средства  по  МО'!CG18</f>
        <v>34384033.25</v>
      </c>
      <c r="LB17" s="74">
        <f>'Проверочная  таблица'!TC21</f>
        <v>34384033.25</v>
      </c>
      <c r="LC17" s="72">
        <f>'Проверочная  таблица'!TQ21</f>
        <v>0</v>
      </c>
      <c r="LD17" s="72"/>
    </row>
    <row r="18" spans="1:316" ht="25.5" customHeight="1" x14ac:dyDescent="0.25">
      <c r="A18" s="82" t="s">
        <v>325</v>
      </c>
      <c r="B18" s="51">
        <f t="shared" si="14"/>
        <v>204147095.17000002</v>
      </c>
      <c r="C18" s="51">
        <f t="shared" si="15"/>
        <v>203819399.64000002</v>
      </c>
      <c r="D18" s="51">
        <f t="shared" si="16"/>
        <v>237029.57</v>
      </c>
      <c r="E18" s="51">
        <f t="shared" si="17"/>
        <v>90665.96</v>
      </c>
      <c r="F18" s="51">
        <f t="shared" si="18"/>
        <v>72011243.919999987</v>
      </c>
      <c r="G18" s="51">
        <f t="shared" si="19"/>
        <v>72011243.919999987</v>
      </c>
      <c r="H18" s="51">
        <f t="shared" si="1"/>
        <v>0</v>
      </c>
      <c r="I18" s="51">
        <f t="shared" si="2"/>
        <v>0</v>
      </c>
      <c r="J18" s="52"/>
      <c r="K18" s="53">
        <f>M18-'Федеральные  средства  по  МО'!N19-'Федеральные  средства  по  МО'!D19</f>
        <v>0</v>
      </c>
      <c r="L18" s="53">
        <f>Q18-'Федеральные  средства  по  МО'!O19-'Федеральные  средства  по  МО'!E19</f>
        <v>0</v>
      </c>
      <c r="M18" s="1181">
        <f t="shared" si="20"/>
        <v>227747400.65000001</v>
      </c>
      <c r="N18" s="1181">
        <f t="shared" si="21"/>
        <v>227419705.12</v>
      </c>
      <c r="O18" s="1181">
        <f t="shared" si="22"/>
        <v>237029.57</v>
      </c>
      <c r="P18" s="1181">
        <f t="shared" si="23"/>
        <v>90665.96</v>
      </c>
      <c r="Q18" s="1181">
        <f t="shared" si="24"/>
        <v>72011243.919999987</v>
      </c>
      <c r="R18" s="1181">
        <f t="shared" si="25"/>
        <v>72011243.919999987</v>
      </c>
      <c r="S18" s="1181">
        <f t="shared" si="26"/>
        <v>0</v>
      </c>
      <c r="T18" s="1181">
        <f t="shared" si="27"/>
        <v>0</v>
      </c>
      <c r="U18" s="83">
        <f>'Федеральные  средства  по  МО'!F19</f>
        <v>0</v>
      </c>
      <c r="V18" s="84">
        <f>'Проверочная  таблица'!BL14</f>
        <v>0</v>
      </c>
      <c r="W18" s="83">
        <f>'Проверочная  таблица'!BP14</f>
        <v>0</v>
      </c>
      <c r="X18" s="84">
        <f>'Проверочная  таблица'!BR14</f>
        <v>0</v>
      </c>
      <c r="Y18" s="83">
        <f>'Федеральные  средства  по  МО'!G19</f>
        <v>0</v>
      </c>
      <c r="Z18" s="84">
        <f>'Проверочная  таблица'!BM14</f>
        <v>0</v>
      </c>
      <c r="AA18" s="83">
        <f>'Проверочная  таблица'!BQ14</f>
        <v>0</v>
      </c>
      <c r="AB18" s="84">
        <f>'Проверочная  таблица'!BS14</f>
        <v>0</v>
      </c>
      <c r="AC18" s="1176">
        <f>'Федеральные  средства  по  МО'!H19</f>
        <v>16551305.479999999</v>
      </c>
      <c r="AD18" s="1177">
        <f t="shared" si="28"/>
        <v>16551305.479999999</v>
      </c>
      <c r="AE18" s="1178"/>
      <c r="AF18" s="1179"/>
      <c r="AG18" s="1176">
        <f>'Федеральные  средства  по  МО'!I19</f>
        <v>0</v>
      </c>
      <c r="AH18" s="85">
        <f t="shared" si="29"/>
        <v>0</v>
      </c>
      <c r="AI18" s="84"/>
      <c r="AJ18" s="83"/>
      <c r="AK18" s="83">
        <f>'Федеральные  средства  по  МО'!J19</f>
        <v>7049000</v>
      </c>
      <c r="AL18" s="85">
        <f t="shared" si="30"/>
        <v>7049000</v>
      </c>
      <c r="AM18" s="84"/>
      <c r="AN18" s="86"/>
      <c r="AO18" s="83">
        <f>'Федеральные  средства  по  МО'!K19</f>
        <v>0</v>
      </c>
      <c r="AP18" s="85">
        <f t="shared" si="31"/>
        <v>0</v>
      </c>
      <c r="AQ18" s="84"/>
      <c r="AR18" s="83"/>
      <c r="AS18" s="84">
        <f>'Федеральные  средства  по  МО'!P19</f>
        <v>0</v>
      </c>
      <c r="AT18" s="83">
        <f>'Проверочная  таблица'!CP14</f>
        <v>0</v>
      </c>
      <c r="AU18" s="63"/>
      <c r="AV18" s="64"/>
      <c r="AW18" s="86">
        <f>'Федеральные  средства  по  МО'!Q19</f>
        <v>0</v>
      </c>
      <c r="AX18" s="83">
        <f>'Проверочная  таблица'!CW14</f>
        <v>0</v>
      </c>
      <c r="AY18" s="62"/>
      <c r="AZ18" s="63"/>
      <c r="BA18" s="86">
        <f>'Федеральные  средства  по  МО'!R19</f>
        <v>0</v>
      </c>
      <c r="BB18" s="83">
        <f>'Проверочная  таблица'!CR14</f>
        <v>0</v>
      </c>
      <c r="BC18" s="84"/>
      <c r="BD18" s="83">
        <f>'Проверочная  таблица'!DD14</f>
        <v>0</v>
      </c>
      <c r="BE18" s="84">
        <f>'Федеральные  средства  по  МО'!S19</f>
        <v>0</v>
      </c>
      <c r="BF18" s="83">
        <f>'Проверочная  таблица'!CY14</f>
        <v>0</v>
      </c>
      <c r="BG18" s="63"/>
      <c r="BH18" s="83">
        <f>'Проверочная  таблица'!DG14</f>
        <v>0</v>
      </c>
      <c r="BI18" s="84">
        <f>'Федеральные  средства  по  МО'!T19</f>
        <v>0</v>
      </c>
      <c r="BJ18" s="83">
        <f t="shared" si="32"/>
        <v>0</v>
      </c>
      <c r="BK18" s="84"/>
      <c r="BL18" s="83"/>
      <c r="BM18" s="85">
        <f>'Федеральные  средства  по  МО'!U19</f>
        <v>0</v>
      </c>
      <c r="BN18" s="83">
        <f t="shared" si="33"/>
        <v>0</v>
      </c>
      <c r="BO18" s="62"/>
      <c r="BP18" s="62"/>
      <c r="BQ18" s="83">
        <f>'Федеральные  средства  по  МО'!V19</f>
        <v>0</v>
      </c>
      <c r="BR18" s="62">
        <f t="shared" si="4"/>
        <v>0</v>
      </c>
      <c r="BS18" s="65"/>
      <c r="BT18" s="63"/>
      <c r="BU18" s="83">
        <f>'Федеральные  средства  по  МО'!W19</f>
        <v>0</v>
      </c>
      <c r="BV18" s="62">
        <f t="shared" si="5"/>
        <v>0</v>
      </c>
      <c r="BW18" s="65"/>
      <c r="BX18" s="63"/>
      <c r="BY18" s="83">
        <f>'Федеральные  средства  по  МО'!X19</f>
        <v>0</v>
      </c>
      <c r="BZ18" s="62">
        <f t="shared" si="6"/>
        <v>0</v>
      </c>
      <c r="CA18" s="65"/>
      <c r="CB18" s="63"/>
      <c r="CC18" s="83">
        <f>'Федеральные  средства  по  МО'!Y19</f>
        <v>0</v>
      </c>
      <c r="CD18" s="62">
        <f t="shared" si="7"/>
        <v>0</v>
      </c>
      <c r="CE18" s="65"/>
      <c r="CF18" s="63"/>
      <c r="CG18" s="83">
        <f>'Федеральные  средства  по  МО'!Z19</f>
        <v>0</v>
      </c>
      <c r="CH18" s="62">
        <f t="shared" si="8"/>
        <v>0</v>
      </c>
      <c r="CI18" s="63"/>
      <c r="CJ18" s="64"/>
      <c r="CK18" s="83">
        <f>'Федеральные  средства  по  МО'!AA19</f>
        <v>0</v>
      </c>
      <c r="CL18" s="62">
        <f t="shared" si="9"/>
        <v>0</v>
      </c>
      <c r="CM18" s="65"/>
      <c r="CN18" s="62"/>
      <c r="CO18" s="86">
        <f>'Федеральные  средства  по  МО'!AB19</f>
        <v>0</v>
      </c>
      <c r="CP18" s="83">
        <f t="shared" si="34"/>
        <v>0</v>
      </c>
      <c r="CQ18" s="84"/>
      <c r="CR18" s="83"/>
      <c r="CS18" s="84">
        <f>'Федеральные  средства  по  МО'!AC19</f>
        <v>0</v>
      </c>
      <c r="CT18" s="83">
        <f t="shared" si="35"/>
        <v>0</v>
      </c>
      <c r="CU18" s="84"/>
      <c r="CV18" s="83"/>
      <c r="CW18" s="86">
        <f>'Федеральные  средства  по  МО'!AD19</f>
        <v>1497946.03</v>
      </c>
      <c r="CX18" s="86">
        <f>'Проверочная  таблица'!EV14</f>
        <v>1497946.03</v>
      </c>
      <c r="CY18" s="83">
        <f t="shared" si="36"/>
        <v>0</v>
      </c>
      <c r="CZ18" s="85"/>
      <c r="DA18" s="84">
        <f>'Федеральные  средства  по  МО'!AE19</f>
        <v>0</v>
      </c>
      <c r="DB18" s="86">
        <f>'Проверочная  таблица'!EY14</f>
        <v>0</v>
      </c>
      <c r="DC18" s="83">
        <f t="shared" si="37"/>
        <v>0</v>
      </c>
      <c r="DD18" s="84"/>
      <c r="DE18" s="83">
        <f>'Федеральные  средства  по  МО'!AF19</f>
        <v>0</v>
      </c>
      <c r="DF18" s="85">
        <f t="shared" si="38"/>
        <v>0</v>
      </c>
      <c r="DG18" s="84"/>
      <c r="DH18" s="86"/>
      <c r="DI18" s="83">
        <f>'Федеральные  средства  по  МО'!AG19</f>
        <v>0</v>
      </c>
      <c r="DJ18" s="85">
        <f t="shared" si="39"/>
        <v>0</v>
      </c>
      <c r="DK18" s="84"/>
      <c r="DL18" s="86"/>
      <c r="DM18" s="83">
        <f>'Федеральные  средства  по  МО'!AH19</f>
        <v>0</v>
      </c>
      <c r="DN18" s="85">
        <f t="shared" si="40"/>
        <v>0</v>
      </c>
      <c r="DO18" s="84"/>
      <c r="DP18" s="86"/>
      <c r="DQ18" s="83">
        <f>'Федеральные  средства  по  МО'!AI19</f>
        <v>0</v>
      </c>
      <c r="DR18" s="85">
        <f t="shared" si="41"/>
        <v>0</v>
      </c>
      <c r="DS18" s="84"/>
      <c r="DT18" s="83"/>
      <c r="DU18" s="86">
        <f>'Федеральные  средства  по  МО'!AJ19</f>
        <v>0</v>
      </c>
      <c r="DV18" s="83">
        <f t="shared" si="42"/>
        <v>0</v>
      </c>
      <c r="DW18" s="84"/>
      <c r="DX18" s="83"/>
      <c r="DY18" s="84">
        <f>'Федеральные  средства  по  МО'!AK19</f>
        <v>0</v>
      </c>
      <c r="DZ18" s="83">
        <f t="shared" si="43"/>
        <v>0</v>
      </c>
      <c r="EA18" s="84"/>
      <c r="EB18" s="86"/>
      <c r="EC18" s="83">
        <f>'Федеральные  средства  по  МО'!AL19</f>
        <v>0</v>
      </c>
      <c r="ED18" s="84">
        <f t="shared" si="10"/>
        <v>0</v>
      </c>
      <c r="EE18" s="83"/>
      <c r="EF18" s="84"/>
      <c r="EG18" s="83">
        <f>'Федеральные  средства  по  МО'!AM19</f>
        <v>0</v>
      </c>
      <c r="EH18" s="84">
        <f t="shared" si="11"/>
        <v>0</v>
      </c>
      <c r="EI18" s="83"/>
      <c r="EJ18" s="84"/>
      <c r="EK18" s="86">
        <f>'Федеральные  средства  по  МО'!AN19</f>
        <v>0</v>
      </c>
      <c r="EL18" s="83"/>
      <c r="EM18" s="84"/>
      <c r="EN18" s="83">
        <f t="shared" si="44"/>
        <v>0</v>
      </c>
      <c r="EO18" s="84">
        <f>'Федеральные  средства  по  МО'!AO19</f>
        <v>0</v>
      </c>
      <c r="EP18" s="83"/>
      <c r="EQ18" s="84"/>
      <c r="ER18" s="86">
        <f t="shared" si="45"/>
        <v>0</v>
      </c>
      <c r="ES18" s="455">
        <f>'Федеральные  средства  по  МО'!AP19</f>
        <v>0</v>
      </c>
      <c r="ET18" s="456">
        <f>'Проверочная  таблица'!IJ14</f>
        <v>0</v>
      </c>
      <c r="EU18" s="1159">
        <f>'Проверочная  таблица'!IT14</f>
        <v>0</v>
      </c>
      <c r="EV18" s="456">
        <f>'Проверочная  таблица'!IV14</f>
        <v>0</v>
      </c>
      <c r="EW18" s="1159">
        <f>'Федеральные  средства  по  МО'!AQ19</f>
        <v>0</v>
      </c>
      <c r="EX18" s="456">
        <f>'Проверочная  таблица'!IM14</f>
        <v>0</v>
      </c>
      <c r="EY18" s="1159">
        <f>'Проверочная  таблица'!IU14</f>
        <v>0</v>
      </c>
      <c r="EZ18" s="456">
        <f>'Проверочная  таблица'!IS20</f>
        <v>0</v>
      </c>
      <c r="FA18" s="85">
        <f>'Федеральные  средства  по  МО'!AR19</f>
        <v>0</v>
      </c>
      <c r="FB18" s="85"/>
      <c r="FC18" s="84"/>
      <c r="FD18" s="86"/>
      <c r="FE18" s="83">
        <f>'Федеральные  средства  по  МО'!AS19</f>
        <v>0</v>
      </c>
      <c r="FF18" s="85"/>
      <c r="FG18" s="84"/>
      <c r="FH18" s="83"/>
      <c r="FI18" s="85">
        <f>'Федеральные  средства  по  МО'!AT19</f>
        <v>0</v>
      </c>
      <c r="FJ18" s="62"/>
      <c r="FK18" s="63"/>
      <c r="FL18" s="64"/>
      <c r="FM18" s="83">
        <f>'Федеральные  средства  по  МО'!AU19</f>
        <v>0</v>
      </c>
      <c r="FN18" s="63"/>
      <c r="FO18" s="65"/>
      <c r="FP18" s="63"/>
      <c r="FQ18" s="86">
        <f>'Федеральные  средства  по  МО'!AV19</f>
        <v>0</v>
      </c>
      <c r="FR18" s="86">
        <f>'Проверочная  таблица'!JL14</f>
        <v>0</v>
      </c>
      <c r="FS18" s="83">
        <f>'Проверочная  таблица'!JX14</f>
        <v>-90665.96</v>
      </c>
      <c r="FT18" s="83">
        <f>'Проверочная  таблица'!KD14</f>
        <v>90665.96</v>
      </c>
      <c r="FU18" s="84">
        <f>'Федеральные  средства  по  МО'!AW19</f>
        <v>0</v>
      </c>
      <c r="FV18" s="83">
        <f>'Проверочная  таблица'!JO14</f>
        <v>0</v>
      </c>
      <c r="FW18" s="84">
        <f>'Проверочная  таблица'!KA14</f>
        <v>0</v>
      </c>
      <c r="FX18" s="83">
        <f>'Проверочная  таблица'!KG14</f>
        <v>0</v>
      </c>
      <c r="FY18" s="86">
        <f>'Федеральные  средства  по  МО'!AX19</f>
        <v>327695.53000000003</v>
      </c>
      <c r="FZ18" s="83"/>
      <c r="GA18" s="84">
        <f t="shared" si="46"/>
        <v>327695.53000000003</v>
      </c>
      <c r="GB18" s="83"/>
      <c r="GC18" s="83">
        <f>'Федеральные  средства  по  МО'!AY19</f>
        <v>0</v>
      </c>
      <c r="GD18" s="84"/>
      <c r="GE18" s="83">
        <f t="shared" si="47"/>
        <v>0</v>
      </c>
      <c r="GF18" s="84"/>
      <c r="GG18" s="83">
        <f>'Федеральные  средства  по  МО'!AZ19</f>
        <v>54887.65</v>
      </c>
      <c r="GH18" s="85">
        <f t="shared" si="48"/>
        <v>54887.65</v>
      </c>
      <c r="GI18" s="84"/>
      <c r="GJ18" s="86"/>
      <c r="GK18" s="83">
        <f>'Федеральные  средства  по  МО'!BA19</f>
        <v>0</v>
      </c>
      <c r="GL18" s="85">
        <f t="shared" si="49"/>
        <v>0</v>
      </c>
      <c r="GM18" s="84"/>
      <c r="GN18" s="83"/>
      <c r="GO18" s="85">
        <f>'Федеральные  средства  по  МО'!BB19</f>
        <v>0</v>
      </c>
      <c r="GP18" s="63"/>
      <c r="GQ18" s="86">
        <f>'Проверочная  таблица'!MG14</f>
        <v>0</v>
      </c>
      <c r="GR18" s="83">
        <f>'Проверочная  таблица'!MO14</f>
        <v>0</v>
      </c>
      <c r="GS18" s="84">
        <f>'Федеральные  средства  по  МО'!BC19</f>
        <v>0</v>
      </c>
      <c r="GT18" s="86"/>
      <c r="GU18" s="83">
        <f>'Проверочная  таблица'!MK14</f>
        <v>0</v>
      </c>
      <c r="GV18" s="85">
        <f>'Проверочная  таблица'!MS14</f>
        <v>0</v>
      </c>
      <c r="GW18" s="84">
        <f>'Федеральные  средства  по  МО'!BD19</f>
        <v>0</v>
      </c>
      <c r="GX18" s="83">
        <f t="shared" si="50"/>
        <v>0</v>
      </c>
      <c r="GY18" s="84"/>
      <c r="GZ18" s="86"/>
      <c r="HA18" s="83">
        <f>'Федеральные  средства  по  МО'!BE19</f>
        <v>0</v>
      </c>
      <c r="HB18" s="83">
        <f t="shared" si="51"/>
        <v>0</v>
      </c>
      <c r="HC18" s="85"/>
      <c r="HD18" s="63"/>
      <c r="HE18" s="83">
        <f>'Федеральные  средства  по  МО'!BF19</f>
        <v>0</v>
      </c>
      <c r="HF18" s="86">
        <f t="shared" si="52"/>
        <v>0</v>
      </c>
      <c r="HG18" s="83"/>
      <c r="HH18" s="85"/>
      <c r="HI18" s="85">
        <f>'Федеральные  средства  по  МО'!BG19</f>
        <v>0</v>
      </c>
      <c r="HJ18" s="86">
        <f t="shared" si="12"/>
        <v>0</v>
      </c>
      <c r="HK18" s="83"/>
      <c r="HL18" s="85"/>
      <c r="HM18" s="86">
        <f>'Федеральные  средства  по  МО'!BH19</f>
        <v>90665.96</v>
      </c>
      <c r="HN18" s="86">
        <f t="shared" si="53"/>
        <v>90665.96</v>
      </c>
      <c r="HO18" s="83"/>
      <c r="HP18" s="85">
        <f>'Проверочная  таблица'!NX14</f>
        <v>0</v>
      </c>
      <c r="HQ18" s="85">
        <f>'Федеральные  средства  по  МО'!BI19</f>
        <v>90665.96</v>
      </c>
      <c r="HR18" s="86">
        <f t="shared" si="54"/>
        <v>90665.96</v>
      </c>
      <c r="HS18" s="64"/>
      <c r="HT18" s="83">
        <f>'Проверочная  таблица'!OA14</f>
        <v>0</v>
      </c>
      <c r="HU18" s="85">
        <f>'Федеральные  средства  по  МО'!BJ19</f>
        <v>0</v>
      </c>
      <c r="HV18" s="62">
        <f t="shared" si="55"/>
        <v>0</v>
      </c>
      <c r="HW18" s="63"/>
      <c r="HX18" s="64"/>
      <c r="HY18" s="83">
        <f>'Федеральные  средства  по  МО'!BK19</f>
        <v>0</v>
      </c>
      <c r="HZ18" s="62">
        <f t="shared" si="13"/>
        <v>0</v>
      </c>
      <c r="IA18" s="63"/>
      <c r="IB18" s="65"/>
      <c r="IC18" s="86">
        <f>'Федеральные  средства  по  МО'!BL19</f>
        <v>0</v>
      </c>
      <c r="ID18" s="86"/>
      <c r="IE18" s="83"/>
      <c r="IF18" s="85">
        <f>'Проверочная  таблица'!PJ14</f>
        <v>0</v>
      </c>
      <c r="IG18" s="84">
        <f>'Федеральные  средства  по  МО'!BM19</f>
        <v>0</v>
      </c>
      <c r="IH18" s="86"/>
      <c r="II18" s="83"/>
      <c r="IJ18" s="85">
        <f>'Проверочная  таблица'!PN14</f>
        <v>0</v>
      </c>
      <c r="IK18" s="86">
        <f>'Федеральные  средства  по  МО'!BN19</f>
        <v>0</v>
      </c>
      <c r="IL18" s="86">
        <f>'Проверочная  таблица'!PR14</f>
        <v>0</v>
      </c>
      <c r="IM18" s="83">
        <f t="shared" si="56"/>
        <v>0</v>
      </c>
      <c r="IN18" s="85"/>
      <c r="IO18" s="84">
        <f>'Федеральные  средства  по  МО'!BO19</f>
        <v>0</v>
      </c>
      <c r="IP18" s="86">
        <f>'Проверочная  таблица'!PW14</f>
        <v>0</v>
      </c>
      <c r="IQ18" s="83">
        <f t="shared" si="57"/>
        <v>0</v>
      </c>
      <c r="IR18" s="85"/>
      <c r="IS18" s="86">
        <f>'Федеральные  средства  по  МО'!BR19</f>
        <v>0</v>
      </c>
      <c r="IT18" s="83">
        <f t="shared" si="58"/>
        <v>0</v>
      </c>
      <c r="IU18" s="84"/>
      <c r="IV18" s="83"/>
      <c r="IW18" s="85">
        <f>'Федеральные  средства  по  МО'!BS19</f>
        <v>0</v>
      </c>
      <c r="IX18" s="85">
        <f t="shared" si="59"/>
        <v>0</v>
      </c>
      <c r="IY18" s="85"/>
      <c r="IZ18" s="83"/>
      <c r="JA18" s="86">
        <f>'Федеральные  средства  по  МО'!BT19</f>
        <v>0</v>
      </c>
      <c r="JB18" s="83">
        <f>'Проверочная  таблица'!RF14</f>
        <v>0</v>
      </c>
      <c r="JC18" s="84">
        <f>'Проверочная  таблица'!RL14</f>
        <v>0</v>
      </c>
      <c r="JD18" s="83">
        <f>'Проверочная  таблица'!RR14</f>
        <v>0</v>
      </c>
      <c r="JE18" s="84">
        <f>'Федеральные  средства  по  МО'!BU19</f>
        <v>0</v>
      </c>
      <c r="JF18" s="83">
        <f>'Проверочная  таблица'!RC14</f>
        <v>0</v>
      </c>
      <c r="JG18" s="84">
        <f>'Проверочная  таблица'!RO14</f>
        <v>0</v>
      </c>
      <c r="JH18" s="86">
        <f>'Проверочная  таблица'!RU14</f>
        <v>0</v>
      </c>
      <c r="JI18" s="83">
        <f>'Федеральные  средства  по  МО'!BV19</f>
        <v>0</v>
      </c>
      <c r="JJ18" s="83">
        <f t="shared" si="60"/>
        <v>0</v>
      </c>
      <c r="JK18" s="84"/>
      <c r="JL18" s="83"/>
      <c r="JM18" s="85">
        <f>'Федеральные  средства  по  МО'!BW19</f>
        <v>0</v>
      </c>
      <c r="JN18" s="85">
        <f t="shared" si="61"/>
        <v>0</v>
      </c>
      <c r="JO18" s="84"/>
      <c r="JP18" s="86"/>
      <c r="JQ18" s="86">
        <f>'Федеральные  средства  по  МО'!BX19</f>
        <v>0</v>
      </c>
      <c r="JR18" s="83">
        <f t="shared" si="62"/>
        <v>0</v>
      </c>
      <c r="JS18" s="84"/>
      <c r="JT18" s="83"/>
      <c r="JU18" s="85">
        <f>'Федеральные  средства  по  МО'!BY19</f>
        <v>0</v>
      </c>
      <c r="JV18" s="83">
        <f t="shared" si="63"/>
        <v>0</v>
      </c>
      <c r="JW18" s="84"/>
      <c r="JX18" s="83"/>
      <c r="JY18" s="86">
        <f>'Федеральные  средства  по  МО'!BZ19</f>
        <v>0</v>
      </c>
      <c r="JZ18" s="83">
        <f t="shared" si="64"/>
        <v>0</v>
      </c>
      <c r="KA18" s="84"/>
      <c r="KB18" s="83"/>
      <c r="KC18" s="84">
        <f>'Федеральные  средства  по  МО'!CA19</f>
        <v>0</v>
      </c>
      <c r="KD18" s="83">
        <f t="shared" si="65"/>
        <v>0</v>
      </c>
      <c r="KE18" s="84"/>
      <c r="KF18" s="83"/>
      <c r="KG18" s="84">
        <f>'Федеральные  средства  по  МО'!CB19</f>
        <v>0</v>
      </c>
      <c r="KH18" s="86">
        <f>'Проверочная  таблица'!SR14</f>
        <v>0</v>
      </c>
      <c r="KI18" s="83">
        <f>'Проверочная  таблица'!TT14</f>
        <v>0</v>
      </c>
      <c r="KJ18" s="84">
        <f>'Проверочная  таблица'!UH14</f>
        <v>0</v>
      </c>
      <c r="KK18" s="83">
        <f>'Федеральные  средства  по  МО'!CC19</f>
        <v>0</v>
      </c>
      <c r="KL18" s="84">
        <f>'Проверочная  таблица'!SY14</f>
        <v>0</v>
      </c>
      <c r="KM18" s="83">
        <f>'Проверочная  таблица'!UA14</f>
        <v>0</v>
      </c>
      <c r="KN18" s="85">
        <f>'Проверочная  таблица'!UO14</f>
        <v>0</v>
      </c>
      <c r="KO18" s="84">
        <f>'Федеральные  средства  по  МО'!CD19</f>
        <v>0</v>
      </c>
      <c r="KP18" s="83">
        <f>'Проверочная  таблица'!ST14</f>
        <v>0</v>
      </c>
      <c r="KQ18" s="84">
        <f t="shared" si="66"/>
        <v>0</v>
      </c>
      <c r="KR18" s="83"/>
      <c r="KS18" s="84">
        <f>'Федеральные  средства  по  МО'!CE19</f>
        <v>0</v>
      </c>
      <c r="KT18" s="83">
        <f>'Проверочная  таблица'!TA14</f>
        <v>0</v>
      </c>
      <c r="KU18" s="84">
        <f t="shared" si="67"/>
        <v>0</v>
      </c>
      <c r="KV18" s="86"/>
      <c r="KW18" s="86">
        <f>'Федеральные  средства  по  МО'!CF19</f>
        <v>202175900</v>
      </c>
      <c r="KX18" s="86">
        <f>'Проверочная  таблица'!SV14</f>
        <v>202175900</v>
      </c>
      <c r="KY18" s="83">
        <f>'Проверочная  таблица'!TX14</f>
        <v>0</v>
      </c>
      <c r="KZ18" s="85"/>
      <c r="LA18" s="84">
        <f>'Федеральные  средства  по  МО'!CG19</f>
        <v>71920577.959999993</v>
      </c>
      <c r="LB18" s="86">
        <f>'Проверочная  таблица'!TC14</f>
        <v>71920577.959999993</v>
      </c>
      <c r="LC18" s="83">
        <f>'Проверочная  таблица'!TQ14</f>
        <v>0</v>
      </c>
      <c r="LD18" s="83"/>
    </row>
    <row r="19" spans="1:316" ht="25.5" customHeight="1" x14ac:dyDescent="0.25">
      <c r="A19" s="68" t="s">
        <v>326</v>
      </c>
      <c r="B19" s="69">
        <f t="shared" si="14"/>
        <v>13786157.799999999</v>
      </c>
      <c r="C19" s="70">
        <f t="shared" si="15"/>
        <v>128818.66000000015</v>
      </c>
      <c r="D19" s="70">
        <f t="shared" si="16"/>
        <v>13593317.689999999</v>
      </c>
      <c r="E19" s="70">
        <f t="shared" si="17"/>
        <v>64021.45</v>
      </c>
      <c r="F19" s="69">
        <f t="shared" si="18"/>
        <v>6567682.1900000004</v>
      </c>
      <c r="G19" s="70">
        <f t="shared" si="19"/>
        <v>64021.45</v>
      </c>
      <c r="H19" s="70">
        <f t="shared" si="1"/>
        <v>6503660.7400000002</v>
      </c>
      <c r="I19" s="70">
        <f t="shared" si="2"/>
        <v>0</v>
      </c>
      <c r="J19" s="52"/>
      <c r="K19" s="53">
        <f>M19-'Федеральные  средства  по  МО'!N20-'Федеральные  средства  по  МО'!D20</f>
        <v>0</v>
      </c>
      <c r="L19" s="53">
        <f>Q19-'Федеральные  средства  по  МО'!O20-'Федеральные  средства  по  МО'!E20</f>
        <v>0</v>
      </c>
      <c r="M19" s="1180">
        <f t="shared" si="20"/>
        <v>40282936.960000001</v>
      </c>
      <c r="N19" s="70">
        <f t="shared" si="21"/>
        <v>19237118.66</v>
      </c>
      <c r="O19" s="70">
        <f t="shared" si="22"/>
        <v>13593317.689999999</v>
      </c>
      <c r="P19" s="70">
        <f t="shared" si="23"/>
        <v>64021.45</v>
      </c>
      <c r="Q19" s="1180">
        <f t="shared" si="24"/>
        <v>6567682.1900000004</v>
      </c>
      <c r="R19" s="70">
        <f t="shared" si="25"/>
        <v>64021.45</v>
      </c>
      <c r="S19" s="70">
        <f t="shared" si="26"/>
        <v>6503660.7400000002</v>
      </c>
      <c r="T19" s="70">
        <f t="shared" si="27"/>
        <v>0</v>
      </c>
      <c r="U19" s="71">
        <f>'Федеральные  средства  по  МО'!F20</f>
        <v>0</v>
      </c>
      <c r="V19" s="67">
        <f>'Проверочная  таблица'!BL22</f>
        <v>0</v>
      </c>
      <c r="W19" s="72">
        <f>'Проверочная  таблица'!BP22</f>
        <v>0</v>
      </c>
      <c r="X19" s="67">
        <f>'Проверочная  таблица'!BR22</f>
        <v>0</v>
      </c>
      <c r="Y19" s="71">
        <f>'Федеральные  средства  по  МО'!G20</f>
        <v>0</v>
      </c>
      <c r="Z19" s="67">
        <f>'Проверочная  таблица'!BM22</f>
        <v>0</v>
      </c>
      <c r="AA19" s="72">
        <f>'Проверочная  таблица'!BQ22</f>
        <v>0</v>
      </c>
      <c r="AB19" s="67">
        <f>'Проверочная  таблица'!BS22</f>
        <v>0</v>
      </c>
      <c r="AC19" s="1139">
        <f>'Федеральные  средства  по  МО'!H20</f>
        <v>19108300</v>
      </c>
      <c r="AD19" s="73">
        <f t="shared" si="28"/>
        <v>19108300</v>
      </c>
      <c r="AE19" s="67"/>
      <c r="AF19" s="74"/>
      <c r="AG19" s="1139">
        <f>'Федеральные  средства  по  МО'!I20</f>
        <v>0</v>
      </c>
      <c r="AH19" s="73">
        <f t="shared" si="29"/>
        <v>0</v>
      </c>
      <c r="AI19" s="67"/>
      <c r="AJ19" s="72"/>
      <c r="AK19" s="71">
        <f>'Федеральные  средства  по  МО'!J20</f>
        <v>0</v>
      </c>
      <c r="AL19" s="73">
        <f t="shared" si="30"/>
        <v>0</v>
      </c>
      <c r="AM19" s="67"/>
      <c r="AN19" s="74"/>
      <c r="AO19" s="71">
        <f>'Федеральные  средства  по  МО'!K20</f>
        <v>0</v>
      </c>
      <c r="AP19" s="73">
        <f t="shared" si="31"/>
        <v>0</v>
      </c>
      <c r="AQ19" s="67"/>
      <c r="AR19" s="72"/>
      <c r="AS19" s="75">
        <f>'Федеральные  средства  по  МО'!P20</f>
        <v>0</v>
      </c>
      <c r="AT19" s="72">
        <f>'Проверочная  таблица'!CP22</f>
        <v>0</v>
      </c>
      <c r="AU19" s="67"/>
      <c r="AV19" s="74"/>
      <c r="AW19" s="76">
        <f>'Федеральные  средства  по  МО'!Q20</f>
        <v>0</v>
      </c>
      <c r="AX19" s="72">
        <f>'Проверочная  таблица'!CW22</f>
        <v>0</v>
      </c>
      <c r="AY19" s="73"/>
      <c r="AZ19" s="67"/>
      <c r="BA19" s="76">
        <f>'Федеральные  средства  по  МО'!R20</f>
        <v>0</v>
      </c>
      <c r="BB19" s="72">
        <f>'Проверочная  таблица'!CR22</f>
        <v>0</v>
      </c>
      <c r="BC19" s="67"/>
      <c r="BD19" s="72">
        <f>'Проверочная  таблица'!DD22</f>
        <v>0</v>
      </c>
      <c r="BE19" s="75">
        <f>'Федеральные  средства  по  МО'!S20</f>
        <v>0</v>
      </c>
      <c r="BF19" s="72">
        <f>'Проверочная  таблица'!CY22</f>
        <v>0</v>
      </c>
      <c r="BG19" s="67"/>
      <c r="BH19" s="72">
        <f>'Проверочная  таблица'!DG22</f>
        <v>0</v>
      </c>
      <c r="BI19" s="75">
        <f>'Федеральные  средства  по  МО'!T20</f>
        <v>0</v>
      </c>
      <c r="BJ19" s="72">
        <f t="shared" si="32"/>
        <v>0</v>
      </c>
      <c r="BK19" s="67"/>
      <c r="BL19" s="72"/>
      <c r="BM19" s="77">
        <f>'Федеральные  средства  по  МО'!U20</f>
        <v>0</v>
      </c>
      <c r="BN19" s="72">
        <f t="shared" si="33"/>
        <v>0</v>
      </c>
      <c r="BO19" s="73"/>
      <c r="BP19" s="73"/>
      <c r="BQ19" s="71">
        <f>'Федеральные  средства  по  МО'!V20</f>
        <v>0</v>
      </c>
      <c r="BR19" s="73">
        <f t="shared" si="4"/>
        <v>0</v>
      </c>
      <c r="BS19" s="72"/>
      <c r="BT19" s="67"/>
      <c r="BU19" s="71">
        <f>'Федеральные  средства  по  МО'!W20</f>
        <v>0</v>
      </c>
      <c r="BV19" s="73">
        <f t="shared" si="5"/>
        <v>0</v>
      </c>
      <c r="BW19" s="72"/>
      <c r="BX19" s="67"/>
      <c r="BY19" s="71">
        <f>'Федеральные  средства  по  МО'!X20</f>
        <v>0</v>
      </c>
      <c r="BZ19" s="73">
        <f t="shared" si="6"/>
        <v>0</v>
      </c>
      <c r="CA19" s="72"/>
      <c r="CB19" s="67"/>
      <c r="CC19" s="71">
        <f>'Федеральные  средства  по  МО'!Y20</f>
        <v>0</v>
      </c>
      <c r="CD19" s="73">
        <f t="shared" si="7"/>
        <v>0</v>
      </c>
      <c r="CE19" s="72"/>
      <c r="CF19" s="67"/>
      <c r="CG19" s="71">
        <f>'Федеральные  средства  по  МО'!Z20</f>
        <v>0</v>
      </c>
      <c r="CH19" s="73">
        <f t="shared" si="8"/>
        <v>0</v>
      </c>
      <c r="CI19" s="67"/>
      <c r="CJ19" s="74"/>
      <c r="CK19" s="71">
        <f>'Федеральные  средства  по  МО'!AA20</f>
        <v>0</v>
      </c>
      <c r="CL19" s="73">
        <f t="shared" si="9"/>
        <v>0</v>
      </c>
      <c r="CM19" s="72"/>
      <c r="CN19" s="73"/>
      <c r="CO19" s="76">
        <f>'Федеральные  средства  по  МО'!AB20</f>
        <v>0</v>
      </c>
      <c r="CP19" s="72">
        <f t="shared" si="34"/>
        <v>0</v>
      </c>
      <c r="CQ19" s="67"/>
      <c r="CR19" s="72"/>
      <c r="CS19" s="75">
        <f>'Федеральные  средства  по  МО'!AC20</f>
        <v>0</v>
      </c>
      <c r="CT19" s="72">
        <f t="shared" si="35"/>
        <v>0</v>
      </c>
      <c r="CU19" s="67"/>
      <c r="CV19" s="72"/>
      <c r="CW19" s="76">
        <f>'Федеральные  средства  по  МО'!AD20</f>
        <v>0</v>
      </c>
      <c r="CX19" s="74">
        <f>'Проверочная  таблица'!EV22</f>
        <v>0</v>
      </c>
      <c r="CY19" s="72">
        <f t="shared" si="36"/>
        <v>0</v>
      </c>
      <c r="CZ19" s="73"/>
      <c r="DA19" s="75">
        <f>'Федеральные  средства  по  МО'!AE20</f>
        <v>0</v>
      </c>
      <c r="DB19" s="74">
        <f>'Проверочная  таблица'!EY22</f>
        <v>0</v>
      </c>
      <c r="DC19" s="72">
        <f t="shared" si="37"/>
        <v>0</v>
      </c>
      <c r="DD19" s="67"/>
      <c r="DE19" s="71">
        <f>'Федеральные  средства  по  МО'!AF20</f>
        <v>0</v>
      </c>
      <c r="DF19" s="73">
        <f t="shared" si="38"/>
        <v>0</v>
      </c>
      <c r="DG19" s="67"/>
      <c r="DH19" s="74"/>
      <c r="DI19" s="71">
        <f>'Федеральные  средства  по  МО'!AG20</f>
        <v>0</v>
      </c>
      <c r="DJ19" s="73">
        <f t="shared" si="39"/>
        <v>0</v>
      </c>
      <c r="DK19" s="67"/>
      <c r="DL19" s="74"/>
      <c r="DM19" s="71">
        <f>'Федеральные  средства  по  МО'!AH20</f>
        <v>0</v>
      </c>
      <c r="DN19" s="73">
        <f t="shared" si="40"/>
        <v>0</v>
      </c>
      <c r="DO19" s="67"/>
      <c r="DP19" s="74"/>
      <c r="DQ19" s="71">
        <f>'Федеральные  средства  по  МО'!AI20</f>
        <v>0</v>
      </c>
      <c r="DR19" s="73">
        <f t="shared" si="41"/>
        <v>0</v>
      </c>
      <c r="DS19" s="67"/>
      <c r="DT19" s="72"/>
      <c r="DU19" s="76">
        <f>'Федеральные  средства  по  МО'!AJ20</f>
        <v>0</v>
      </c>
      <c r="DV19" s="72">
        <f t="shared" si="42"/>
        <v>0</v>
      </c>
      <c r="DW19" s="67"/>
      <c r="DX19" s="72"/>
      <c r="DY19" s="75">
        <f>'Федеральные  средства  по  МО'!AK20</f>
        <v>0</v>
      </c>
      <c r="DZ19" s="72">
        <f t="shared" si="43"/>
        <v>0</v>
      </c>
      <c r="EA19" s="67"/>
      <c r="EB19" s="74"/>
      <c r="EC19" s="71">
        <f>'Федеральные  средства  по  МО'!AL20</f>
        <v>0</v>
      </c>
      <c r="ED19" s="67">
        <f t="shared" si="10"/>
        <v>0</v>
      </c>
      <c r="EE19" s="72"/>
      <c r="EF19" s="67"/>
      <c r="EG19" s="71">
        <f>'Федеральные  средства  по  МО'!AM20</f>
        <v>0</v>
      </c>
      <c r="EH19" s="67">
        <f t="shared" si="11"/>
        <v>0</v>
      </c>
      <c r="EI19" s="72"/>
      <c r="EJ19" s="67"/>
      <c r="EK19" s="76">
        <f>'Федеральные  средства  по  МО'!AN20</f>
        <v>0</v>
      </c>
      <c r="EL19" s="72"/>
      <c r="EM19" s="67"/>
      <c r="EN19" s="72">
        <f t="shared" si="44"/>
        <v>0</v>
      </c>
      <c r="EO19" s="75">
        <f>'Федеральные  средства  по  МО'!AO20</f>
        <v>0</v>
      </c>
      <c r="EP19" s="72"/>
      <c r="EQ19" s="67"/>
      <c r="ER19" s="74">
        <f t="shared" si="45"/>
        <v>0</v>
      </c>
      <c r="ES19" s="1152">
        <f>'Федеральные  средства  по  МО'!AP20</f>
        <v>0</v>
      </c>
      <c r="ET19" s="72">
        <f>'Проверочная  таблица'!IJ22</f>
        <v>0</v>
      </c>
      <c r="EU19" s="67">
        <f>'Проверочная  таблица'!IT22</f>
        <v>0</v>
      </c>
      <c r="EV19" s="72">
        <f>'Проверочная  таблица'!IV22</f>
        <v>0</v>
      </c>
      <c r="EW19" s="1154">
        <f>'Федеральные  средства  по  МО'!AQ20</f>
        <v>0</v>
      </c>
      <c r="EX19" s="72">
        <f>'Проверочная  таблица'!IM22</f>
        <v>0</v>
      </c>
      <c r="EY19" s="67">
        <f>'Проверочная  таблица'!IU22</f>
        <v>0</v>
      </c>
      <c r="EZ19" s="72">
        <f>'Проверочная  таблица'!IS21</f>
        <v>0</v>
      </c>
      <c r="FA19" s="77">
        <f>'Федеральные  средства  по  МО'!AR20</f>
        <v>0</v>
      </c>
      <c r="FB19" s="73"/>
      <c r="FC19" s="67"/>
      <c r="FD19" s="74"/>
      <c r="FE19" s="71">
        <f>'Федеральные  средства  по  МО'!AS20</f>
        <v>0</v>
      </c>
      <c r="FF19" s="73"/>
      <c r="FG19" s="67"/>
      <c r="FH19" s="72"/>
      <c r="FI19" s="77">
        <f>'Федеральные  средства  по  МО'!AT20</f>
        <v>0</v>
      </c>
      <c r="FJ19" s="73"/>
      <c r="FK19" s="67"/>
      <c r="FL19" s="74"/>
      <c r="FM19" s="71">
        <f>'Федеральные  средства  по  МО'!AU20</f>
        <v>0</v>
      </c>
      <c r="FN19" s="67"/>
      <c r="FO19" s="72"/>
      <c r="FP19" s="67"/>
      <c r="FQ19" s="76">
        <f>'Федеральные  средства  по  МО'!AV20</f>
        <v>0</v>
      </c>
      <c r="FR19" s="74">
        <f>'Проверочная  таблица'!JL22</f>
        <v>0</v>
      </c>
      <c r="FS19" s="72">
        <f>'Проверочная  таблица'!JX22</f>
        <v>-64021.45</v>
      </c>
      <c r="FT19" s="72">
        <f>'Проверочная  таблица'!KD22</f>
        <v>64021.45</v>
      </c>
      <c r="FU19" s="75">
        <f>'Федеральные  средства  по  МО'!AW20</f>
        <v>0</v>
      </c>
      <c r="FV19" s="72">
        <f>'Проверочная  таблица'!JO22</f>
        <v>0</v>
      </c>
      <c r="FW19" s="67">
        <f>'Проверочная  таблица'!KA22</f>
        <v>0</v>
      </c>
      <c r="FX19" s="72">
        <f>'Проверочная  таблица'!KG22</f>
        <v>0</v>
      </c>
      <c r="FY19" s="76">
        <f>'Федеральные  средства  по  МО'!AX20</f>
        <v>329453.15999999997</v>
      </c>
      <c r="FZ19" s="72"/>
      <c r="GA19" s="67">
        <f t="shared" si="46"/>
        <v>329453.15999999997</v>
      </c>
      <c r="GB19" s="72"/>
      <c r="GC19" s="71">
        <f>'Федеральные  средства  по  МО'!AY20</f>
        <v>0</v>
      </c>
      <c r="GD19" s="67"/>
      <c r="GE19" s="72">
        <f t="shared" si="47"/>
        <v>0</v>
      </c>
      <c r="GF19" s="67"/>
      <c r="GG19" s="71">
        <f>'Федеральные  средства  по  МО'!AZ20</f>
        <v>64797.21</v>
      </c>
      <c r="GH19" s="73">
        <f t="shared" si="48"/>
        <v>64797.21</v>
      </c>
      <c r="GI19" s="67"/>
      <c r="GJ19" s="74"/>
      <c r="GK19" s="71">
        <f>'Федеральные  средства  по  МО'!BA20</f>
        <v>0</v>
      </c>
      <c r="GL19" s="73">
        <f t="shared" si="49"/>
        <v>0</v>
      </c>
      <c r="GM19" s="67"/>
      <c r="GN19" s="72"/>
      <c r="GO19" s="77">
        <f>'Федеральные  средства  по  МО'!BB20</f>
        <v>0</v>
      </c>
      <c r="GP19" s="67"/>
      <c r="GQ19" s="74">
        <f>'Проверочная  таблица'!MG22</f>
        <v>0</v>
      </c>
      <c r="GR19" s="72">
        <f>'Проверочная  таблица'!MO22</f>
        <v>0</v>
      </c>
      <c r="GS19" s="75">
        <f>'Федеральные  средства  по  МО'!BC20</f>
        <v>0</v>
      </c>
      <c r="GT19" s="74"/>
      <c r="GU19" s="72">
        <f>'Проверочная  таблица'!MK22</f>
        <v>0</v>
      </c>
      <c r="GV19" s="73">
        <f>'Проверочная  таблица'!MS22</f>
        <v>0</v>
      </c>
      <c r="GW19" s="75">
        <f>'Федеральные  средства  по  МО'!BD20</f>
        <v>0</v>
      </c>
      <c r="GX19" s="72">
        <f t="shared" si="50"/>
        <v>0</v>
      </c>
      <c r="GY19" s="67"/>
      <c r="GZ19" s="74"/>
      <c r="HA19" s="71">
        <f>'Федеральные  средства  по  МО'!BE20</f>
        <v>0</v>
      </c>
      <c r="HB19" s="72">
        <f t="shared" si="51"/>
        <v>0</v>
      </c>
      <c r="HC19" s="73"/>
      <c r="HD19" s="67"/>
      <c r="HE19" s="71">
        <f>'Федеральные  средства  по  МО'!BF20</f>
        <v>0</v>
      </c>
      <c r="HF19" s="74">
        <f t="shared" si="52"/>
        <v>0</v>
      </c>
      <c r="HG19" s="72"/>
      <c r="HH19" s="73"/>
      <c r="HI19" s="77">
        <f>'Федеральные  средства  по  МО'!BG20</f>
        <v>0</v>
      </c>
      <c r="HJ19" s="74">
        <f t="shared" si="12"/>
        <v>0</v>
      </c>
      <c r="HK19" s="72"/>
      <c r="HL19" s="73"/>
      <c r="HM19" s="76">
        <f>'Федеральные  средства  по  МО'!BH20</f>
        <v>64021.45</v>
      </c>
      <c r="HN19" s="74">
        <f t="shared" si="53"/>
        <v>64021.45</v>
      </c>
      <c r="HO19" s="72"/>
      <c r="HP19" s="73">
        <f>'Проверочная  таблица'!NX22</f>
        <v>0</v>
      </c>
      <c r="HQ19" s="77">
        <f>'Федеральные  средства  по  МО'!BI20</f>
        <v>64021.45</v>
      </c>
      <c r="HR19" s="74">
        <f t="shared" si="54"/>
        <v>64021.45</v>
      </c>
      <c r="HS19" s="74"/>
      <c r="HT19" s="72">
        <f>'Проверочная  таблица'!OA22</f>
        <v>0</v>
      </c>
      <c r="HU19" s="77">
        <f>'Федеральные  средства  по  МО'!BJ20</f>
        <v>0</v>
      </c>
      <c r="HV19" s="73">
        <f t="shared" si="55"/>
        <v>0</v>
      </c>
      <c r="HW19" s="67"/>
      <c r="HX19" s="74"/>
      <c r="HY19" s="71">
        <f>'Федеральные  средства  по  МО'!BK20</f>
        <v>0</v>
      </c>
      <c r="HZ19" s="73">
        <f t="shared" si="13"/>
        <v>0</v>
      </c>
      <c r="IA19" s="67"/>
      <c r="IB19" s="72"/>
      <c r="IC19" s="76">
        <f>'Федеральные  средства  по  МО'!BL20</f>
        <v>7388479.1600000001</v>
      </c>
      <c r="ID19" s="74"/>
      <c r="IE19" s="72"/>
      <c r="IF19" s="73">
        <f>'Проверочная  таблица'!PJ22</f>
        <v>0</v>
      </c>
      <c r="IG19" s="75">
        <f>'Федеральные  средства  по  МО'!BM20</f>
        <v>0</v>
      </c>
      <c r="IH19" s="74"/>
      <c r="II19" s="72"/>
      <c r="IJ19" s="73">
        <f>'Проверочная  таблица'!PN22</f>
        <v>0</v>
      </c>
      <c r="IK19" s="76">
        <f>'Федеральные  средства  по  МО'!BN20</f>
        <v>1376685.73</v>
      </c>
      <c r="IL19" s="74">
        <f>'Проверочная  таблица'!PR22</f>
        <v>0</v>
      </c>
      <c r="IM19" s="72">
        <f t="shared" si="56"/>
        <v>1376685.73</v>
      </c>
      <c r="IN19" s="73"/>
      <c r="IO19" s="75">
        <f>'Федеральные  средства  по  МО'!BO20</f>
        <v>0</v>
      </c>
      <c r="IP19" s="74">
        <f>'Проверочная  таблица'!PW22</f>
        <v>0</v>
      </c>
      <c r="IQ19" s="72">
        <f t="shared" si="57"/>
        <v>0</v>
      </c>
      <c r="IR19" s="73"/>
      <c r="IS19" s="76">
        <f>'Федеральные  средства  по  МО'!BR20</f>
        <v>0</v>
      </c>
      <c r="IT19" s="72">
        <f t="shared" si="58"/>
        <v>0</v>
      </c>
      <c r="IU19" s="67"/>
      <c r="IV19" s="72"/>
      <c r="IW19" s="77">
        <f>'Федеральные  средства  по  МО'!BS20</f>
        <v>0</v>
      </c>
      <c r="IX19" s="73">
        <f t="shared" si="59"/>
        <v>0</v>
      </c>
      <c r="IY19" s="73"/>
      <c r="IZ19" s="72"/>
      <c r="JA19" s="76">
        <f>'Федеральные  средства  по  МО'!BT20</f>
        <v>0</v>
      </c>
      <c r="JB19" s="72">
        <f>'Проверочная  таблица'!RF22</f>
        <v>0</v>
      </c>
      <c r="JC19" s="67">
        <f>'Проверочная  таблица'!RL22</f>
        <v>0</v>
      </c>
      <c r="JD19" s="72">
        <f>'Проверочная  таблица'!RR22</f>
        <v>0</v>
      </c>
      <c r="JE19" s="75">
        <f>'Федеральные  средства  по  МО'!BU20</f>
        <v>0</v>
      </c>
      <c r="JF19" s="72">
        <f>'Проверочная  таблица'!RC22</f>
        <v>0</v>
      </c>
      <c r="JG19" s="67">
        <f>'Проверочная  таблица'!RO22</f>
        <v>0</v>
      </c>
      <c r="JH19" s="74">
        <f>'Проверочная  таблица'!RU22</f>
        <v>0</v>
      </c>
      <c r="JI19" s="71">
        <f>'Федеральные  средства  по  МО'!BV20</f>
        <v>0</v>
      </c>
      <c r="JJ19" s="72">
        <f t="shared" si="60"/>
        <v>0</v>
      </c>
      <c r="JK19" s="67"/>
      <c r="JL19" s="72"/>
      <c r="JM19" s="77">
        <f>'Федеральные  средства  по  МО'!BW20</f>
        <v>0</v>
      </c>
      <c r="JN19" s="73">
        <f t="shared" si="61"/>
        <v>0</v>
      </c>
      <c r="JO19" s="67"/>
      <c r="JP19" s="74"/>
      <c r="JQ19" s="76">
        <f>'Федеральные  средства  по  МО'!BX20</f>
        <v>0</v>
      </c>
      <c r="JR19" s="72">
        <f t="shared" si="62"/>
        <v>0</v>
      </c>
      <c r="JS19" s="67"/>
      <c r="JT19" s="72"/>
      <c r="JU19" s="77">
        <f>'Федеральные  средства  по  МО'!BY20</f>
        <v>0</v>
      </c>
      <c r="JV19" s="72">
        <f t="shared" si="63"/>
        <v>0</v>
      </c>
      <c r="JW19" s="67"/>
      <c r="JX19" s="72"/>
      <c r="JY19" s="76">
        <f>'Федеральные  средства  по  МО'!BZ20</f>
        <v>0</v>
      </c>
      <c r="JZ19" s="72">
        <f t="shared" si="64"/>
        <v>0</v>
      </c>
      <c r="KA19" s="67"/>
      <c r="KB19" s="72"/>
      <c r="KC19" s="75">
        <f>'Федеральные  средства  по  МО'!CA20</f>
        <v>0</v>
      </c>
      <c r="KD19" s="72">
        <f t="shared" si="65"/>
        <v>0</v>
      </c>
      <c r="KE19" s="67"/>
      <c r="KF19" s="72"/>
      <c r="KG19" s="75">
        <f>'Федеральные  средства  по  МО'!CB20</f>
        <v>11951200.25</v>
      </c>
      <c r="KH19" s="74">
        <f>'Проверочная  таблица'!SR22</f>
        <v>0</v>
      </c>
      <c r="KI19" s="72">
        <f>'Проверочная  таблица'!TT22</f>
        <v>11951200.25</v>
      </c>
      <c r="KJ19" s="67">
        <f>'Проверочная  таблица'!UH22</f>
        <v>0</v>
      </c>
      <c r="KK19" s="1139">
        <f>'Федеральные  средства  по  МО'!CC20</f>
        <v>6503660.7400000002</v>
      </c>
      <c r="KL19" s="67">
        <f>'Проверочная  таблица'!SY22</f>
        <v>0</v>
      </c>
      <c r="KM19" s="72">
        <f>'Проверочная  таблица'!UA22</f>
        <v>6503660.7400000002</v>
      </c>
      <c r="KN19" s="73">
        <f>'Проверочная  таблица'!UO22</f>
        <v>0</v>
      </c>
      <c r="KO19" s="75">
        <f>'Федеральные  средства  по  МО'!CD20</f>
        <v>0</v>
      </c>
      <c r="KP19" s="72">
        <f>'Проверочная  таблица'!ST22</f>
        <v>0</v>
      </c>
      <c r="KQ19" s="67">
        <f t="shared" si="66"/>
        <v>0</v>
      </c>
      <c r="KR19" s="72"/>
      <c r="KS19" s="75">
        <f>'Федеральные  средства  по  МО'!CE20</f>
        <v>0</v>
      </c>
      <c r="KT19" s="72">
        <f>'Проверочная  таблица'!TA22</f>
        <v>0</v>
      </c>
      <c r="KU19" s="67">
        <f t="shared" si="67"/>
        <v>0</v>
      </c>
      <c r="KV19" s="74"/>
      <c r="KW19" s="76">
        <f>'Федеральные  средства  по  МО'!CF20</f>
        <v>0</v>
      </c>
      <c r="KX19" s="74">
        <f>'Проверочная  таблица'!SV22</f>
        <v>0</v>
      </c>
      <c r="KY19" s="72">
        <f>'Проверочная  таблица'!TX22</f>
        <v>0</v>
      </c>
      <c r="KZ19" s="73"/>
      <c r="LA19" s="75">
        <f>'Федеральные  средства  по  МО'!CG20</f>
        <v>0</v>
      </c>
      <c r="LB19" s="74">
        <f>'Проверочная  таблица'!TC22</f>
        <v>0</v>
      </c>
      <c r="LC19" s="72">
        <f>'Проверочная  таблица'!TQ22</f>
        <v>0</v>
      </c>
      <c r="LD19" s="72"/>
    </row>
    <row r="20" spans="1:316" ht="25.5" customHeight="1" x14ac:dyDescent="0.25">
      <c r="A20" s="52" t="s">
        <v>327</v>
      </c>
      <c r="B20" s="69">
        <f t="shared" si="14"/>
        <v>511903618.58999997</v>
      </c>
      <c r="C20" s="70">
        <f t="shared" si="15"/>
        <v>473667739.94999999</v>
      </c>
      <c r="D20" s="70">
        <f t="shared" si="16"/>
        <v>21579200.02</v>
      </c>
      <c r="E20" s="70">
        <f t="shared" si="17"/>
        <v>16656678.619999999</v>
      </c>
      <c r="F20" s="69">
        <f t="shared" si="18"/>
        <v>452428069.61999995</v>
      </c>
      <c r="G20" s="70">
        <f t="shared" si="19"/>
        <v>427510847.92999995</v>
      </c>
      <c r="H20" s="70">
        <f t="shared" si="1"/>
        <v>9317221.6899999995</v>
      </c>
      <c r="I20" s="70">
        <f t="shared" si="2"/>
        <v>15600000</v>
      </c>
      <c r="J20" s="52"/>
      <c r="K20" s="53">
        <f>M20-'Федеральные  средства  по  МО'!N21-'Федеральные  средства  по  МО'!D21</f>
        <v>0</v>
      </c>
      <c r="L20" s="53">
        <f>Q20-'Федеральные  средства  по  МО'!O21-'Федеральные  средства  по  МО'!E21</f>
        <v>0</v>
      </c>
      <c r="M20" s="1180">
        <f t="shared" si="20"/>
        <v>736408309.06999993</v>
      </c>
      <c r="N20" s="70">
        <f t="shared" si="21"/>
        <v>682819190.13</v>
      </c>
      <c r="O20" s="70">
        <f t="shared" si="22"/>
        <v>21579200.02</v>
      </c>
      <c r="P20" s="70">
        <f t="shared" si="23"/>
        <v>16656678.619999999</v>
      </c>
      <c r="Q20" s="1180">
        <f t="shared" si="24"/>
        <v>452428069.61999995</v>
      </c>
      <c r="R20" s="70">
        <f t="shared" si="25"/>
        <v>427510847.92999995</v>
      </c>
      <c r="S20" s="70">
        <f t="shared" si="26"/>
        <v>9317221.6899999995</v>
      </c>
      <c r="T20" s="70">
        <f t="shared" si="27"/>
        <v>15600000</v>
      </c>
      <c r="U20" s="71">
        <f>'Федеральные  средства  по  МО'!F21</f>
        <v>0</v>
      </c>
      <c r="V20" s="67">
        <f>'Проверочная  таблица'!BL23</f>
        <v>0</v>
      </c>
      <c r="W20" s="72">
        <f>'Проверочная  таблица'!BP23</f>
        <v>0</v>
      </c>
      <c r="X20" s="67">
        <f>'Проверочная  таблица'!BR23</f>
        <v>0</v>
      </c>
      <c r="Y20" s="71">
        <f>'Федеральные  средства  по  МО'!G21</f>
        <v>0</v>
      </c>
      <c r="Z20" s="67">
        <f>'Проверочная  таблица'!BM23</f>
        <v>0</v>
      </c>
      <c r="AA20" s="72">
        <f>'Проверочная  таблица'!BQ23</f>
        <v>0</v>
      </c>
      <c r="AB20" s="67">
        <f>'Проверочная  таблица'!BS23</f>
        <v>0</v>
      </c>
      <c r="AC20" s="1139">
        <f>'Федеральные  средства  по  МО'!H21</f>
        <v>188669450.18000001</v>
      </c>
      <c r="AD20" s="73">
        <f t="shared" si="28"/>
        <v>188669450.18000001</v>
      </c>
      <c r="AE20" s="67"/>
      <c r="AF20" s="74"/>
      <c r="AG20" s="1139">
        <f>'Федеральные  средства  по  МО'!I21</f>
        <v>0</v>
      </c>
      <c r="AH20" s="73">
        <f t="shared" si="29"/>
        <v>0</v>
      </c>
      <c r="AI20" s="67"/>
      <c r="AJ20" s="72"/>
      <c r="AK20" s="71">
        <f>'Федеральные  средства  по  МО'!J21</f>
        <v>20482000</v>
      </c>
      <c r="AL20" s="73">
        <f t="shared" si="30"/>
        <v>20482000</v>
      </c>
      <c r="AM20" s="67"/>
      <c r="AN20" s="74"/>
      <c r="AO20" s="71">
        <f>'Федеральные  средства  по  МО'!K21</f>
        <v>0</v>
      </c>
      <c r="AP20" s="73">
        <f t="shared" si="31"/>
        <v>0</v>
      </c>
      <c r="AQ20" s="67"/>
      <c r="AR20" s="72"/>
      <c r="AS20" s="75">
        <f>'Федеральные  средства  по  МО'!P21</f>
        <v>0</v>
      </c>
      <c r="AT20" s="72">
        <f>'Проверочная  таблица'!CP23</f>
        <v>0</v>
      </c>
      <c r="AU20" s="78"/>
      <c r="AV20" s="79"/>
      <c r="AW20" s="76">
        <f>'Федеральные  средства  по  МО'!Q21</f>
        <v>0</v>
      </c>
      <c r="AX20" s="72">
        <f>'Проверочная  таблица'!CW23</f>
        <v>0</v>
      </c>
      <c r="AY20" s="80"/>
      <c r="AZ20" s="78"/>
      <c r="BA20" s="76">
        <f>'Федеральные  средства  по  МО'!R21</f>
        <v>0</v>
      </c>
      <c r="BB20" s="72">
        <f>'Проверочная  таблица'!CR23</f>
        <v>0</v>
      </c>
      <c r="BC20" s="67"/>
      <c r="BD20" s="72">
        <f>'Проверочная  таблица'!DD23</f>
        <v>0</v>
      </c>
      <c r="BE20" s="75">
        <f>'Федеральные  средства  по  МО'!S21</f>
        <v>0</v>
      </c>
      <c r="BF20" s="72">
        <f>'Проверочная  таблица'!CY23</f>
        <v>0</v>
      </c>
      <c r="BG20" s="78"/>
      <c r="BH20" s="72">
        <f>'Проверочная  таблица'!DG23</f>
        <v>0</v>
      </c>
      <c r="BI20" s="75">
        <f>'Федеральные  средства  по  МО'!T21</f>
        <v>0</v>
      </c>
      <c r="BJ20" s="72">
        <f t="shared" si="32"/>
        <v>0</v>
      </c>
      <c r="BK20" s="67"/>
      <c r="BL20" s="72"/>
      <c r="BM20" s="77">
        <f>'Федеральные  средства  по  МО'!U21</f>
        <v>0</v>
      </c>
      <c r="BN20" s="72">
        <f t="shared" si="33"/>
        <v>0</v>
      </c>
      <c r="BO20" s="80"/>
      <c r="BP20" s="80"/>
      <c r="BQ20" s="71">
        <f>'Федеральные  средства  по  МО'!V21</f>
        <v>0</v>
      </c>
      <c r="BR20" s="80">
        <f t="shared" si="4"/>
        <v>0</v>
      </c>
      <c r="BS20" s="81"/>
      <c r="BT20" s="78"/>
      <c r="BU20" s="71">
        <f>'Федеральные  средства  по  МО'!W21</f>
        <v>0</v>
      </c>
      <c r="BV20" s="80">
        <f t="shared" si="5"/>
        <v>0</v>
      </c>
      <c r="BW20" s="81"/>
      <c r="BX20" s="78"/>
      <c r="BY20" s="71">
        <f>'Федеральные  средства  по  МО'!X21</f>
        <v>0</v>
      </c>
      <c r="BZ20" s="80">
        <f t="shared" si="6"/>
        <v>0</v>
      </c>
      <c r="CA20" s="81"/>
      <c r="CB20" s="78"/>
      <c r="CC20" s="71">
        <f>'Федеральные  средства  по  МО'!Y21</f>
        <v>0</v>
      </c>
      <c r="CD20" s="80">
        <f t="shared" si="7"/>
        <v>0</v>
      </c>
      <c r="CE20" s="81"/>
      <c r="CF20" s="78"/>
      <c r="CG20" s="71">
        <f>'Федеральные  средства  по  МО'!Z21</f>
        <v>0</v>
      </c>
      <c r="CH20" s="80">
        <f t="shared" si="8"/>
        <v>0</v>
      </c>
      <c r="CI20" s="78"/>
      <c r="CJ20" s="79"/>
      <c r="CK20" s="71">
        <f>'Федеральные  средства  по  МО'!AA21</f>
        <v>0</v>
      </c>
      <c r="CL20" s="80">
        <f t="shared" si="9"/>
        <v>0</v>
      </c>
      <c r="CM20" s="81"/>
      <c r="CN20" s="80"/>
      <c r="CO20" s="76">
        <f>'Федеральные  средства  по  МО'!AB21</f>
        <v>0</v>
      </c>
      <c r="CP20" s="72">
        <f t="shared" si="34"/>
        <v>0</v>
      </c>
      <c r="CQ20" s="67"/>
      <c r="CR20" s="72"/>
      <c r="CS20" s="75">
        <f>'Федеральные  средства  по  МО'!AC21</f>
        <v>0</v>
      </c>
      <c r="CT20" s="72">
        <f t="shared" si="35"/>
        <v>0</v>
      </c>
      <c r="CU20" s="67"/>
      <c r="CV20" s="72"/>
      <c r="CW20" s="76">
        <f>'Федеральные  средства  по  МО'!AD21</f>
        <v>0</v>
      </c>
      <c r="CX20" s="74">
        <f>'Проверочная  таблица'!EV23</f>
        <v>0</v>
      </c>
      <c r="CY20" s="72">
        <f t="shared" si="36"/>
        <v>0</v>
      </c>
      <c r="CZ20" s="73"/>
      <c r="DA20" s="75">
        <f>'Федеральные  средства  по  МО'!AE21</f>
        <v>0</v>
      </c>
      <c r="DB20" s="74">
        <f>'Проверочная  таблица'!EY23</f>
        <v>0</v>
      </c>
      <c r="DC20" s="72">
        <f t="shared" si="37"/>
        <v>0</v>
      </c>
      <c r="DD20" s="67"/>
      <c r="DE20" s="71">
        <f>'Федеральные  средства  по  МО'!AF21</f>
        <v>0</v>
      </c>
      <c r="DF20" s="73">
        <f t="shared" si="38"/>
        <v>0</v>
      </c>
      <c r="DG20" s="67"/>
      <c r="DH20" s="74"/>
      <c r="DI20" s="71">
        <f>'Федеральные  средства  по  МО'!AG21</f>
        <v>0</v>
      </c>
      <c r="DJ20" s="73">
        <f t="shared" si="39"/>
        <v>0</v>
      </c>
      <c r="DK20" s="67"/>
      <c r="DL20" s="74"/>
      <c r="DM20" s="71">
        <f>'Федеральные  средства  по  МО'!AH21</f>
        <v>77044000</v>
      </c>
      <c r="DN20" s="73">
        <f t="shared" si="40"/>
        <v>77044000</v>
      </c>
      <c r="DO20" s="67"/>
      <c r="DP20" s="74"/>
      <c r="DQ20" s="71">
        <f>'Федеральные  средства  по  МО'!AI21</f>
        <v>68524787.310000002</v>
      </c>
      <c r="DR20" s="73">
        <f t="shared" si="41"/>
        <v>68524787.310000002</v>
      </c>
      <c r="DS20" s="67"/>
      <c r="DT20" s="72"/>
      <c r="DU20" s="76">
        <f>'Федеральные  средства  по  МО'!AJ21</f>
        <v>0</v>
      </c>
      <c r="DV20" s="72">
        <f t="shared" si="42"/>
        <v>0</v>
      </c>
      <c r="DW20" s="67"/>
      <c r="DX20" s="72"/>
      <c r="DY20" s="75">
        <f>'Федеральные  средства  по  МО'!AK21</f>
        <v>0</v>
      </c>
      <c r="DZ20" s="72">
        <f t="shared" si="43"/>
        <v>0</v>
      </c>
      <c r="EA20" s="67"/>
      <c r="EB20" s="74"/>
      <c r="EC20" s="71">
        <f>'Федеральные  средства  по  МО'!AL21</f>
        <v>0</v>
      </c>
      <c r="ED20" s="67">
        <f t="shared" si="10"/>
        <v>0</v>
      </c>
      <c r="EE20" s="72"/>
      <c r="EF20" s="67"/>
      <c r="EG20" s="71">
        <f>'Федеральные  средства  по  МО'!AM21</f>
        <v>0</v>
      </c>
      <c r="EH20" s="67">
        <f t="shared" si="11"/>
        <v>0</v>
      </c>
      <c r="EI20" s="72"/>
      <c r="EJ20" s="67"/>
      <c r="EK20" s="76">
        <f>'Федеральные  средства  по  МО'!AN21</f>
        <v>821052.83999999985</v>
      </c>
      <c r="EL20" s="72"/>
      <c r="EM20" s="67"/>
      <c r="EN20" s="72">
        <f t="shared" si="44"/>
        <v>821052.83999999985</v>
      </c>
      <c r="EO20" s="75">
        <f>'Федеральные  средства  по  МО'!AO21</f>
        <v>0</v>
      </c>
      <c r="EP20" s="72"/>
      <c r="EQ20" s="67"/>
      <c r="ER20" s="74">
        <f t="shared" si="45"/>
        <v>0</v>
      </c>
      <c r="ES20" s="1152">
        <f>'Федеральные  средства  по  МО'!AP21</f>
        <v>0</v>
      </c>
      <c r="ET20" s="72">
        <f>'Проверочная  таблица'!IJ23</f>
        <v>0</v>
      </c>
      <c r="EU20" s="67">
        <f>'Проверочная  таблица'!IT23</f>
        <v>0</v>
      </c>
      <c r="EV20" s="72">
        <f>'Проверочная  таблица'!IV23</f>
        <v>0</v>
      </c>
      <c r="EW20" s="1154">
        <f>'Федеральные  средства  по  МО'!AQ21</f>
        <v>0</v>
      </c>
      <c r="EX20" s="72">
        <f>'Проверочная  таблица'!IM23</f>
        <v>0</v>
      </c>
      <c r="EY20" s="67">
        <f>'Проверочная  таблица'!IU23</f>
        <v>0</v>
      </c>
      <c r="EZ20" s="72">
        <f>'Проверочная  таблица'!IS22</f>
        <v>0</v>
      </c>
      <c r="FA20" s="77">
        <f>'Федеральные  средства  по  МО'!AR21</f>
        <v>0</v>
      </c>
      <c r="FB20" s="73"/>
      <c r="FC20" s="67"/>
      <c r="FD20" s="74"/>
      <c r="FE20" s="71">
        <f>'Федеральные  средства  по  МО'!AS21</f>
        <v>0</v>
      </c>
      <c r="FF20" s="73"/>
      <c r="FG20" s="67"/>
      <c r="FH20" s="72"/>
      <c r="FI20" s="77">
        <f>'Федеральные  средства  по  МО'!AT21</f>
        <v>0</v>
      </c>
      <c r="FJ20" s="80"/>
      <c r="FK20" s="78"/>
      <c r="FL20" s="79"/>
      <c r="FM20" s="71">
        <f>'Федеральные  средства  по  МО'!AU21</f>
        <v>0</v>
      </c>
      <c r="FN20" s="78"/>
      <c r="FO20" s="81"/>
      <c r="FP20" s="78"/>
      <c r="FQ20" s="76">
        <f>'Федеральные  средства  по  МО'!AV21</f>
        <v>0</v>
      </c>
      <c r="FR20" s="74">
        <f>'Проверочная  таблица'!JL23</f>
        <v>0</v>
      </c>
      <c r="FS20" s="72">
        <f>'Проверочная  таблица'!JX23</f>
        <v>-235625.78</v>
      </c>
      <c r="FT20" s="72">
        <f>'Проверочная  таблица'!KD23</f>
        <v>235625.78</v>
      </c>
      <c r="FU20" s="75">
        <f>'Федеральные  средства  по  МО'!AW21</f>
        <v>0</v>
      </c>
      <c r="FV20" s="72">
        <f>'Проверочная  таблица'!JO23</f>
        <v>0</v>
      </c>
      <c r="FW20" s="67">
        <f>'Проверочная  таблица'!KA23</f>
        <v>0</v>
      </c>
      <c r="FX20" s="72">
        <f>'Проверочная  таблица'!KG23</f>
        <v>0</v>
      </c>
      <c r="FY20" s="76">
        <f>'Федеральные  средства  по  МО'!AX21</f>
        <v>317539.19</v>
      </c>
      <c r="FZ20" s="72"/>
      <c r="GA20" s="67">
        <f t="shared" si="46"/>
        <v>317539.19</v>
      </c>
      <c r="GB20" s="72"/>
      <c r="GC20" s="71">
        <f>'Федеральные  средства  по  МО'!AY21</f>
        <v>0</v>
      </c>
      <c r="GD20" s="67"/>
      <c r="GE20" s="72">
        <f t="shared" si="47"/>
        <v>0</v>
      </c>
      <c r="GF20" s="67"/>
      <c r="GG20" s="71">
        <f>'Федеральные  средства  по  МО'!AZ21</f>
        <v>56014.17</v>
      </c>
      <c r="GH20" s="73">
        <f t="shared" si="48"/>
        <v>56014.17</v>
      </c>
      <c r="GI20" s="67"/>
      <c r="GJ20" s="74"/>
      <c r="GK20" s="71">
        <f>'Федеральные  средства  по  МО'!BA21</f>
        <v>0</v>
      </c>
      <c r="GL20" s="73">
        <f t="shared" si="49"/>
        <v>0</v>
      </c>
      <c r="GM20" s="67"/>
      <c r="GN20" s="72"/>
      <c r="GO20" s="77">
        <f>'Федеральные  средства  по  МО'!BB21</f>
        <v>0</v>
      </c>
      <c r="GP20" s="78"/>
      <c r="GQ20" s="74">
        <f>'Проверочная  таблица'!MG23</f>
        <v>0</v>
      </c>
      <c r="GR20" s="72">
        <f>'Проверочная  таблица'!MO23</f>
        <v>0</v>
      </c>
      <c r="GS20" s="75">
        <f>'Федеральные  средства  по  МО'!BC21</f>
        <v>0</v>
      </c>
      <c r="GT20" s="74"/>
      <c r="GU20" s="72">
        <f>'Проверочная  таблица'!MK23</f>
        <v>0</v>
      </c>
      <c r="GV20" s="73">
        <f>'Проверочная  таблица'!MS23</f>
        <v>0</v>
      </c>
      <c r="GW20" s="75">
        <f>'Федеральные  средства  по  МО'!BD21</f>
        <v>0</v>
      </c>
      <c r="GX20" s="72">
        <f t="shared" si="50"/>
        <v>0</v>
      </c>
      <c r="GY20" s="67"/>
      <c r="GZ20" s="74"/>
      <c r="HA20" s="71">
        <f>'Федеральные  средства  по  МО'!BE21</f>
        <v>0</v>
      </c>
      <c r="HB20" s="72">
        <f t="shared" si="51"/>
        <v>0</v>
      </c>
      <c r="HC20" s="73"/>
      <c r="HD20" s="78"/>
      <c r="HE20" s="71">
        <f>'Федеральные  средства  по  МО'!BF21</f>
        <v>0</v>
      </c>
      <c r="HF20" s="74">
        <f t="shared" si="52"/>
        <v>0</v>
      </c>
      <c r="HG20" s="72"/>
      <c r="HH20" s="73"/>
      <c r="HI20" s="77">
        <f>'Федеральные  средства  по  МО'!BG21</f>
        <v>0</v>
      </c>
      <c r="HJ20" s="74">
        <f t="shared" si="12"/>
        <v>0</v>
      </c>
      <c r="HK20" s="72"/>
      <c r="HL20" s="73"/>
      <c r="HM20" s="76">
        <f>'Федеральные  средства  по  МО'!BH21</f>
        <v>235625.78</v>
      </c>
      <c r="HN20" s="74">
        <f t="shared" si="53"/>
        <v>235625.78</v>
      </c>
      <c r="HO20" s="72"/>
      <c r="HP20" s="73">
        <f>'Проверочная  таблица'!NX23</f>
        <v>0</v>
      </c>
      <c r="HQ20" s="77">
        <f>'Федеральные  средства  по  МО'!BI21</f>
        <v>235625.78</v>
      </c>
      <c r="HR20" s="74">
        <f t="shared" si="54"/>
        <v>235625.78</v>
      </c>
      <c r="HS20" s="79"/>
      <c r="HT20" s="72">
        <f>'Проверочная  таблица'!OA23</f>
        <v>0</v>
      </c>
      <c r="HU20" s="77">
        <f>'Федеральные  средства  по  МО'!BJ21</f>
        <v>0</v>
      </c>
      <c r="HV20" s="80">
        <f t="shared" si="55"/>
        <v>0</v>
      </c>
      <c r="HW20" s="78"/>
      <c r="HX20" s="79"/>
      <c r="HY20" s="71">
        <f>'Федеральные  средства  по  МО'!BK21</f>
        <v>0</v>
      </c>
      <c r="HZ20" s="80">
        <f t="shared" si="13"/>
        <v>0</v>
      </c>
      <c r="IA20" s="78"/>
      <c r="IB20" s="81"/>
      <c r="IC20" s="76">
        <f>'Федеральные  средства  по  МО'!BL21</f>
        <v>30953240.300000001</v>
      </c>
      <c r="ID20" s="74"/>
      <c r="IE20" s="72"/>
      <c r="IF20" s="73">
        <f>'Проверочная  таблица'!PJ23</f>
        <v>15600000</v>
      </c>
      <c r="IG20" s="75">
        <f>'Федеральные  средства  по  МО'!BM21</f>
        <v>15600000</v>
      </c>
      <c r="IH20" s="74"/>
      <c r="II20" s="72"/>
      <c r="IJ20" s="73">
        <f>'Проверочная  таблица'!PN23</f>
        <v>15600000</v>
      </c>
      <c r="IK20" s="76">
        <f>'Федеральные  средства  по  МО'!BN21</f>
        <v>0</v>
      </c>
      <c r="IL20" s="74">
        <f>'Проверочная  таблица'!PR23</f>
        <v>0</v>
      </c>
      <c r="IM20" s="72">
        <f t="shared" si="56"/>
        <v>0</v>
      </c>
      <c r="IN20" s="73"/>
      <c r="IO20" s="75">
        <f>'Федеральные  средства  по  МО'!BO21</f>
        <v>0</v>
      </c>
      <c r="IP20" s="74">
        <f>'Проверочная  таблица'!PW23</f>
        <v>0</v>
      </c>
      <c r="IQ20" s="72">
        <f t="shared" si="57"/>
        <v>0</v>
      </c>
      <c r="IR20" s="73"/>
      <c r="IS20" s="76">
        <f>'Федеральные  средства  по  МО'!BR21</f>
        <v>0</v>
      </c>
      <c r="IT20" s="72">
        <f t="shared" si="58"/>
        <v>0</v>
      </c>
      <c r="IU20" s="67"/>
      <c r="IV20" s="72"/>
      <c r="IW20" s="77">
        <f>'Федеральные  средства  по  МО'!BS21</f>
        <v>0</v>
      </c>
      <c r="IX20" s="73">
        <f t="shared" si="59"/>
        <v>0</v>
      </c>
      <c r="IY20" s="73"/>
      <c r="IZ20" s="72"/>
      <c r="JA20" s="76">
        <f>'Федеральные  средства  по  МО'!BT21</f>
        <v>0</v>
      </c>
      <c r="JB20" s="72">
        <f>'Проверочная  таблица'!RF23</f>
        <v>0</v>
      </c>
      <c r="JC20" s="67">
        <f>'Проверочная  таблица'!RL23</f>
        <v>0</v>
      </c>
      <c r="JD20" s="72">
        <f>'Проверочная  таблица'!RR23</f>
        <v>0</v>
      </c>
      <c r="JE20" s="75">
        <f>'Федеральные  средства  по  МО'!BU21</f>
        <v>0</v>
      </c>
      <c r="JF20" s="72">
        <f>'Проверочная  таблица'!RC23</f>
        <v>0</v>
      </c>
      <c r="JG20" s="67">
        <f>'Проверочная  таблица'!RO23</f>
        <v>0</v>
      </c>
      <c r="JH20" s="74">
        <f>'Проверочная  таблица'!RU23</f>
        <v>0</v>
      </c>
      <c r="JI20" s="71">
        <f>'Федеральные  средства  по  МО'!BV21</f>
        <v>0</v>
      </c>
      <c r="JJ20" s="72">
        <f t="shared" si="60"/>
        <v>0</v>
      </c>
      <c r="JK20" s="67"/>
      <c r="JL20" s="72"/>
      <c r="JM20" s="77">
        <f>'Федеральные  средства  по  МО'!BW21</f>
        <v>0</v>
      </c>
      <c r="JN20" s="73">
        <f t="shared" si="61"/>
        <v>0</v>
      </c>
      <c r="JO20" s="67"/>
      <c r="JP20" s="74"/>
      <c r="JQ20" s="76">
        <f>'Федеральные  средства  по  МО'!BX21</f>
        <v>0</v>
      </c>
      <c r="JR20" s="72">
        <f t="shared" si="62"/>
        <v>0</v>
      </c>
      <c r="JS20" s="67"/>
      <c r="JT20" s="72"/>
      <c r="JU20" s="77">
        <f>'Федеральные  средства  по  МО'!BY21</f>
        <v>0</v>
      </c>
      <c r="JV20" s="72">
        <f t="shared" si="63"/>
        <v>0</v>
      </c>
      <c r="JW20" s="67"/>
      <c r="JX20" s="72"/>
      <c r="JY20" s="76">
        <f>'Федеральные  средства  по  МО'!BZ21</f>
        <v>0</v>
      </c>
      <c r="JZ20" s="72">
        <f t="shared" si="64"/>
        <v>0</v>
      </c>
      <c r="KA20" s="67"/>
      <c r="KB20" s="72"/>
      <c r="KC20" s="75">
        <f>'Федеральные  средства  по  МО'!CA21</f>
        <v>0</v>
      </c>
      <c r="KD20" s="72">
        <f t="shared" si="65"/>
        <v>0</v>
      </c>
      <c r="KE20" s="67"/>
      <c r="KF20" s="72"/>
      <c r="KG20" s="75">
        <f>'Федеральные  средства  по  МО'!CB21</f>
        <v>21497286.609999999</v>
      </c>
      <c r="KH20" s="74">
        <f>'Проверочная  таблица'!SR23</f>
        <v>0</v>
      </c>
      <c r="KI20" s="72">
        <f>'Проверочная  таблица'!TT23</f>
        <v>21497286.609999999</v>
      </c>
      <c r="KJ20" s="67">
        <f>'Проверочная  таблица'!UH23</f>
        <v>0</v>
      </c>
      <c r="KK20" s="1139">
        <f>'Федеральные  средства  по  МО'!CC21</f>
        <v>9317221.6899999995</v>
      </c>
      <c r="KL20" s="67">
        <f>'Проверочная  таблица'!SY23</f>
        <v>0</v>
      </c>
      <c r="KM20" s="72">
        <f>'Проверочная  таблица'!UA23</f>
        <v>9317221.6899999995</v>
      </c>
      <c r="KN20" s="73">
        <f>'Проверочная  таблица'!UO23</f>
        <v>0</v>
      </c>
      <c r="KO20" s="75">
        <f>'Федеральные  средства  по  МО'!CD21</f>
        <v>0</v>
      </c>
      <c r="KP20" s="72">
        <f>'Проверочная  таблица'!ST23</f>
        <v>0</v>
      </c>
      <c r="KQ20" s="67">
        <f t="shared" si="66"/>
        <v>0</v>
      </c>
      <c r="KR20" s="72"/>
      <c r="KS20" s="75">
        <f>'Федеральные  средства  по  МО'!CE21</f>
        <v>0</v>
      </c>
      <c r="KT20" s="72">
        <f>'Проверочная  таблица'!TA23</f>
        <v>0</v>
      </c>
      <c r="KU20" s="67">
        <f t="shared" si="67"/>
        <v>0</v>
      </c>
      <c r="KV20" s="74"/>
      <c r="KW20" s="76">
        <f>'Федеральные  средства  по  МО'!CF21</f>
        <v>396332100</v>
      </c>
      <c r="KX20" s="74">
        <f>'Проверочная  таблица'!SV23</f>
        <v>396332100</v>
      </c>
      <c r="KY20" s="72">
        <f>'Проверочная  таблица'!TX23</f>
        <v>0</v>
      </c>
      <c r="KZ20" s="73"/>
      <c r="LA20" s="75">
        <f>'Федеральные  средства  по  МО'!CG21</f>
        <v>358750434.83999997</v>
      </c>
      <c r="LB20" s="74">
        <f>'Проверочная  таблица'!TC23</f>
        <v>358750434.83999997</v>
      </c>
      <c r="LC20" s="72">
        <f>'Проверочная  таблица'!TQ23</f>
        <v>0</v>
      </c>
      <c r="LD20" s="72"/>
    </row>
    <row r="21" spans="1:316" ht="25.5" customHeight="1" x14ac:dyDescent="0.25">
      <c r="A21" s="68" t="s">
        <v>328</v>
      </c>
      <c r="B21" s="69">
        <f t="shared" si="14"/>
        <v>537845.09999999881</v>
      </c>
      <c r="C21" s="70">
        <f t="shared" si="15"/>
        <v>183505.46999999881</v>
      </c>
      <c r="D21" s="70">
        <f t="shared" si="16"/>
        <v>248277.68</v>
      </c>
      <c r="E21" s="70">
        <f t="shared" si="17"/>
        <v>106061.95</v>
      </c>
      <c r="F21" s="69">
        <f t="shared" si="18"/>
        <v>106061.94999999995</v>
      </c>
      <c r="G21" s="70">
        <f t="shared" si="19"/>
        <v>106061.94999999995</v>
      </c>
      <c r="H21" s="70">
        <f t="shared" si="1"/>
        <v>0</v>
      </c>
      <c r="I21" s="70">
        <f t="shared" si="2"/>
        <v>0</v>
      </c>
      <c r="J21" s="52"/>
      <c r="K21" s="53">
        <f>M21-'Федеральные  средства  по  МО'!N22-'Федеральные  средства  по  МО'!D22</f>
        <v>0</v>
      </c>
      <c r="L21" s="53">
        <f>Q21-'Федеральные  средства  по  МО'!O22-'Федеральные  средства  по  МО'!E22</f>
        <v>0</v>
      </c>
      <c r="M21" s="1180">
        <f t="shared" si="20"/>
        <v>41793020.560000002</v>
      </c>
      <c r="N21" s="70">
        <f t="shared" si="21"/>
        <v>31652849.539999999</v>
      </c>
      <c r="O21" s="70">
        <f t="shared" si="22"/>
        <v>248277.68</v>
      </c>
      <c r="P21" s="70">
        <f t="shared" si="23"/>
        <v>106061.95</v>
      </c>
      <c r="Q21" s="1180">
        <f t="shared" si="24"/>
        <v>560061.94999999995</v>
      </c>
      <c r="R21" s="70">
        <f t="shared" si="25"/>
        <v>560061.94999999995</v>
      </c>
      <c r="S21" s="70">
        <f t="shared" si="26"/>
        <v>0</v>
      </c>
      <c r="T21" s="70">
        <f t="shared" si="27"/>
        <v>0</v>
      </c>
      <c r="U21" s="71">
        <f>'Федеральные  средства  по  МО'!F22</f>
        <v>0</v>
      </c>
      <c r="V21" s="67">
        <f>'Проверочная  таблица'!BL24</f>
        <v>0</v>
      </c>
      <c r="W21" s="72">
        <f>'Проверочная  таблица'!BP24</f>
        <v>0</v>
      </c>
      <c r="X21" s="67">
        <f>'Проверочная  таблица'!BR24</f>
        <v>0</v>
      </c>
      <c r="Y21" s="71">
        <f>'Федеральные  средства  по  МО'!G22</f>
        <v>0</v>
      </c>
      <c r="Z21" s="67">
        <f>'Проверочная  таблица'!BM24</f>
        <v>0</v>
      </c>
      <c r="AA21" s="72">
        <f>'Проверочная  таблица'!BQ24</f>
        <v>0</v>
      </c>
      <c r="AB21" s="67">
        <f>'Проверочная  таблица'!BS24</f>
        <v>0</v>
      </c>
      <c r="AC21" s="1139">
        <f>'Федеральные  средства  по  МО'!H22</f>
        <v>31015344.07</v>
      </c>
      <c r="AD21" s="73">
        <f t="shared" si="28"/>
        <v>31015344.07</v>
      </c>
      <c r="AE21" s="67"/>
      <c r="AF21" s="74"/>
      <c r="AG21" s="1139">
        <f>'Федеральные  средства  по  МО'!I22</f>
        <v>0</v>
      </c>
      <c r="AH21" s="73">
        <f t="shared" si="29"/>
        <v>0</v>
      </c>
      <c r="AI21" s="67"/>
      <c r="AJ21" s="72"/>
      <c r="AK21" s="71">
        <f>'Федеральные  средства  по  МО'!J22</f>
        <v>454000</v>
      </c>
      <c r="AL21" s="73">
        <f t="shared" si="30"/>
        <v>454000</v>
      </c>
      <c r="AM21" s="67"/>
      <c r="AN21" s="74"/>
      <c r="AO21" s="71">
        <f>'Федеральные  средства  по  МО'!K22</f>
        <v>454000</v>
      </c>
      <c r="AP21" s="73">
        <f t="shared" si="31"/>
        <v>454000</v>
      </c>
      <c r="AQ21" s="67"/>
      <c r="AR21" s="72"/>
      <c r="AS21" s="75">
        <f>'Федеральные  средства  по  МО'!P22</f>
        <v>0</v>
      </c>
      <c r="AT21" s="72">
        <f>'Проверочная  таблица'!CP24</f>
        <v>0</v>
      </c>
      <c r="AU21" s="67"/>
      <c r="AV21" s="74"/>
      <c r="AW21" s="76">
        <f>'Федеральные  средства  по  МО'!Q22</f>
        <v>0</v>
      </c>
      <c r="AX21" s="72">
        <f>'Проверочная  таблица'!CW24</f>
        <v>0</v>
      </c>
      <c r="AY21" s="73"/>
      <c r="AZ21" s="67"/>
      <c r="BA21" s="76">
        <f>'Федеральные  средства  по  МО'!R22</f>
        <v>0</v>
      </c>
      <c r="BB21" s="72">
        <f>'Проверочная  таблица'!CR24</f>
        <v>0</v>
      </c>
      <c r="BC21" s="67"/>
      <c r="BD21" s="72">
        <f>'Проверочная  таблица'!DD24</f>
        <v>0</v>
      </c>
      <c r="BE21" s="75">
        <f>'Федеральные  средства  по  МО'!S22</f>
        <v>0</v>
      </c>
      <c r="BF21" s="72">
        <f>'Проверочная  таблица'!CY24</f>
        <v>0</v>
      </c>
      <c r="BG21" s="67"/>
      <c r="BH21" s="72">
        <f>'Проверочная  таблица'!DG24</f>
        <v>0</v>
      </c>
      <c r="BI21" s="75">
        <f>'Федеральные  средства  по  МО'!T22</f>
        <v>0</v>
      </c>
      <c r="BJ21" s="72">
        <f t="shared" si="32"/>
        <v>0</v>
      </c>
      <c r="BK21" s="67"/>
      <c r="BL21" s="72"/>
      <c r="BM21" s="77">
        <f>'Федеральные  средства  по  МО'!U22</f>
        <v>0</v>
      </c>
      <c r="BN21" s="72">
        <f t="shared" si="33"/>
        <v>0</v>
      </c>
      <c r="BO21" s="73"/>
      <c r="BP21" s="73"/>
      <c r="BQ21" s="71">
        <f>'Федеральные  средства  по  МО'!V22</f>
        <v>0</v>
      </c>
      <c r="BR21" s="73">
        <f t="shared" si="4"/>
        <v>0</v>
      </c>
      <c r="BS21" s="72"/>
      <c r="BT21" s="67"/>
      <c r="BU21" s="71">
        <f>'Федеральные  средства  по  МО'!W22</f>
        <v>0</v>
      </c>
      <c r="BV21" s="73">
        <f t="shared" si="5"/>
        <v>0</v>
      </c>
      <c r="BW21" s="72"/>
      <c r="BX21" s="67"/>
      <c r="BY21" s="71">
        <f>'Федеральные  средства  по  МО'!X22</f>
        <v>0</v>
      </c>
      <c r="BZ21" s="73">
        <f t="shared" si="6"/>
        <v>0</v>
      </c>
      <c r="CA21" s="72"/>
      <c r="CB21" s="67"/>
      <c r="CC21" s="71">
        <f>'Федеральные  средства  по  МО'!Y22</f>
        <v>0</v>
      </c>
      <c r="CD21" s="73">
        <f t="shared" si="7"/>
        <v>0</v>
      </c>
      <c r="CE21" s="72"/>
      <c r="CF21" s="67"/>
      <c r="CG21" s="71">
        <f>'Федеральные  средства  по  МО'!Z22</f>
        <v>0</v>
      </c>
      <c r="CH21" s="73">
        <f t="shared" si="8"/>
        <v>0</v>
      </c>
      <c r="CI21" s="67"/>
      <c r="CJ21" s="74"/>
      <c r="CK21" s="71">
        <f>'Федеральные  средства  по  МО'!AA22</f>
        <v>0</v>
      </c>
      <c r="CL21" s="73">
        <f t="shared" si="9"/>
        <v>0</v>
      </c>
      <c r="CM21" s="72"/>
      <c r="CN21" s="73"/>
      <c r="CO21" s="76">
        <f>'Федеральные  средства  по  МО'!AB22</f>
        <v>0</v>
      </c>
      <c r="CP21" s="72">
        <f t="shared" si="34"/>
        <v>0</v>
      </c>
      <c r="CQ21" s="67"/>
      <c r="CR21" s="72"/>
      <c r="CS21" s="75">
        <f>'Федеральные  средства  по  МО'!AC22</f>
        <v>0</v>
      </c>
      <c r="CT21" s="72">
        <f t="shared" si="35"/>
        <v>0</v>
      </c>
      <c r="CU21" s="67"/>
      <c r="CV21" s="72"/>
      <c r="CW21" s="76">
        <f>'Федеральные  средства  по  МО'!AD22</f>
        <v>0</v>
      </c>
      <c r="CX21" s="74">
        <f>'Проверочная  таблица'!EV24</f>
        <v>0</v>
      </c>
      <c r="CY21" s="72">
        <f t="shared" si="36"/>
        <v>0</v>
      </c>
      <c r="CZ21" s="73"/>
      <c r="DA21" s="75">
        <f>'Федеральные  средства  по  МО'!AE22</f>
        <v>0</v>
      </c>
      <c r="DB21" s="74">
        <f>'Проверочная  таблица'!EY24</f>
        <v>0</v>
      </c>
      <c r="DC21" s="72">
        <f t="shared" si="37"/>
        <v>0</v>
      </c>
      <c r="DD21" s="67"/>
      <c r="DE21" s="71">
        <f>'Федеральные  средства  по  МО'!AF22</f>
        <v>0</v>
      </c>
      <c r="DF21" s="73">
        <f t="shared" si="38"/>
        <v>0</v>
      </c>
      <c r="DG21" s="67"/>
      <c r="DH21" s="74"/>
      <c r="DI21" s="71">
        <f>'Федеральные  средства  по  МО'!AG22</f>
        <v>0</v>
      </c>
      <c r="DJ21" s="73">
        <f t="shared" si="39"/>
        <v>0</v>
      </c>
      <c r="DK21" s="67"/>
      <c r="DL21" s="74"/>
      <c r="DM21" s="71">
        <f>'Федеральные  средства  по  МО'!AH22</f>
        <v>0</v>
      </c>
      <c r="DN21" s="73">
        <f t="shared" si="40"/>
        <v>0</v>
      </c>
      <c r="DO21" s="67"/>
      <c r="DP21" s="74"/>
      <c r="DQ21" s="71">
        <f>'Федеральные  средства  по  МО'!AI22</f>
        <v>0</v>
      </c>
      <c r="DR21" s="73">
        <f t="shared" si="41"/>
        <v>0</v>
      </c>
      <c r="DS21" s="67"/>
      <c r="DT21" s="72"/>
      <c r="DU21" s="76">
        <f>'Федеральные  средства  по  МО'!AJ22</f>
        <v>0</v>
      </c>
      <c r="DV21" s="72">
        <f t="shared" si="42"/>
        <v>0</v>
      </c>
      <c r="DW21" s="67"/>
      <c r="DX21" s="72"/>
      <c r="DY21" s="75">
        <f>'Федеральные  средства  по  МО'!AK22</f>
        <v>0</v>
      </c>
      <c r="DZ21" s="72">
        <f t="shared" si="43"/>
        <v>0</v>
      </c>
      <c r="EA21" s="67"/>
      <c r="EB21" s="74"/>
      <c r="EC21" s="71">
        <f>'Федеральные  средства  по  МО'!AL22</f>
        <v>0</v>
      </c>
      <c r="ED21" s="67">
        <f t="shared" si="10"/>
        <v>0</v>
      </c>
      <c r="EE21" s="72"/>
      <c r="EF21" s="67"/>
      <c r="EG21" s="71">
        <f>'Федеральные  средства  по  МО'!AM22</f>
        <v>0</v>
      </c>
      <c r="EH21" s="67">
        <f t="shared" si="11"/>
        <v>0</v>
      </c>
      <c r="EI21" s="72"/>
      <c r="EJ21" s="67"/>
      <c r="EK21" s="76">
        <f>'Федеральные  средства  по  МО'!AN22</f>
        <v>0</v>
      </c>
      <c r="EL21" s="72"/>
      <c r="EM21" s="67"/>
      <c r="EN21" s="72">
        <f t="shared" si="44"/>
        <v>0</v>
      </c>
      <c r="EO21" s="75">
        <f>'Федеральные  средства  по  МО'!AO22</f>
        <v>0</v>
      </c>
      <c r="EP21" s="72"/>
      <c r="EQ21" s="67"/>
      <c r="ER21" s="74">
        <f t="shared" si="45"/>
        <v>0</v>
      </c>
      <c r="ES21" s="1152">
        <f>'Федеральные  средства  по  МО'!AP22</f>
        <v>0</v>
      </c>
      <c r="ET21" s="72">
        <f>'Проверочная  таблица'!IJ24</f>
        <v>0</v>
      </c>
      <c r="EU21" s="67">
        <f>'Проверочная  таблица'!IT24</f>
        <v>0</v>
      </c>
      <c r="EV21" s="72">
        <f>'Проверочная  таблица'!IV24</f>
        <v>0</v>
      </c>
      <c r="EW21" s="1154">
        <f>'Федеральные  средства  по  МО'!AQ22</f>
        <v>0</v>
      </c>
      <c r="EX21" s="72">
        <f>'Проверочная  таблица'!IM24</f>
        <v>0</v>
      </c>
      <c r="EY21" s="67">
        <f>'Проверочная  таблица'!IU24</f>
        <v>0</v>
      </c>
      <c r="EZ21" s="72">
        <f>'Проверочная  таблица'!IS23</f>
        <v>0</v>
      </c>
      <c r="FA21" s="77">
        <f>'Федеральные  средства  по  МО'!AR22</f>
        <v>0</v>
      </c>
      <c r="FB21" s="73"/>
      <c r="FC21" s="67"/>
      <c r="FD21" s="74"/>
      <c r="FE21" s="71">
        <f>'Федеральные  средства  по  МО'!AS22</f>
        <v>0</v>
      </c>
      <c r="FF21" s="73"/>
      <c r="FG21" s="67"/>
      <c r="FH21" s="72"/>
      <c r="FI21" s="77">
        <f>'Федеральные  средства  по  МО'!AT22</f>
        <v>0</v>
      </c>
      <c r="FJ21" s="73"/>
      <c r="FK21" s="67"/>
      <c r="FL21" s="74"/>
      <c r="FM21" s="71">
        <f>'Федеральные  средства  по  МО'!AU22</f>
        <v>0</v>
      </c>
      <c r="FN21" s="67"/>
      <c r="FO21" s="72"/>
      <c r="FP21" s="67"/>
      <c r="FQ21" s="76">
        <f>'Федеральные  средства  по  МО'!AV22</f>
        <v>0</v>
      </c>
      <c r="FR21" s="74">
        <f>'Проверочная  таблица'!JL24</f>
        <v>0</v>
      </c>
      <c r="FS21" s="72">
        <f>'Проверочная  таблица'!JX24</f>
        <v>-106061.95</v>
      </c>
      <c r="FT21" s="72">
        <f>'Проверочная  таблица'!KD24</f>
        <v>106061.95</v>
      </c>
      <c r="FU21" s="75">
        <f>'Федеральные  средства  по  МО'!AW22</f>
        <v>0</v>
      </c>
      <c r="FV21" s="72">
        <f>'Проверочная  таблица'!JO24</f>
        <v>0</v>
      </c>
      <c r="FW21" s="67">
        <f>'Проверочная  таблица'!KA24</f>
        <v>0</v>
      </c>
      <c r="FX21" s="72">
        <f>'Проверочная  таблица'!KG24</f>
        <v>0</v>
      </c>
      <c r="FY21" s="76">
        <f>'Федеральные  средства  по  МО'!AX22</f>
        <v>354339.63</v>
      </c>
      <c r="FZ21" s="72"/>
      <c r="GA21" s="67">
        <f t="shared" si="46"/>
        <v>354339.63</v>
      </c>
      <c r="GB21" s="72"/>
      <c r="GC21" s="71">
        <f>'Федеральные  средства  по  МО'!AY22</f>
        <v>0</v>
      </c>
      <c r="GD21" s="67"/>
      <c r="GE21" s="72">
        <f t="shared" si="47"/>
        <v>0</v>
      </c>
      <c r="GF21" s="67"/>
      <c r="GG21" s="71">
        <f>'Федеральные  средства  по  МО'!AZ22</f>
        <v>77443.520000000004</v>
      </c>
      <c r="GH21" s="73">
        <f t="shared" si="48"/>
        <v>77443.520000000004</v>
      </c>
      <c r="GI21" s="67"/>
      <c r="GJ21" s="74"/>
      <c r="GK21" s="71">
        <f>'Федеральные  средства  по  МО'!BA22</f>
        <v>0</v>
      </c>
      <c r="GL21" s="73">
        <f t="shared" si="49"/>
        <v>0</v>
      </c>
      <c r="GM21" s="67"/>
      <c r="GN21" s="72"/>
      <c r="GO21" s="77">
        <f>'Федеральные  средства  по  МО'!BB22</f>
        <v>0</v>
      </c>
      <c r="GP21" s="67"/>
      <c r="GQ21" s="74">
        <f>'Проверочная  таблица'!MG24</f>
        <v>0</v>
      </c>
      <c r="GR21" s="72">
        <f>'Проверочная  таблица'!MO24</f>
        <v>0</v>
      </c>
      <c r="GS21" s="75">
        <f>'Федеральные  средства  по  МО'!BC22</f>
        <v>0</v>
      </c>
      <c r="GT21" s="74"/>
      <c r="GU21" s="72">
        <f>'Проверочная  таблица'!MK24</f>
        <v>0</v>
      </c>
      <c r="GV21" s="73">
        <f>'Проверочная  таблица'!MS24</f>
        <v>0</v>
      </c>
      <c r="GW21" s="75">
        <f>'Федеральные  средства  по  МО'!BD22</f>
        <v>0</v>
      </c>
      <c r="GX21" s="72">
        <f t="shared" si="50"/>
        <v>0</v>
      </c>
      <c r="GY21" s="67"/>
      <c r="GZ21" s="74"/>
      <c r="HA21" s="71">
        <f>'Федеральные  средства  по  МО'!BE22</f>
        <v>0</v>
      </c>
      <c r="HB21" s="72">
        <f t="shared" si="51"/>
        <v>0</v>
      </c>
      <c r="HC21" s="73"/>
      <c r="HD21" s="67"/>
      <c r="HE21" s="71">
        <f>'Федеральные  средства  по  МО'!BF22</f>
        <v>0</v>
      </c>
      <c r="HF21" s="74">
        <f t="shared" si="52"/>
        <v>0</v>
      </c>
      <c r="HG21" s="72"/>
      <c r="HH21" s="73"/>
      <c r="HI21" s="77">
        <f>'Федеральные  средства  по  МО'!BG22</f>
        <v>0</v>
      </c>
      <c r="HJ21" s="74">
        <f t="shared" si="12"/>
        <v>0</v>
      </c>
      <c r="HK21" s="72"/>
      <c r="HL21" s="73"/>
      <c r="HM21" s="76">
        <f>'Федеральные  средства  по  МО'!BH22</f>
        <v>106061.95</v>
      </c>
      <c r="HN21" s="74">
        <f t="shared" si="53"/>
        <v>106061.95</v>
      </c>
      <c r="HO21" s="72"/>
      <c r="HP21" s="73">
        <f>'Проверочная  таблица'!NX24</f>
        <v>0</v>
      </c>
      <c r="HQ21" s="77">
        <f>'Федеральные  средства  по  МО'!BI22</f>
        <v>106061.95</v>
      </c>
      <c r="HR21" s="74">
        <f t="shared" si="54"/>
        <v>106061.95</v>
      </c>
      <c r="HS21" s="74"/>
      <c r="HT21" s="72">
        <f>'Проверочная  таблица'!OA24</f>
        <v>0</v>
      </c>
      <c r="HU21" s="77">
        <f>'Федеральные  средства  по  МО'!BJ22</f>
        <v>0</v>
      </c>
      <c r="HV21" s="73">
        <f t="shared" si="55"/>
        <v>0</v>
      </c>
      <c r="HW21" s="67"/>
      <c r="HX21" s="74"/>
      <c r="HY21" s="71">
        <f>'Федеральные  средства  по  МО'!BK22</f>
        <v>0</v>
      </c>
      <c r="HZ21" s="73">
        <f t="shared" si="13"/>
        <v>0</v>
      </c>
      <c r="IA21" s="67"/>
      <c r="IB21" s="72"/>
      <c r="IC21" s="76">
        <f>'Федеральные  средства  по  МО'!BL22</f>
        <v>9785831.3900000006</v>
      </c>
      <c r="ID21" s="74"/>
      <c r="IE21" s="72"/>
      <c r="IF21" s="73">
        <f>'Проверочная  таблица'!PJ24</f>
        <v>0</v>
      </c>
      <c r="IG21" s="75">
        <f>'Федеральные  средства  по  МО'!BM22</f>
        <v>0</v>
      </c>
      <c r="IH21" s="74"/>
      <c r="II21" s="72"/>
      <c r="IJ21" s="73">
        <f>'Проверочная  таблица'!PN24</f>
        <v>0</v>
      </c>
      <c r="IK21" s="76">
        <f>'Федеральные  средства  по  МО'!BN22</f>
        <v>0</v>
      </c>
      <c r="IL21" s="74">
        <f>'Проверочная  таблица'!PR24</f>
        <v>0</v>
      </c>
      <c r="IM21" s="72">
        <f t="shared" si="56"/>
        <v>0</v>
      </c>
      <c r="IN21" s="73"/>
      <c r="IO21" s="75">
        <f>'Федеральные  средства  по  МО'!BO22</f>
        <v>0</v>
      </c>
      <c r="IP21" s="74">
        <f>'Проверочная  таблица'!PW24</f>
        <v>0</v>
      </c>
      <c r="IQ21" s="72">
        <f t="shared" si="57"/>
        <v>0</v>
      </c>
      <c r="IR21" s="73"/>
      <c r="IS21" s="76">
        <f>'Федеральные  средства  по  МО'!BR22</f>
        <v>0</v>
      </c>
      <c r="IT21" s="72">
        <f t="shared" si="58"/>
        <v>0</v>
      </c>
      <c r="IU21" s="67"/>
      <c r="IV21" s="72"/>
      <c r="IW21" s="77">
        <f>'Федеральные  средства  по  МО'!BS22</f>
        <v>0</v>
      </c>
      <c r="IX21" s="73">
        <f t="shared" si="59"/>
        <v>0</v>
      </c>
      <c r="IY21" s="73"/>
      <c r="IZ21" s="72"/>
      <c r="JA21" s="76">
        <f>'Федеральные  средства  по  МО'!BT22</f>
        <v>0</v>
      </c>
      <c r="JB21" s="72">
        <f>'Проверочная  таблица'!RF24</f>
        <v>0</v>
      </c>
      <c r="JC21" s="67">
        <f>'Проверочная  таблица'!RL24</f>
        <v>0</v>
      </c>
      <c r="JD21" s="72">
        <f>'Проверочная  таблица'!RR24</f>
        <v>0</v>
      </c>
      <c r="JE21" s="75">
        <f>'Федеральные  средства  по  МО'!BU22</f>
        <v>0</v>
      </c>
      <c r="JF21" s="72">
        <f>'Проверочная  таблица'!RC24</f>
        <v>0</v>
      </c>
      <c r="JG21" s="67">
        <f>'Проверочная  таблица'!RO24</f>
        <v>0</v>
      </c>
      <c r="JH21" s="74">
        <f>'Проверочная  таблица'!RU24</f>
        <v>0</v>
      </c>
      <c r="JI21" s="71">
        <f>'Федеральные  средства  по  МО'!BV22</f>
        <v>0</v>
      </c>
      <c r="JJ21" s="72">
        <f t="shared" si="60"/>
        <v>0</v>
      </c>
      <c r="JK21" s="67"/>
      <c r="JL21" s="72"/>
      <c r="JM21" s="77">
        <f>'Федеральные  средства  по  МО'!BW22</f>
        <v>0</v>
      </c>
      <c r="JN21" s="73">
        <f t="shared" si="61"/>
        <v>0</v>
      </c>
      <c r="JO21" s="67"/>
      <c r="JP21" s="74"/>
      <c r="JQ21" s="76">
        <f>'Федеральные  средства  по  МО'!BX22</f>
        <v>0</v>
      </c>
      <c r="JR21" s="72">
        <f t="shared" si="62"/>
        <v>0</v>
      </c>
      <c r="JS21" s="67"/>
      <c r="JT21" s="72"/>
      <c r="JU21" s="77">
        <f>'Федеральные  средства  по  МО'!BY22</f>
        <v>0</v>
      </c>
      <c r="JV21" s="72">
        <f t="shared" si="63"/>
        <v>0</v>
      </c>
      <c r="JW21" s="67"/>
      <c r="JX21" s="72"/>
      <c r="JY21" s="76">
        <f>'Федеральные  средства  по  МО'!BZ22</f>
        <v>0</v>
      </c>
      <c r="JZ21" s="72">
        <f t="shared" si="64"/>
        <v>0</v>
      </c>
      <c r="KA21" s="67"/>
      <c r="KB21" s="72"/>
      <c r="KC21" s="75">
        <f>'Федеральные  средства  по  МО'!CA22</f>
        <v>0</v>
      </c>
      <c r="KD21" s="72">
        <f t="shared" si="65"/>
        <v>0</v>
      </c>
      <c r="KE21" s="67"/>
      <c r="KF21" s="72"/>
      <c r="KG21" s="75">
        <f>'Федеральные  средства  по  МО'!CB22</f>
        <v>0</v>
      </c>
      <c r="KH21" s="74">
        <f>'Проверочная  таблица'!SR24</f>
        <v>0</v>
      </c>
      <c r="KI21" s="72">
        <f>'Проверочная  таблица'!TT24</f>
        <v>0</v>
      </c>
      <c r="KJ21" s="67">
        <f>'Проверочная  таблица'!UH24</f>
        <v>0</v>
      </c>
      <c r="KK21" s="1139">
        <f>'Федеральные  средства  по  МО'!CC22</f>
        <v>0</v>
      </c>
      <c r="KL21" s="67">
        <f>'Проверочная  таблица'!SY24</f>
        <v>0</v>
      </c>
      <c r="KM21" s="72">
        <f>'Проверочная  таблица'!UA24</f>
        <v>0</v>
      </c>
      <c r="KN21" s="73">
        <f>'Проверочная  таблица'!UO24</f>
        <v>0</v>
      </c>
      <c r="KO21" s="75">
        <f>'Федеральные  средства  по  МО'!CD22</f>
        <v>0</v>
      </c>
      <c r="KP21" s="72">
        <f>'Проверочная  таблица'!ST24</f>
        <v>0</v>
      </c>
      <c r="KQ21" s="67">
        <f t="shared" si="66"/>
        <v>0</v>
      </c>
      <c r="KR21" s="72"/>
      <c r="KS21" s="75">
        <f>'Федеральные  средства  по  МО'!CE22</f>
        <v>0</v>
      </c>
      <c r="KT21" s="72">
        <f>'Проверочная  таблица'!TA24</f>
        <v>0</v>
      </c>
      <c r="KU21" s="67">
        <f t="shared" si="67"/>
        <v>0</v>
      </c>
      <c r="KV21" s="74"/>
      <c r="KW21" s="76">
        <f>'Федеральные  средства  по  МО'!CF22</f>
        <v>0</v>
      </c>
      <c r="KX21" s="74">
        <f>'Проверочная  таблица'!SV24</f>
        <v>0</v>
      </c>
      <c r="KY21" s="72">
        <f>'Проверочная  таблица'!TX24</f>
        <v>0</v>
      </c>
      <c r="KZ21" s="73"/>
      <c r="LA21" s="75">
        <f>'Федеральные  средства  по  МО'!CG22</f>
        <v>0</v>
      </c>
      <c r="LB21" s="74">
        <f>'Проверочная  таблица'!TC24</f>
        <v>0</v>
      </c>
      <c r="LC21" s="72">
        <f>'Проверочная  таблица'!TQ24</f>
        <v>0</v>
      </c>
      <c r="LD21" s="72"/>
    </row>
    <row r="22" spans="1:316" ht="25.5" customHeight="1" x14ac:dyDescent="0.25">
      <c r="A22" s="52" t="s">
        <v>329</v>
      </c>
      <c r="B22" s="69">
        <f t="shared" si="14"/>
        <v>294321575.35000008</v>
      </c>
      <c r="C22" s="70">
        <f t="shared" si="15"/>
        <v>277122261.33000004</v>
      </c>
      <c r="D22" s="70">
        <f t="shared" si="16"/>
        <v>17095010.550000001</v>
      </c>
      <c r="E22" s="70">
        <f t="shared" si="17"/>
        <v>104303.47</v>
      </c>
      <c r="F22" s="69">
        <f t="shared" si="18"/>
        <v>151797059.72</v>
      </c>
      <c r="G22" s="70">
        <f t="shared" si="19"/>
        <v>140064590.66</v>
      </c>
      <c r="H22" s="70">
        <f t="shared" si="1"/>
        <v>11732469.060000001</v>
      </c>
      <c r="I22" s="70">
        <f t="shared" si="2"/>
        <v>0</v>
      </c>
      <c r="J22" s="52"/>
      <c r="K22" s="53">
        <f>M22-'Федеральные  средства  по  МО'!N23-'Федеральные  средства  по  МО'!D23</f>
        <v>0</v>
      </c>
      <c r="L22" s="53">
        <f>Q22-'Федеральные  средства  по  МО'!O23-'Федеральные  средства  по  МО'!E23</f>
        <v>0</v>
      </c>
      <c r="M22" s="1180">
        <f t="shared" si="20"/>
        <v>506528118.68000001</v>
      </c>
      <c r="N22" s="70">
        <f t="shared" si="21"/>
        <v>475241743.57000005</v>
      </c>
      <c r="O22" s="70">
        <f t="shared" si="22"/>
        <v>17095010.550000001</v>
      </c>
      <c r="P22" s="70">
        <f t="shared" si="23"/>
        <v>104303.47</v>
      </c>
      <c r="Q22" s="1180">
        <f t="shared" si="24"/>
        <v>151797059.72</v>
      </c>
      <c r="R22" s="70">
        <f t="shared" si="25"/>
        <v>140064590.66</v>
      </c>
      <c r="S22" s="70">
        <f t="shared" si="26"/>
        <v>11732469.060000001</v>
      </c>
      <c r="T22" s="70">
        <f t="shared" si="27"/>
        <v>0</v>
      </c>
      <c r="U22" s="71">
        <f>'Федеральные  средства  по  МО'!F23</f>
        <v>0</v>
      </c>
      <c r="V22" s="67">
        <f>'Проверочная  таблица'!BL25</f>
        <v>0</v>
      </c>
      <c r="W22" s="72">
        <f>'Проверочная  таблица'!BP25</f>
        <v>0</v>
      </c>
      <c r="X22" s="67">
        <f>'Проверочная  таблица'!BR25</f>
        <v>0</v>
      </c>
      <c r="Y22" s="71">
        <f>'Федеральные  средства  по  МО'!G23</f>
        <v>0</v>
      </c>
      <c r="Z22" s="67">
        <f>'Проверочная  таблица'!BM25</f>
        <v>0</v>
      </c>
      <c r="AA22" s="72">
        <f>'Проверочная  таблица'!BQ25</f>
        <v>0</v>
      </c>
      <c r="AB22" s="67">
        <f>'Проверочная  таблица'!BS25</f>
        <v>0</v>
      </c>
      <c r="AC22" s="1139">
        <f>'Федеральные  средства  по  МО'!H23</f>
        <v>198119482.24000001</v>
      </c>
      <c r="AD22" s="73">
        <f t="shared" si="28"/>
        <v>198119482.24000001</v>
      </c>
      <c r="AE22" s="67"/>
      <c r="AF22" s="74"/>
      <c r="AG22" s="1139">
        <f>'Федеральные  средства  по  МО'!I23</f>
        <v>0</v>
      </c>
      <c r="AH22" s="73">
        <f t="shared" si="29"/>
        <v>0</v>
      </c>
      <c r="AI22" s="67"/>
      <c r="AJ22" s="72"/>
      <c r="AK22" s="71">
        <f>'Федеральные  средства  по  МО'!J23</f>
        <v>0</v>
      </c>
      <c r="AL22" s="73">
        <f t="shared" si="30"/>
        <v>0</v>
      </c>
      <c r="AM22" s="67"/>
      <c r="AN22" s="74"/>
      <c r="AO22" s="71">
        <f>'Федеральные  средства  по  МО'!K23</f>
        <v>0</v>
      </c>
      <c r="AP22" s="73">
        <f t="shared" si="31"/>
        <v>0</v>
      </c>
      <c r="AQ22" s="67"/>
      <c r="AR22" s="72"/>
      <c r="AS22" s="75">
        <f>'Федеральные  средства  по  МО'!P23</f>
        <v>0</v>
      </c>
      <c r="AT22" s="72">
        <f>'Проверочная  таблица'!CP25</f>
        <v>0</v>
      </c>
      <c r="AU22" s="78"/>
      <c r="AV22" s="79"/>
      <c r="AW22" s="76">
        <f>'Федеральные  средства  по  МО'!Q23</f>
        <v>0</v>
      </c>
      <c r="AX22" s="72">
        <f>'Проверочная  таблица'!CW25</f>
        <v>0</v>
      </c>
      <c r="AY22" s="80"/>
      <c r="AZ22" s="78"/>
      <c r="BA22" s="76">
        <f>'Федеральные  средства  по  МО'!R23</f>
        <v>275500000</v>
      </c>
      <c r="BB22" s="72">
        <f>'Проверочная  таблица'!CR25</f>
        <v>275500000</v>
      </c>
      <c r="BC22" s="67"/>
      <c r="BD22" s="72">
        <f>'Проверочная  таблица'!DD25</f>
        <v>0</v>
      </c>
      <c r="BE22" s="75">
        <f>'Федеральные  средства  по  МО'!S23</f>
        <v>139960287.19</v>
      </c>
      <c r="BF22" s="72">
        <f>'Проверочная  таблица'!CY25</f>
        <v>139960287.19</v>
      </c>
      <c r="BG22" s="78"/>
      <c r="BH22" s="72">
        <f>'Проверочная  таблица'!DG25</f>
        <v>0</v>
      </c>
      <c r="BI22" s="75">
        <f>'Федеральные  средства  по  МО'!T23</f>
        <v>0</v>
      </c>
      <c r="BJ22" s="72">
        <f t="shared" si="32"/>
        <v>0</v>
      </c>
      <c r="BK22" s="67"/>
      <c r="BL22" s="72"/>
      <c r="BM22" s="77">
        <f>'Федеральные  средства  по  МО'!U23</f>
        <v>0</v>
      </c>
      <c r="BN22" s="72">
        <f t="shared" si="33"/>
        <v>0</v>
      </c>
      <c r="BO22" s="80"/>
      <c r="BP22" s="80"/>
      <c r="BQ22" s="71">
        <f>'Федеральные  средства  по  МО'!V23</f>
        <v>0</v>
      </c>
      <c r="BR22" s="80">
        <f t="shared" si="4"/>
        <v>0</v>
      </c>
      <c r="BS22" s="81"/>
      <c r="BT22" s="78"/>
      <c r="BU22" s="71">
        <f>'Федеральные  средства  по  МО'!W23</f>
        <v>0</v>
      </c>
      <c r="BV22" s="80">
        <f t="shared" si="5"/>
        <v>0</v>
      </c>
      <c r="BW22" s="81"/>
      <c r="BX22" s="78"/>
      <c r="BY22" s="71">
        <f>'Федеральные  средства  по  МО'!X23</f>
        <v>0</v>
      </c>
      <c r="BZ22" s="80">
        <f t="shared" si="6"/>
        <v>0</v>
      </c>
      <c r="CA22" s="81"/>
      <c r="CB22" s="78"/>
      <c r="CC22" s="71">
        <f>'Федеральные  средства  по  МО'!Y23</f>
        <v>0</v>
      </c>
      <c r="CD22" s="80">
        <f t="shared" si="7"/>
        <v>0</v>
      </c>
      <c r="CE22" s="81"/>
      <c r="CF22" s="78"/>
      <c r="CG22" s="71">
        <f>'Федеральные  средства  по  МО'!Z23</f>
        <v>0</v>
      </c>
      <c r="CH22" s="80">
        <f t="shared" si="8"/>
        <v>0</v>
      </c>
      <c r="CI22" s="78"/>
      <c r="CJ22" s="79"/>
      <c r="CK22" s="71">
        <f>'Федеральные  средства  по  МО'!AA23</f>
        <v>0</v>
      </c>
      <c r="CL22" s="80">
        <f t="shared" si="9"/>
        <v>0</v>
      </c>
      <c r="CM22" s="81"/>
      <c r="CN22" s="80"/>
      <c r="CO22" s="76">
        <f>'Федеральные  средства  по  МО'!AB23</f>
        <v>0</v>
      </c>
      <c r="CP22" s="72">
        <f t="shared" si="34"/>
        <v>0</v>
      </c>
      <c r="CQ22" s="67"/>
      <c r="CR22" s="72"/>
      <c r="CS22" s="75">
        <f>'Федеральные  средства  по  МО'!AC23</f>
        <v>0</v>
      </c>
      <c r="CT22" s="72">
        <f t="shared" si="35"/>
        <v>0</v>
      </c>
      <c r="CU22" s="67"/>
      <c r="CV22" s="72"/>
      <c r="CW22" s="76">
        <f>'Федеральные  средства  по  МО'!AD23</f>
        <v>0</v>
      </c>
      <c r="CX22" s="74">
        <f>'Проверочная  таблица'!EV25</f>
        <v>0</v>
      </c>
      <c r="CY22" s="72">
        <f t="shared" si="36"/>
        <v>0</v>
      </c>
      <c r="CZ22" s="73"/>
      <c r="DA22" s="75">
        <f>'Федеральные  средства  по  МО'!AE23</f>
        <v>0</v>
      </c>
      <c r="DB22" s="74">
        <f>'Проверочная  таблица'!EY25</f>
        <v>0</v>
      </c>
      <c r="DC22" s="72">
        <f t="shared" si="37"/>
        <v>0</v>
      </c>
      <c r="DD22" s="67"/>
      <c r="DE22" s="71">
        <f>'Федеральные  средства  по  МО'!AF23</f>
        <v>0</v>
      </c>
      <c r="DF22" s="73">
        <f t="shared" si="38"/>
        <v>0</v>
      </c>
      <c r="DG22" s="67"/>
      <c r="DH22" s="74"/>
      <c r="DI22" s="71">
        <f>'Федеральные  средства  по  МО'!AG23</f>
        <v>0</v>
      </c>
      <c r="DJ22" s="73">
        <f t="shared" si="39"/>
        <v>0</v>
      </c>
      <c r="DK22" s="67"/>
      <c r="DL22" s="74"/>
      <c r="DM22" s="71">
        <f>'Федеральные  средства  по  МО'!AH23</f>
        <v>0</v>
      </c>
      <c r="DN22" s="73">
        <f t="shared" si="40"/>
        <v>0</v>
      </c>
      <c r="DO22" s="67"/>
      <c r="DP22" s="74"/>
      <c r="DQ22" s="71">
        <f>'Федеральные  средства  по  МО'!AI23</f>
        <v>0</v>
      </c>
      <c r="DR22" s="73">
        <f t="shared" si="41"/>
        <v>0</v>
      </c>
      <c r="DS22" s="67"/>
      <c r="DT22" s="72"/>
      <c r="DU22" s="76">
        <f>'Федеральные  средства  по  МО'!AJ23</f>
        <v>0</v>
      </c>
      <c r="DV22" s="72">
        <f t="shared" si="42"/>
        <v>0</v>
      </c>
      <c r="DW22" s="67"/>
      <c r="DX22" s="72"/>
      <c r="DY22" s="75">
        <f>'Федеральные  средства  по  МО'!AK23</f>
        <v>0</v>
      </c>
      <c r="DZ22" s="72">
        <f t="shared" si="43"/>
        <v>0</v>
      </c>
      <c r="EA22" s="67"/>
      <c r="EB22" s="74"/>
      <c r="EC22" s="71">
        <f>'Федеральные  средства  по  МО'!AL23</f>
        <v>0</v>
      </c>
      <c r="ED22" s="67">
        <f t="shared" si="10"/>
        <v>0</v>
      </c>
      <c r="EE22" s="72"/>
      <c r="EF22" s="67"/>
      <c r="EG22" s="71">
        <f>'Федеральные  средства  по  МО'!AM23</f>
        <v>0</v>
      </c>
      <c r="EH22" s="67">
        <f t="shared" si="11"/>
        <v>0</v>
      </c>
      <c r="EI22" s="72"/>
      <c r="EJ22" s="67"/>
      <c r="EK22" s="76">
        <f>'Федеральные  средства  по  МО'!AN23</f>
        <v>0</v>
      </c>
      <c r="EL22" s="72"/>
      <c r="EM22" s="67"/>
      <c r="EN22" s="72">
        <f t="shared" si="44"/>
        <v>0</v>
      </c>
      <c r="EO22" s="75">
        <f>'Федеральные  средства  по  МО'!AO23</f>
        <v>0</v>
      </c>
      <c r="EP22" s="72"/>
      <c r="EQ22" s="67"/>
      <c r="ER22" s="74">
        <f t="shared" si="45"/>
        <v>0</v>
      </c>
      <c r="ES22" s="1152">
        <f>'Федеральные  средства  по  МО'!AP23</f>
        <v>0</v>
      </c>
      <c r="ET22" s="72">
        <f>'Проверочная  таблица'!IJ25</f>
        <v>0</v>
      </c>
      <c r="EU22" s="67">
        <f>'Проверочная  таблица'!IT25</f>
        <v>0</v>
      </c>
      <c r="EV22" s="72">
        <f>'Проверочная  таблица'!IV25</f>
        <v>0</v>
      </c>
      <c r="EW22" s="1154">
        <f>'Федеральные  средства  по  МО'!AQ23</f>
        <v>0</v>
      </c>
      <c r="EX22" s="72">
        <f>'Проверочная  таблица'!IM25</f>
        <v>0</v>
      </c>
      <c r="EY22" s="67">
        <f>'Проверочная  таблица'!IU25</f>
        <v>0</v>
      </c>
      <c r="EZ22" s="72">
        <f>'Проверочная  таблица'!IS24</f>
        <v>0</v>
      </c>
      <c r="FA22" s="77">
        <f>'Федеральные  средства  по  МО'!AR23</f>
        <v>0</v>
      </c>
      <c r="FB22" s="73"/>
      <c r="FC22" s="67"/>
      <c r="FD22" s="74"/>
      <c r="FE22" s="71">
        <f>'Федеральные  средства  по  МО'!AS23</f>
        <v>0</v>
      </c>
      <c r="FF22" s="73"/>
      <c r="FG22" s="67"/>
      <c r="FH22" s="72"/>
      <c r="FI22" s="77">
        <f>'Федеральные  средства  по  МО'!AT23</f>
        <v>0</v>
      </c>
      <c r="FJ22" s="80"/>
      <c r="FK22" s="78"/>
      <c r="FL22" s="79"/>
      <c r="FM22" s="71">
        <f>'Федеральные  средства  по  МО'!AU23</f>
        <v>0</v>
      </c>
      <c r="FN22" s="78"/>
      <c r="FO22" s="81"/>
      <c r="FP22" s="78"/>
      <c r="FQ22" s="76">
        <f>'Федеральные  средства  по  МО'!AV23</f>
        <v>0</v>
      </c>
      <c r="FR22" s="74">
        <f>'Проверочная  таблица'!JL25</f>
        <v>0</v>
      </c>
      <c r="FS22" s="72">
        <f>'Проверочная  таблица'!JX25</f>
        <v>-104303.47</v>
      </c>
      <c r="FT22" s="72">
        <f>'Проверочная  таблица'!KD25</f>
        <v>104303.47</v>
      </c>
      <c r="FU22" s="75">
        <f>'Федеральные  средства  по  МО'!AW23</f>
        <v>0</v>
      </c>
      <c r="FV22" s="72">
        <f>'Проверочная  таблица'!JO25</f>
        <v>0</v>
      </c>
      <c r="FW22" s="67">
        <f>'Проверочная  таблица'!KA25</f>
        <v>0</v>
      </c>
      <c r="FX22" s="72">
        <f>'Проверочная  таблица'!KG25</f>
        <v>0</v>
      </c>
      <c r="FY22" s="76">
        <f>'Федеральные  средства  по  МО'!AX23</f>
        <v>253019.27</v>
      </c>
      <c r="FZ22" s="72"/>
      <c r="GA22" s="67">
        <f t="shared" si="46"/>
        <v>253019.27</v>
      </c>
      <c r="GB22" s="72"/>
      <c r="GC22" s="71">
        <f>'Федеральные  средства  по  МО'!AY23</f>
        <v>0</v>
      </c>
      <c r="GD22" s="67"/>
      <c r="GE22" s="72">
        <f t="shared" si="47"/>
        <v>0</v>
      </c>
      <c r="GF22" s="67"/>
      <c r="GG22" s="71">
        <f>'Федеральные  средства  по  МО'!AZ23</f>
        <v>1517957.86</v>
      </c>
      <c r="GH22" s="73">
        <f t="shared" si="48"/>
        <v>1517957.86</v>
      </c>
      <c r="GI22" s="67"/>
      <c r="GJ22" s="74"/>
      <c r="GK22" s="71">
        <f>'Федеральные  средства  по  МО'!BA23</f>
        <v>0</v>
      </c>
      <c r="GL22" s="73">
        <f t="shared" si="49"/>
        <v>0</v>
      </c>
      <c r="GM22" s="67"/>
      <c r="GN22" s="72"/>
      <c r="GO22" s="77">
        <f>'Федеральные  средства  по  МО'!BB23</f>
        <v>15412800</v>
      </c>
      <c r="GP22" s="78"/>
      <c r="GQ22" s="74">
        <f>'Проверочная  таблица'!MG25</f>
        <v>15412800</v>
      </c>
      <c r="GR22" s="72">
        <f>'Проверочная  таблица'!MO25</f>
        <v>0</v>
      </c>
      <c r="GS22" s="75">
        <f>'Федеральные  средства  по  МО'!BC23</f>
        <v>10198974.310000001</v>
      </c>
      <c r="GT22" s="74"/>
      <c r="GU22" s="72">
        <f>'Проверочная  таблица'!MK25</f>
        <v>10198974.310000001</v>
      </c>
      <c r="GV22" s="73">
        <f>'Проверочная  таблица'!MS25</f>
        <v>0</v>
      </c>
      <c r="GW22" s="75">
        <f>'Федеральные  средства  по  МО'!BD23</f>
        <v>0</v>
      </c>
      <c r="GX22" s="72">
        <f t="shared" si="50"/>
        <v>0</v>
      </c>
      <c r="GY22" s="67"/>
      <c r="GZ22" s="74"/>
      <c r="HA22" s="71">
        <f>'Федеральные  средства  по  МО'!BE23</f>
        <v>0</v>
      </c>
      <c r="HB22" s="72">
        <f t="shared" si="51"/>
        <v>0</v>
      </c>
      <c r="HC22" s="73"/>
      <c r="HD22" s="78"/>
      <c r="HE22" s="71">
        <f>'Федеральные  средства  по  МО'!BF23</f>
        <v>0</v>
      </c>
      <c r="HF22" s="74">
        <f t="shared" si="52"/>
        <v>0</v>
      </c>
      <c r="HG22" s="72"/>
      <c r="HH22" s="73"/>
      <c r="HI22" s="77">
        <f>'Федеральные  средства  по  МО'!BG23</f>
        <v>0</v>
      </c>
      <c r="HJ22" s="74">
        <f t="shared" si="12"/>
        <v>0</v>
      </c>
      <c r="HK22" s="72"/>
      <c r="HL22" s="73"/>
      <c r="HM22" s="76">
        <f>'Федеральные  средства  по  МО'!BH23</f>
        <v>104303.47</v>
      </c>
      <c r="HN22" s="74">
        <f t="shared" si="53"/>
        <v>104303.47</v>
      </c>
      <c r="HO22" s="72"/>
      <c r="HP22" s="73">
        <f>'Проверочная  таблица'!NX25</f>
        <v>0</v>
      </c>
      <c r="HQ22" s="77">
        <f>'Федеральные  средства  по  МО'!BI23</f>
        <v>104303.47</v>
      </c>
      <c r="HR22" s="74">
        <f t="shared" si="54"/>
        <v>104303.47</v>
      </c>
      <c r="HS22" s="79"/>
      <c r="HT22" s="72">
        <f>'Проверочная  таблица'!OA25</f>
        <v>0</v>
      </c>
      <c r="HU22" s="77">
        <f>'Федеральные  средства  по  МО'!BJ23</f>
        <v>0</v>
      </c>
      <c r="HV22" s="80">
        <f t="shared" si="55"/>
        <v>0</v>
      </c>
      <c r="HW22" s="78"/>
      <c r="HX22" s="79"/>
      <c r="HY22" s="71">
        <f>'Федеральные  средства  по  МО'!BK23</f>
        <v>0</v>
      </c>
      <c r="HZ22" s="80">
        <f t="shared" si="13"/>
        <v>0</v>
      </c>
      <c r="IA22" s="78"/>
      <c r="IB22" s="81"/>
      <c r="IC22" s="76">
        <f>'Федеральные  средства  по  МО'!BL23</f>
        <v>14087061.09</v>
      </c>
      <c r="ID22" s="74"/>
      <c r="IE22" s="72"/>
      <c r="IF22" s="73">
        <f>'Проверочная  таблица'!PJ25</f>
        <v>0</v>
      </c>
      <c r="IG22" s="75">
        <f>'Федеральные  средства  по  МО'!BM23</f>
        <v>0</v>
      </c>
      <c r="IH22" s="74"/>
      <c r="II22" s="72"/>
      <c r="IJ22" s="73">
        <f>'Проверочная  таблица'!PN25</f>
        <v>0</v>
      </c>
      <c r="IK22" s="76">
        <f>'Федеральные  средства  по  МО'!BN23</f>
        <v>1533494.75</v>
      </c>
      <c r="IL22" s="74">
        <f>'Проверочная  таблица'!PR25</f>
        <v>0</v>
      </c>
      <c r="IM22" s="72">
        <f t="shared" si="56"/>
        <v>1533494.75</v>
      </c>
      <c r="IN22" s="73"/>
      <c r="IO22" s="75">
        <f>'Федеральные  средства  по  МО'!BO23</f>
        <v>1533494.75</v>
      </c>
      <c r="IP22" s="74">
        <f>'Проверочная  таблица'!PW25</f>
        <v>0</v>
      </c>
      <c r="IQ22" s="72">
        <f t="shared" si="57"/>
        <v>1533494.75</v>
      </c>
      <c r="IR22" s="73"/>
      <c r="IS22" s="76">
        <f>'Федеральные  средства  по  МО'!BR23</f>
        <v>0</v>
      </c>
      <c r="IT22" s="72">
        <f t="shared" si="58"/>
        <v>0</v>
      </c>
      <c r="IU22" s="67"/>
      <c r="IV22" s="72"/>
      <c r="IW22" s="77">
        <f>'Федеральные  средства  по  МО'!BS23</f>
        <v>0</v>
      </c>
      <c r="IX22" s="73">
        <f t="shared" si="59"/>
        <v>0</v>
      </c>
      <c r="IY22" s="73"/>
      <c r="IZ22" s="72"/>
      <c r="JA22" s="76">
        <f>'Федеральные  средства  по  МО'!BT23</f>
        <v>0</v>
      </c>
      <c r="JB22" s="72">
        <f>'Проверочная  таблица'!RF25</f>
        <v>0</v>
      </c>
      <c r="JC22" s="67">
        <f>'Проверочная  таблица'!RL25</f>
        <v>0</v>
      </c>
      <c r="JD22" s="72">
        <f>'Проверочная  таблица'!RR25</f>
        <v>0</v>
      </c>
      <c r="JE22" s="75">
        <f>'Федеральные  средства  по  МО'!BU23</f>
        <v>0</v>
      </c>
      <c r="JF22" s="72">
        <f>'Проверочная  таблица'!RC25</f>
        <v>0</v>
      </c>
      <c r="JG22" s="67">
        <f>'Проверочная  таблица'!RO25</f>
        <v>0</v>
      </c>
      <c r="JH22" s="74">
        <f>'Проверочная  таблица'!RU25</f>
        <v>0</v>
      </c>
      <c r="JI22" s="71">
        <f>'Федеральные  средства  по  МО'!BV23</f>
        <v>0</v>
      </c>
      <c r="JJ22" s="72">
        <f t="shared" si="60"/>
        <v>0</v>
      </c>
      <c r="JK22" s="67"/>
      <c r="JL22" s="72"/>
      <c r="JM22" s="77">
        <f>'Федеральные  средства  по  МО'!BW23</f>
        <v>0</v>
      </c>
      <c r="JN22" s="73">
        <f t="shared" si="61"/>
        <v>0</v>
      </c>
      <c r="JO22" s="67"/>
      <c r="JP22" s="74"/>
      <c r="JQ22" s="76">
        <f>'Федеральные  средства  по  МО'!BX23</f>
        <v>0</v>
      </c>
      <c r="JR22" s="72">
        <f t="shared" si="62"/>
        <v>0</v>
      </c>
      <c r="JS22" s="67"/>
      <c r="JT22" s="72"/>
      <c r="JU22" s="77">
        <f>'Федеральные  средства  по  МО'!BY23</f>
        <v>0</v>
      </c>
      <c r="JV22" s="72">
        <f t="shared" si="63"/>
        <v>0</v>
      </c>
      <c r="JW22" s="67"/>
      <c r="JX22" s="72"/>
      <c r="JY22" s="76">
        <f>'Федеральные  средства  по  МО'!BZ23</f>
        <v>0</v>
      </c>
      <c r="JZ22" s="72">
        <f t="shared" si="64"/>
        <v>0</v>
      </c>
      <c r="KA22" s="67"/>
      <c r="KB22" s="72"/>
      <c r="KC22" s="75">
        <f>'Федеральные  средства  по  МО'!CA23</f>
        <v>0</v>
      </c>
      <c r="KD22" s="72">
        <f t="shared" si="65"/>
        <v>0</v>
      </c>
      <c r="KE22" s="67"/>
      <c r="KF22" s="72"/>
      <c r="KG22" s="75">
        <f>'Федеральные  средства  по  МО'!CB23</f>
        <v>0</v>
      </c>
      <c r="KH22" s="74">
        <f>'Проверочная  таблица'!SR25</f>
        <v>0</v>
      </c>
      <c r="KI22" s="72">
        <f>'Проверочная  таблица'!TT25</f>
        <v>0</v>
      </c>
      <c r="KJ22" s="67">
        <f>'Проверочная  таблица'!UH25</f>
        <v>0</v>
      </c>
      <c r="KK22" s="1139">
        <f>'Федеральные  средства  по  МО'!CC23</f>
        <v>0</v>
      </c>
      <c r="KL22" s="67">
        <f>'Проверочная  таблица'!SY25</f>
        <v>0</v>
      </c>
      <c r="KM22" s="72">
        <f>'Проверочная  таблица'!UA25</f>
        <v>0</v>
      </c>
      <c r="KN22" s="73">
        <f>'Проверочная  таблица'!UO25</f>
        <v>0</v>
      </c>
      <c r="KO22" s="75">
        <f>'Федеральные  средства  по  МО'!CD23</f>
        <v>0</v>
      </c>
      <c r="KP22" s="72">
        <f>'Проверочная  таблица'!ST25</f>
        <v>0</v>
      </c>
      <c r="KQ22" s="67">
        <f t="shared" si="66"/>
        <v>0</v>
      </c>
      <c r="KR22" s="72"/>
      <c r="KS22" s="75">
        <f>'Федеральные  средства  по  МО'!CE23</f>
        <v>0</v>
      </c>
      <c r="KT22" s="72">
        <f>'Проверочная  таблица'!TA25</f>
        <v>0</v>
      </c>
      <c r="KU22" s="67">
        <f t="shared" si="67"/>
        <v>0</v>
      </c>
      <c r="KV22" s="74"/>
      <c r="KW22" s="76">
        <f>'Федеральные  средства  по  МО'!CF23</f>
        <v>0</v>
      </c>
      <c r="KX22" s="74">
        <f>'Проверочная  таблица'!SV25</f>
        <v>0</v>
      </c>
      <c r="KY22" s="72">
        <f>'Проверочная  таблица'!TX25</f>
        <v>0</v>
      </c>
      <c r="KZ22" s="73"/>
      <c r="LA22" s="75">
        <f>'Федеральные  средства  по  МО'!CG23</f>
        <v>0</v>
      </c>
      <c r="LB22" s="74">
        <f>'Проверочная  таблица'!TC25</f>
        <v>0</v>
      </c>
      <c r="LC22" s="72">
        <f>'Проверочная  таблица'!TQ25</f>
        <v>0</v>
      </c>
      <c r="LD22" s="72"/>
    </row>
    <row r="23" spans="1:316" ht="25.5" customHeight="1" x14ac:dyDescent="0.25">
      <c r="A23" s="87" t="s">
        <v>330</v>
      </c>
      <c r="B23" s="51">
        <f t="shared" si="14"/>
        <v>1037915.08</v>
      </c>
      <c r="C23" s="51">
        <f t="shared" si="15"/>
        <v>161364</v>
      </c>
      <c r="D23" s="51">
        <f t="shared" si="16"/>
        <v>736196.37</v>
      </c>
      <c r="E23" s="51">
        <f t="shared" si="17"/>
        <v>140354.71</v>
      </c>
      <c r="F23" s="51">
        <f t="shared" si="18"/>
        <v>140354.71</v>
      </c>
      <c r="G23" s="51">
        <f t="shared" si="19"/>
        <v>140354.71</v>
      </c>
      <c r="H23" s="51">
        <f t="shared" si="1"/>
        <v>0</v>
      </c>
      <c r="I23" s="51">
        <f t="shared" si="2"/>
        <v>0</v>
      </c>
      <c r="J23" s="52"/>
      <c r="K23" s="53">
        <f>M23-'Федеральные  средства  по  МО'!N24-'Федеральные  средства  по  МО'!D24</f>
        <v>0</v>
      </c>
      <c r="L23" s="53">
        <f>Q23-'Федеральные  средства  по  МО'!O24-'Федеральные  средства  по  МО'!E24</f>
        <v>0</v>
      </c>
      <c r="M23" s="1181">
        <f t="shared" si="20"/>
        <v>33415556.449999999</v>
      </c>
      <c r="N23" s="1181">
        <f t="shared" si="21"/>
        <v>32539005.370000001</v>
      </c>
      <c r="O23" s="1181">
        <f t="shared" si="22"/>
        <v>736196.37</v>
      </c>
      <c r="P23" s="1181">
        <f t="shared" si="23"/>
        <v>140354.71</v>
      </c>
      <c r="Q23" s="1181">
        <f t="shared" si="24"/>
        <v>140354.71</v>
      </c>
      <c r="R23" s="1181">
        <f t="shared" si="25"/>
        <v>140354.71</v>
      </c>
      <c r="S23" s="1181">
        <f t="shared" si="26"/>
        <v>0</v>
      </c>
      <c r="T23" s="1181">
        <f t="shared" si="27"/>
        <v>0</v>
      </c>
      <c r="U23" s="83">
        <f>'Федеральные  средства  по  МО'!F24</f>
        <v>0</v>
      </c>
      <c r="V23" s="84">
        <f>'Проверочная  таблица'!BL15</f>
        <v>0</v>
      </c>
      <c r="W23" s="83">
        <f>'Проверочная  таблица'!BP15</f>
        <v>0</v>
      </c>
      <c r="X23" s="84">
        <f>'Проверочная  таблица'!BR15</f>
        <v>0</v>
      </c>
      <c r="Y23" s="83">
        <f>'Федеральные  средства  по  МО'!G24</f>
        <v>0</v>
      </c>
      <c r="Z23" s="84">
        <f>'Проверочная  таблица'!BM15</f>
        <v>0</v>
      </c>
      <c r="AA23" s="83">
        <f>'Проверочная  таблица'!BQ15</f>
        <v>0</v>
      </c>
      <c r="AB23" s="84">
        <f>'Проверочная  таблица'!BS15</f>
        <v>0</v>
      </c>
      <c r="AC23" s="1176">
        <f>'Федеральные  средства  по  МО'!H24</f>
        <v>32377641.370000001</v>
      </c>
      <c r="AD23" s="1177">
        <f t="shared" si="28"/>
        <v>32377641.370000001</v>
      </c>
      <c r="AE23" s="1178"/>
      <c r="AF23" s="1179"/>
      <c r="AG23" s="1176">
        <f>'Федеральные  средства  по  МО'!I24</f>
        <v>0</v>
      </c>
      <c r="AH23" s="85">
        <f t="shared" si="29"/>
        <v>0</v>
      </c>
      <c r="AI23" s="84"/>
      <c r="AJ23" s="83"/>
      <c r="AK23" s="83">
        <f>'Федеральные  средства  по  МО'!J24</f>
        <v>0</v>
      </c>
      <c r="AL23" s="85">
        <f t="shared" si="30"/>
        <v>0</v>
      </c>
      <c r="AM23" s="84"/>
      <c r="AN23" s="86"/>
      <c r="AO23" s="83">
        <f>'Федеральные  средства  по  МО'!K24</f>
        <v>0</v>
      </c>
      <c r="AP23" s="85">
        <f t="shared" si="31"/>
        <v>0</v>
      </c>
      <c r="AQ23" s="84"/>
      <c r="AR23" s="83"/>
      <c r="AS23" s="84">
        <f>'Федеральные  средства  по  МО'!P24</f>
        <v>0</v>
      </c>
      <c r="AT23" s="83">
        <f>'Проверочная  таблица'!CP15</f>
        <v>0</v>
      </c>
      <c r="AU23" s="84"/>
      <c r="AV23" s="86"/>
      <c r="AW23" s="86">
        <f>'Федеральные  средства  по  МО'!Q24</f>
        <v>0</v>
      </c>
      <c r="AX23" s="83">
        <f>'Проверочная  таблица'!CW15</f>
        <v>0</v>
      </c>
      <c r="AY23" s="85"/>
      <c r="AZ23" s="84"/>
      <c r="BA23" s="86">
        <f>'Федеральные  средства  по  МО'!R24</f>
        <v>0</v>
      </c>
      <c r="BB23" s="83">
        <f>'Проверочная  таблица'!CR15</f>
        <v>0</v>
      </c>
      <c r="BC23" s="84"/>
      <c r="BD23" s="83">
        <f>'Проверочная  таблица'!DD15</f>
        <v>0</v>
      </c>
      <c r="BE23" s="84">
        <f>'Федеральные  средства  по  МО'!S24</f>
        <v>0</v>
      </c>
      <c r="BF23" s="83">
        <f>'Проверочная  таблица'!CY15</f>
        <v>0</v>
      </c>
      <c r="BG23" s="84"/>
      <c r="BH23" s="83">
        <f>'Проверочная  таблица'!DG15</f>
        <v>0</v>
      </c>
      <c r="BI23" s="84">
        <f>'Федеральные  средства  по  МО'!T24</f>
        <v>0</v>
      </c>
      <c r="BJ23" s="83">
        <f t="shared" si="32"/>
        <v>0</v>
      </c>
      <c r="BK23" s="84"/>
      <c r="BL23" s="83"/>
      <c r="BM23" s="85">
        <f>'Федеральные  средства  по  МО'!U24</f>
        <v>0</v>
      </c>
      <c r="BN23" s="83">
        <f t="shared" si="33"/>
        <v>0</v>
      </c>
      <c r="BO23" s="85"/>
      <c r="BP23" s="85"/>
      <c r="BQ23" s="83">
        <f>'Федеральные  средства  по  МО'!V24</f>
        <v>0</v>
      </c>
      <c r="BR23" s="85">
        <f t="shared" si="4"/>
        <v>0</v>
      </c>
      <c r="BS23" s="83"/>
      <c r="BT23" s="84"/>
      <c r="BU23" s="83">
        <f>'Федеральные  средства  по  МО'!W24</f>
        <v>0</v>
      </c>
      <c r="BV23" s="85">
        <f t="shared" si="5"/>
        <v>0</v>
      </c>
      <c r="BW23" s="83"/>
      <c r="BX23" s="84"/>
      <c r="BY23" s="83">
        <f>'Федеральные  средства  по  МО'!X24</f>
        <v>0</v>
      </c>
      <c r="BZ23" s="85">
        <f t="shared" si="6"/>
        <v>0</v>
      </c>
      <c r="CA23" s="83"/>
      <c r="CB23" s="84"/>
      <c r="CC23" s="83">
        <f>'Федеральные  средства  по  МО'!Y24</f>
        <v>0</v>
      </c>
      <c r="CD23" s="85">
        <f t="shared" si="7"/>
        <v>0</v>
      </c>
      <c r="CE23" s="83"/>
      <c r="CF23" s="84"/>
      <c r="CG23" s="83">
        <f>'Федеральные  средства  по  МО'!Z24</f>
        <v>0</v>
      </c>
      <c r="CH23" s="85">
        <f t="shared" si="8"/>
        <v>0</v>
      </c>
      <c r="CI23" s="84"/>
      <c r="CJ23" s="86"/>
      <c r="CK23" s="83">
        <f>'Федеральные  средства  по  МО'!AA24</f>
        <v>0</v>
      </c>
      <c r="CL23" s="85">
        <f t="shared" si="9"/>
        <v>0</v>
      </c>
      <c r="CM23" s="83"/>
      <c r="CN23" s="85"/>
      <c r="CO23" s="86">
        <f>'Федеральные  средства  по  МО'!AB24</f>
        <v>0</v>
      </c>
      <c r="CP23" s="83">
        <f t="shared" si="34"/>
        <v>0</v>
      </c>
      <c r="CQ23" s="84"/>
      <c r="CR23" s="83"/>
      <c r="CS23" s="84">
        <f>'Федеральные  средства  по  МО'!AC24</f>
        <v>0</v>
      </c>
      <c r="CT23" s="83">
        <f t="shared" si="35"/>
        <v>0</v>
      </c>
      <c r="CU23" s="84"/>
      <c r="CV23" s="83"/>
      <c r="CW23" s="86">
        <f>'Федеральные  средства  по  МО'!AD24</f>
        <v>0</v>
      </c>
      <c r="CX23" s="86">
        <f>'Проверочная  таблица'!EV15</f>
        <v>0</v>
      </c>
      <c r="CY23" s="83">
        <f t="shared" si="36"/>
        <v>0</v>
      </c>
      <c r="CZ23" s="85"/>
      <c r="DA23" s="84">
        <f>'Федеральные  средства  по  МО'!AE24</f>
        <v>0</v>
      </c>
      <c r="DB23" s="86">
        <f>'Проверочная  таблица'!EY15</f>
        <v>0</v>
      </c>
      <c r="DC23" s="83">
        <f t="shared" si="37"/>
        <v>0</v>
      </c>
      <c r="DD23" s="84"/>
      <c r="DE23" s="83">
        <f>'Федеральные  средства  по  МО'!AF24</f>
        <v>0</v>
      </c>
      <c r="DF23" s="85">
        <f t="shared" si="38"/>
        <v>0</v>
      </c>
      <c r="DG23" s="84"/>
      <c r="DH23" s="86"/>
      <c r="DI23" s="83">
        <f>'Федеральные  средства  по  МО'!AG24</f>
        <v>0</v>
      </c>
      <c r="DJ23" s="85">
        <f t="shared" si="39"/>
        <v>0</v>
      </c>
      <c r="DK23" s="84"/>
      <c r="DL23" s="86"/>
      <c r="DM23" s="83">
        <f>'Федеральные  средства  по  МО'!AH24</f>
        <v>0</v>
      </c>
      <c r="DN23" s="85">
        <f t="shared" si="40"/>
        <v>0</v>
      </c>
      <c r="DO23" s="84"/>
      <c r="DP23" s="86"/>
      <c r="DQ23" s="83">
        <f>'Федеральные  средства  по  МО'!AI24</f>
        <v>0</v>
      </c>
      <c r="DR23" s="85">
        <f t="shared" si="41"/>
        <v>0</v>
      </c>
      <c r="DS23" s="84"/>
      <c r="DT23" s="83"/>
      <c r="DU23" s="86">
        <f>'Федеральные  средства  по  МО'!AJ24</f>
        <v>0</v>
      </c>
      <c r="DV23" s="83">
        <f t="shared" si="42"/>
        <v>0</v>
      </c>
      <c r="DW23" s="84"/>
      <c r="DX23" s="83"/>
      <c r="DY23" s="84">
        <f>'Федеральные  средства  по  МО'!AK24</f>
        <v>0</v>
      </c>
      <c r="DZ23" s="83">
        <f t="shared" si="43"/>
        <v>0</v>
      </c>
      <c r="EA23" s="84"/>
      <c r="EB23" s="86"/>
      <c r="EC23" s="83">
        <f>'Федеральные  средства  по  МО'!AL24</f>
        <v>0</v>
      </c>
      <c r="ED23" s="84">
        <f t="shared" si="10"/>
        <v>0</v>
      </c>
      <c r="EE23" s="83"/>
      <c r="EF23" s="84"/>
      <c r="EG23" s="83">
        <f>'Федеральные  средства  по  МО'!AM24</f>
        <v>0</v>
      </c>
      <c r="EH23" s="84">
        <f t="shared" si="11"/>
        <v>0</v>
      </c>
      <c r="EI23" s="83"/>
      <c r="EJ23" s="84"/>
      <c r="EK23" s="86">
        <f>'Федеральные  средства  по  МО'!AN24</f>
        <v>0</v>
      </c>
      <c r="EL23" s="83"/>
      <c r="EM23" s="84"/>
      <c r="EN23" s="83">
        <f t="shared" si="44"/>
        <v>0</v>
      </c>
      <c r="EO23" s="84">
        <f>'Федеральные  средства  по  МО'!AO24</f>
        <v>0</v>
      </c>
      <c r="EP23" s="83"/>
      <c r="EQ23" s="84"/>
      <c r="ER23" s="86">
        <f t="shared" si="45"/>
        <v>0</v>
      </c>
      <c r="ES23" s="455">
        <f>'Федеральные  средства  по  МО'!AP24</f>
        <v>0</v>
      </c>
      <c r="ET23" s="456">
        <f>'Проверочная  таблица'!IJ15</f>
        <v>0</v>
      </c>
      <c r="EU23" s="1159">
        <f>'Проверочная  таблица'!IT15</f>
        <v>0</v>
      </c>
      <c r="EV23" s="456">
        <f>'Проверочная  таблица'!IV15</f>
        <v>0</v>
      </c>
      <c r="EW23" s="1159">
        <f>'Федеральные  средства  по  МО'!AQ24</f>
        <v>0</v>
      </c>
      <c r="EX23" s="456">
        <f>'Проверочная  таблица'!IM15</f>
        <v>0</v>
      </c>
      <c r="EY23" s="1159">
        <f>'Проверочная  таблица'!IU15</f>
        <v>0</v>
      </c>
      <c r="EZ23" s="456">
        <f>'Проверочная  таблица'!IS25</f>
        <v>0</v>
      </c>
      <c r="FA23" s="85">
        <f>'Федеральные  средства  по  МО'!AR24</f>
        <v>0</v>
      </c>
      <c r="FB23" s="85"/>
      <c r="FC23" s="84"/>
      <c r="FD23" s="86"/>
      <c r="FE23" s="83">
        <f>'Федеральные  средства  по  МО'!AS24</f>
        <v>0</v>
      </c>
      <c r="FF23" s="85"/>
      <c r="FG23" s="84"/>
      <c r="FH23" s="83"/>
      <c r="FI23" s="85">
        <f>'Федеральные  средства  по  МО'!AT24</f>
        <v>0</v>
      </c>
      <c r="FJ23" s="85"/>
      <c r="FK23" s="84"/>
      <c r="FL23" s="86"/>
      <c r="FM23" s="83">
        <f>'Федеральные  средства  по  МО'!AU24</f>
        <v>0</v>
      </c>
      <c r="FN23" s="84"/>
      <c r="FO23" s="83"/>
      <c r="FP23" s="84"/>
      <c r="FQ23" s="86">
        <f>'Федеральные  средства  по  МО'!AV24</f>
        <v>0</v>
      </c>
      <c r="FR23" s="86">
        <f>'Проверочная  таблица'!JL15</f>
        <v>0</v>
      </c>
      <c r="FS23" s="83">
        <f>'Проверочная  таблица'!JX15</f>
        <v>-140354.71</v>
      </c>
      <c r="FT23" s="83">
        <f>'Проверочная  таблица'!KD15</f>
        <v>140354.71</v>
      </c>
      <c r="FU23" s="84">
        <f>'Федеральные  средства  по  МО'!AW24</f>
        <v>0</v>
      </c>
      <c r="FV23" s="83">
        <f>'Проверочная  таблица'!JO15</f>
        <v>0</v>
      </c>
      <c r="FW23" s="84">
        <f>'Проверочная  таблица'!KA15</f>
        <v>0</v>
      </c>
      <c r="FX23" s="83">
        <f>'Проверочная  таблица'!KG15</f>
        <v>0</v>
      </c>
      <c r="FY23" s="86">
        <f>'Федеральные  средства  по  МО'!AX24</f>
        <v>876551.08</v>
      </c>
      <c r="FZ23" s="83"/>
      <c r="GA23" s="84">
        <f t="shared" si="46"/>
        <v>876551.08</v>
      </c>
      <c r="GB23" s="83"/>
      <c r="GC23" s="83">
        <f>'Федеральные  средства  по  МО'!AY24</f>
        <v>0</v>
      </c>
      <c r="GD23" s="84"/>
      <c r="GE23" s="83">
        <f t="shared" si="47"/>
        <v>0</v>
      </c>
      <c r="GF23" s="84"/>
      <c r="GG23" s="83">
        <f>'Федеральные  средства  по  МО'!AZ24</f>
        <v>21009.29</v>
      </c>
      <c r="GH23" s="85">
        <f t="shared" si="48"/>
        <v>21009.29</v>
      </c>
      <c r="GI23" s="84"/>
      <c r="GJ23" s="86"/>
      <c r="GK23" s="83">
        <f>'Федеральные  средства  по  МО'!BA24</f>
        <v>0</v>
      </c>
      <c r="GL23" s="85">
        <f t="shared" si="49"/>
        <v>0</v>
      </c>
      <c r="GM23" s="84"/>
      <c r="GN23" s="83"/>
      <c r="GO23" s="85">
        <f>'Федеральные  средства  по  МО'!BB24</f>
        <v>0</v>
      </c>
      <c r="GP23" s="84"/>
      <c r="GQ23" s="86">
        <f>'Проверочная  таблица'!MG15</f>
        <v>0</v>
      </c>
      <c r="GR23" s="83">
        <f>'Проверочная  таблица'!MO15</f>
        <v>0</v>
      </c>
      <c r="GS23" s="84">
        <f>'Федеральные  средства  по  МО'!BC24</f>
        <v>0</v>
      </c>
      <c r="GT23" s="86"/>
      <c r="GU23" s="83">
        <f>'Проверочная  таблица'!MK15</f>
        <v>0</v>
      </c>
      <c r="GV23" s="85">
        <f>'Проверочная  таблица'!MS15</f>
        <v>0</v>
      </c>
      <c r="GW23" s="84">
        <f>'Федеральные  средства  по  МО'!BD24</f>
        <v>0</v>
      </c>
      <c r="GX23" s="83">
        <f t="shared" si="50"/>
        <v>0</v>
      </c>
      <c r="GY23" s="84"/>
      <c r="GZ23" s="86"/>
      <c r="HA23" s="83">
        <f>'Федеральные  средства  по  МО'!BE24</f>
        <v>0</v>
      </c>
      <c r="HB23" s="83">
        <f t="shared" si="51"/>
        <v>0</v>
      </c>
      <c r="HC23" s="85"/>
      <c r="HD23" s="84"/>
      <c r="HE23" s="83">
        <f>'Федеральные  средства  по  МО'!BF24</f>
        <v>0</v>
      </c>
      <c r="HF23" s="86">
        <f t="shared" si="52"/>
        <v>0</v>
      </c>
      <c r="HG23" s="83"/>
      <c r="HH23" s="85"/>
      <c r="HI23" s="85">
        <f>'Федеральные  средства  по  МО'!BG24</f>
        <v>0</v>
      </c>
      <c r="HJ23" s="86">
        <f t="shared" si="12"/>
        <v>0</v>
      </c>
      <c r="HK23" s="83"/>
      <c r="HL23" s="85"/>
      <c r="HM23" s="86">
        <f>'Федеральные  средства  по  МО'!BH24</f>
        <v>140354.71</v>
      </c>
      <c r="HN23" s="86">
        <f t="shared" si="53"/>
        <v>140354.71</v>
      </c>
      <c r="HO23" s="83"/>
      <c r="HP23" s="85">
        <f>'Проверочная  таблица'!NX15</f>
        <v>0</v>
      </c>
      <c r="HQ23" s="85">
        <f>'Федеральные  средства  по  МО'!BI24</f>
        <v>140354.71</v>
      </c>
      <c r="HR23" s="86">
        <f t="shared" si="54"/>
        <v>140354.71</v>
      </c>
      <c r="HS23" s="86"/>
      <c r="HT23" s="83">
        <f>'Проверочная  таблица'!OA15</f>
        <v>0</v>
      </c>
      <c r="HU23" s="85">
        <f>'Федеральные  средства  по  МО'!BJ24</f>
        <v>0</v>
      </c>
      <c r="HV23" s="85">
        <f t="shared" si="55"/>
        <v>0</v>
      </c>
      <c r="HW23" s="84"/>
      <c r="HX23" s="86"/>
      <c r="HY23" s="83">
        <f>'Федеральные  средства  по  МО'!BK24</f>
        <v>0</v>
      </c>
      <c r="HZ23" s="85">
        <f t="shared" si="13"/>
        <v>0</v>
      </c>
      <c r="IA23" s="84"/>
      <c r="IB23" s="83"/>
      <c r="IC23" s="86">
        <f>'Федеральные  средства  по  МО'!BL24</f>
        <v>0</v>
      </c>
      <c r="ID23" s="86"/>
      <c r="IE23" s="83"/>
      <c r="IF23" s="85">
        <f>'Проверочная  таблица'!PJ15</f>
        <v>0</v>
      </c>
      <c r="IG23" s="84">
        <f>'Федеральные  средства  по  МО'!BM24</f>
        <v>0</v>
      </c>
      <c r="IH23" s="86"/>
      <c r="II23" s="83"/>
      <c r="IJ23" s="85">
        <f>'Проверочная  таблица'!PN15</f>
        <v>0</v>
      </c>
      <c r="IK23" s="86">
        <f>'Федеральные  средства  по  МО'!BN24</f>
        <v>0</v>
      </c>
      <c r="IL23" s="86">
        <f>'Проверочная  таблица'!PR15</f>
        <v>0</v>
      </c>
      <c r="IM23" s="83">
        <f t="shared" si="56"/>
        <v>0</v>
      </c>
      <c r="IN23" s="85"/>
      <c r="IO23" s="84">
        <f>'Федеральные  средства  по  МО'!BO24</f>
        <v>0</v>
      </c>
      <c r="IP23" s="86">
        <f>'Проверочная  таблица'!PW15</f>
        <v>0</v>
      </c>
      <c r="IQ23" s="83">
        <f t="shared" si="57"/>
        <v>0</v>
      </c>
      <c r="IR23" s="85"/>
      <c r="IS23" s="86">
        <f>'Федеральные  средства  по  МО'!BR24</f>
        <v>0</v>
      </c>
      <c r="IT23" s="83">
        <f t="shared" si="58"/>
        <v>0</v>
      </c>
      <c r="IU23" s="84"/>
      <c r="IV23" s="83"/>
      <c r="IW23" s="85">
        <f>'Федеральные  средства  по  МО'!BS24</f>
        <v>0</v>
      </c>
      <c r="IX23" s="85">
        <f t="shared" si="59"/>
        <v>0</v>
      </c>
      <c r="IY23" s="85"/>
      <c r="IZ23" s="83"/>
      <c r="JA23" s="86">
        <f>'Федеральные  средства  по  МО'!BT24</f>
        <v>0</v>
      </c>
      <c r="JB23" s="83">
        <f>'Проверочная  таблица'!RF15</f>
        <v>0</v>
      </c>
      <c r="JC23" s="84">
        <f>'Проверочная  таблица'!RL15</f>
        <v>0</v>
      </c>
      <c r="JD23" s="83">
        <f>'Проверочная  таблица'!RR15</f>
        <v>0</v>
      </c>
      <c r="JE23" s="84">
        <f>'Федеральные  средства  по  МО'!BU24</f>
        <v>0</v>
      </c>
      <c r="JF23" s="83">
        <f>'Проверочная  таблица'!RC15</f>
        <v>0</v>
      </c>
      <c r="JG23" s="84">
        <f>'Проверочная  таблица'!RO15</f>
        <v>0</v>
      </c>
      <c r="JH23" s="86">
        <f>'Проверочная  таблица'!RU15</f>
        <v>0</v>
      </c>
      <c r="JI23" s="83">
        <f>'Федеральные  средства  по  МО'!BV24</f>
        <v>0</v>
      </c>
      <c r="JJ23" s="83">
        <f t="shared" si="60"/>
        <v>0</v>
      </c>
      <c r="JK23" s="84"/>
      <c r="JL23" s="83"/>
      <c r="JM23" s="85">
        <f>'Федеральные  средства  по  МО'!BW24</f>
        <v>0</v>
      </c>
      <c r="JN23" s="85">
        <f t="shared" si="61"/>
        <v>0</v>
      </c>
      <c r="JO23" s="84"/>
      <c r="JP23" s="86"/>
      <c r="JQ23" s="86">
        <f>'Федеральные  средства  по  МО'!BX24</f>
        <v>0</v>
      </c>
      <c r="JR23" s="83">
        <f t="shared" si="62"/>
        <v>0</v>
      </c>
      <c r="JS23" s="84"/>
      <c r="JT23" s="83"/>
      <c r="JU23" s="85">
        <f>'Федеральные  средства  по  МО'!BY24</f>
        <v>0</v>
      </c>
      <c r="JV23" s="83">
        <f t="shared" si="63"/>
        <v>0</v>
      </c>
      <c r="JW23" s="84"/>
      <c r="JX23" s="83"/>
      <c r="JY23" s="86">
        <f>'Федеральные  средства  по  МО'!BZ24</f>
        <v>0</v>
      </c>
      <c r="JZ23" s="83">
        <f t="shared" si="64"/>
        <v>0</v>
      </c>
      <c r="KA23" s="84"/>
      <c r="KB23" s="83"/>
      <c r="KC23" s="84">
        <f>'Федеральные  средства  по  МО'!CA24</f>
        <v>0</v>
      </c>
      <c r="KD23" s="83">
        <f t="shared" si="65"/>
        <v>0</v>
      </c>
      <c r="KE23" s="84"/>
      <c r="KF23" s="83"/>
      <c r="KG23" s="84">
        <f>'Федеральные  средства  по  МО'!CB24</f>
        <v>0</v>
      </c>
      <c r="KH23" s="86">
        <f>'Проверочная  таблица'!SR15</f>
        <v>0</v>
      </c>
      <c r="KI23" s="83">
        <f>'Проверочная  таблица'!TT15</f>
        <v>0</v>
      </c>
      <c r="KJ23" s="84">
        <f>'Проверочная  таблица'!UH15</f>
        <v>0</v>
      </c>
      <c r="KK23" s="83">
        <f>'Федеральные  средства  по  МО'!CC24</f>
        <v>0</v>
      </c>
      <c r="KL23" s="84">
        <f>'Проверочная  таблица'!SY15</f>
        <v>0</v>
      </c>
      <c r="KM23" s="83">
        <f>'Проверочная  таблица'!UA15</f>
        <v>0</v>
      </c>
      <c r="KN23" s="85">
        <f>'Проверочная  таблица'!UO15</f>
        <v>0</v>
      </c>
      <c r="KO23" s="84">
        <f>'Федеральные  средства  по  МО'!CD24</f>
        <v>0</v>
      </c>
      <c r="KP23" s="83">
        <f>'Проверочная  таблица'!ST15</f>
        <v>0</v>
      </c>
      <c r="KQ23" s="84">
        <f t="shared" si="66"/>
        <v>0</v>
      </c>
      <c r="KR23" s="83"/>
      <c r="KS23" s="84">
        <f>'Федеральные  средства  по  МО'!CE24</f>
        <v>0</v>
      </c>
      <c r="KT23" s="83">
        <f>'Проверочная  таблица'!TA15</f>
        <v>0</v>
      </c>
      <c r="KU23" s="84">
        <f t="shared" si="67"/>
        <v>0</v>
      </c>
      <c r="KV23" s="86"/>
      <c r="KW23" s="86">
        <f>'Федеральные  средства  по  МО'!CF24</f>
        <v>0</v>
      </c>
      <c r="KX23" s="86">
        <f>'Проверочная  таблица'!SV15</f>
        <v>0</v>
      </c>
      <c r="KY23" s="83">
        <f>'Проверочная  таблица'!TX15</f>
        <v>0</v>
      </c>
      <c r="KZ23" s="85"/>
      <c r="LA23" s="84">
        <f>'Федеральные  средства  по  МО'!CG24</f>
        <v>0</v>
      </c>
      <c r="LB23" s="86">
        <f>'Проверочная  таблица'!TC15</f>
        <v>0</v>
      </c>
      <c r="LC23" s="83">
        <f>'Проверочная  таблица'!TQ15</f>
        <v>0</v>
      </c>
      <c r="LD23" s="83"/>
    </row>
    <row r="24" spans="1:316" ht="25.5" customHeight="1" x14ac:dyDescent="0.25">
      <c r="A24" s="52" t="s">
        <v>331</v>
      </c>
      <c r="B24" s="69">
        <f t="shared" si="14"/>
        <v>2215885.3599999989</v>
      </c>
      <c r="C24" s="70">
        <f t="shared" si="15"/>
        <v>242383.28999999911</v>
      </c>
      <c r="D24" s="70">
        <f t="shared" si="16"/>
        <v>1822506.9699999997</v>
      </c>
      <c r="E24" s="70">
        <f t="shared" si="17"/>
        <v>150995.1</v>
      </c>
      <c r="F24" s="69">
        <f t="shared" si="18"/>
        <v>1592959.3699999999</v>
      </c>
      <c r="G24" s="70">
        <f t="shared" si="19"/>
        <v>150995.1</v>
      </c>
      <c r="H24" s="70">
        <f t="shared" si="1"/>
        <v>1441964.2699999998</v>
      </c>
      <c r="I24" s="70">
        <f t="shared" si="2"/>
        <v>0</v>
      </c>
      <c r="J24" s="52"/>
      <c r="K24" s="53">
        <f>M24-'Федеральные  средства  по  МО'!N25-'Федеральные  средства  по  МО'!D25</f>
        <v>0</v>
      </c>
      <c r="L24" s="53">
        <f>Q24-'Федеральные  средства  по  МО'!O25-'Федеральные  средства  по  МО'!E25</f>
        <v>0</v>
      </c>
      <c r="M24" s="1180">
        <f t="shared" si="20"/>
        <v>27910806.18</v>
      </c>
      <c r="N24" s="70">
        <f t="shared" si="21"/>
        <v>20937304.109999999</v>
      </c>
      <c r="O24" s="70">
        <f t="shared" si="22"/>
        <v>1822506.9699999997</v>
      </c>
      <c r="P24" s="70">
        <f t="shared" si="23"/>
        <v>150995.1</v>
      </c>
      <c r="Q24" s="1180">
        <f t="shared" si="24"/>
        <v>1592959.3699999999</v>
      </c>
      <c r="R24" s="70">
        <f t="shared" si="25"/>
        <v>150995.1</v>
      </c>
      <c r="S24" s="70">
        <f t="shared" si="26"/>
        <v>1441964.2699999998</v>
      </c>
      <c r="T24" s="70">
        <f t="shared" si="27"/>
        <v>0</v>
      </c>
      <c r="U24" s="71">
        <f>'Федеральные  средства  по  МО'!F25</f>
        <v>0</v>
      </c>
      <c r="V24" s="67">
        <f>'Проверочная  таблица'!BL26</f>
        <v>0</v>
      </c>
      <c r="W24" s="72">
        <f>'Проверочная  таблица'!BP26</f>
        <v>0</v>
      </c>
      <c r="X24" s="67">
        <f>'Проверочная  таблица'!BR26</f>
        <v>0</v>
      </c>
      <c r="Y24" s="71">
        <f>'Федеральные  средства  по  МО'!G25</f>
        <v>0</v>
      </c>
      <c r="Z24" s="67">
        <f>'Проверочная  таблица'!BM26</f>
        <v>0</v>
      </c>
      <c r="AA24" s="72">
        <f>'Проверочная  таблица'!BQ26</f>
        <v>0</v>
      </c>
      <c r="AB24" s="67">
        <f>'Проверочная  таблица'!BS26</f>
        <v>0</v>
      </c>
      <c r="AC24" s="1139">
        <f>'Федеральные  средства  по  МО'!H25</f>
        <v>20694920.82</v>
      </c>
      <c r="AD24" s="73">
        <f t="shared" si="28"/>
        <v>20694920.82</v>
      </c>
      <c r="AE24" s="67"/>
      <c r="AF24" s="74"/>
      <c r="AG24" s="1139">
        <f>'Федеральные  средства  по  МО'!I25</f>
        <v>0</v>
      </c>
      <c r="AH24" s="73">
        <f t="shared" si="29"/>
        <v>0</v>
      </c>
      <c r="AI24" s="67"/>
      <c r="AJ24" s="72"/>
      <c r="AK24" s="71">
        <f>'Федеральные  средства  по  МО'!J25</f>
        <v>0</v>
      </c>
      <c r="AL24" s="73">
        <f t="shared" si="30"/>
        <v>0</v>
      </c>
      <c r="AM24" s="67"/>
      <c r="AN24" s="74"/>
      <c r="AO24" s="71">
        <f>'Федеральные  средства  по  МО'!K25</f>
        <v>0</v>
      </c>
      <c r="AP24" s="73">
        <f t="shared" si="31"/>
        <v>0</v>
      </c>
      <c r="AQ24" s="67"/>
      <c r="AR24" s="72"/>
      <c r="AS24" s="75">
        <f>'Федеральные  средства  по  МО'!P25</f>
        <v>0</v>
      </c>
      <c r="AT24" s="72">
        <f>'Проверочная  таблица'!CP26</f>
        <v>0</v>
      </c>
      <c r="AU24" s="78"/>
      <c r="AV24" s="79"/>
      <c r="AW24" s="76">
        <f>'Федеральные  средства  по  МО'!Q25</f>
        <v>0</v>
      </c>
      <c r="AX24" s="72">
        <f>'Проверочная  таблица'!CW26</f>
        <v>0</v>
      </c>
      <c r="AY24" s="80"/>
      <c r="AZ24" s="78"/>
      <c r="BA24" s="76">
        <f>'Федеральные  средства  по  МО'!R25</f>
        <v>0</v>
      </c>
      <c r="BB24" s="72">
        <f>'Проверочная  таблица'!CR26</f>
        <v>0</v>
      </c>
      <c r="BC24" s="67"/>
      <c r="BD24" s="72">
        <f>'Проверочная  таблица'!DD26</f>
        <v>0</v>
      </c>
      <c r="BE24" s="75">
        <f>'Федеральные  средства  по  МО'!S25</f>
        <v>0</v>
      </c>
      <c r="BF24" s="72">
        <f>'Проверочная  таблица'!CY26</f>
        <v>0</v>
      </c>
      <c r="BG24" s="78"/>
      <c r="BH24" s="72">
        <f>'Проверочная  таблица'!DG26</f>
        <v>0</v>
      </c>
      <c r="BI24" s="75">
        <f>'Федеральные  средства  по  МО'!T25</f>
        <v>0</v>
      </c>
      <c r="BJ24" s="72">
        <f t="shared" si="32"/>
        <v>0</v>
      </c>
      <c r="BK24" s="67"/>
      <c r="BL24" s="72"/>
      <c r="BM24" s="77">
        <f>'Федеральные  средства  по  МО'!U25</f>
        <v>0</v>
      </c>
      <c r="BN24" s="72">
        <f t="shared" si="33"/>
        <v>0</v>
      </c>
      <c r="BO24" s="80"/>
      <c r="BP24" s="80"/>
      <c r="BQ24" s="71">
        <f>'Федеральные  средства  по  МО'!V25</f>
        <v>0</v>
      </c>
      <c r="BR24" s="80">
        <f t="shared" si="4"/>
        <v>0</v>
      </c>
      <c r="BS24" s="81"/>
      <c r="BT24" s="78"/>
      <c r="BU24" s="71">
        <f>'Федеральные  средства  по  МО'!W25</f>
        <v>0</v>
      </c>
      <c r="BV24" s="80">
        <f t="shared" si="5"/>
        <v>0</v>
      </c>
      <c r="BW24" s="81"/>
      <c r="BX24" s="78"/>
      <c r="BY24" s="71">
        <f>'Федеральные  средства  по  МО'!X25</f>
        <v>0</v>
      </c>
      <c r="BZ24" s="80">
        <f t="shared" si="6"/>
        <v>0</v>
      </c>
      <c r="CA24" s="81"/>
      <c r="CB24" s="78"/>
      <c r="CC24" s="71">
        <f>'Федеральные  средства  по  МО'!Y25</f>
        <v>0</v>
      </c>
      <c r="CD24" s="80">
        <f t="shared" si="7"/>
        <v>0</v>
      </c>
      <c r="CE24" s="81"/>
      <c r="CF24" s="78"/>
      <c r="CG24" s="71">
        <f>'Федеральные  средства  по  МО'!Z25</f>
        <v>0</v>
      </c>
      <c r="CH24" s="80">
        <f t="shared" si="8"/>
        <v>0</v>
      </c>
      <c r="CI24" s="78"/>
      <c r="CJ24" s="79"/>
      <c r="CK24" s="71">
        <f>'Федеральные  средства  по  МО'!AA25</f>
        <v>0</v>
      </c>
      <c r="CL24" s="80">
        <f t="shared" si="9"/>
        <v>0</v>
      </c>
      <c r="CM24" s="81"/>
      <c r="CN24" s="80"/>
      <c r="CO24" s="76">
        <f>'Федеральные  средства  по  МО'!AB25</f>
        <v>0</v>
      </c>
      <c r="CP24" s="72">
        <f t="shared" si="34"/>
        <v>0</v>
      </c>
      <c r="CQ24" s="67"/>
      <c r="CR24" s="72"/>
      <c r="CS24" s="75">
        <f>'Федеральные  средства  по  МО'!AC25</f>
        <v>0</v>
      </c>
      <c r="CT24" s="72">
        <f t="shared" si="35"/>
        <v>0</v>
      </c>
      <c r="CU24" s="67"/>
      <c r="CV24" s="72"/>
      <c r="CW24" s="76">
        <f>'Федеральные  средства  по  МО'!AD25</f>
        <v>1762206.4</v>
      </c>
      <c r="CX24" s="74">
        <f>'Проверочная  таблица'!EV26</f>
        <v>0</v>
      </c>
      <c r="CY24" s="72">
        <f t="shared" si="36"/>
        <v>1762206.4</v>
      </c>
      <c r="CZ24" s="73"/>
      <c r="DA24" s="75">
        <f>'Федеральные  средства  по  МО'!AE25</f>
        <v>1441964.2699999998</v>
      </c>
      <c r="DB24" s="74">
        <f>'Проверочная  таблица'!EY26</f>
        <v>0</v>
      </c>
      <c r="DC24" s="72">
        <f t="shared" si="37"/>
        <v>1441964.2699999998</v>
      </c>
      <c r="DD24" s="67"/>
      <c r="DE24" s="71">
        <f>'Федеральные  средства  по  МО'!AF25</f>
        <v>0</v>
      </c>
      <c r="DF24" s="73">
        <f t="shared" si="38"/>
        <v>0</v>
      </c>
      <c r="DG24" s="67"/>
      <c r="DH24" s="74"/>
      <c r="DI24" s="71">
        <f>'Федеральные  средства  по  МО'!AG25</f>
        <v>0</v>
      </c>
      <c r="DJ24" s="73">
        <f t="shared" si="39"/>
        <v>0</v>
      </c>
      <c r="DK24" s="67"/>
      <c r="DL24" s="74"/>
      <c r="DM24" s="71">
        <f>'Федеральные  средства  по  МО'!AH25</f>
        <v>0</v>
      </c>
      <c r="DN24" s="73">
        <f t="shared" si="40"/>
        <v>0</v>
      </c>
      <c r="DO24" s="67"/>
      <c r="DP24" s="74"/>
      <c r="DQ24" s="71">
        <f>'Федеральные  средства  по  МО'!AI25</f>
        <v>0</v>
      </c>
      <c r="DR24" s="73">
        <f t="shared" si="41"/>
        <v>0</v>
      </c>
      <c r="DS24" s="67"/>
      <c r="DT24" s="72"/>
      <c r="DU24" s="76">
        <f>'Федеральные  средства  по  МО'!AJ25</f>
        <v>0</v>
      </c>
      <c r="DV24" s="72">
        <f t="shared" si="42"/>
        <v>0</v>
      </c>
      <c r="DW24" s="67"/>
      <c r="DX24" s="72"/>
      <c r="DY24" s="75">
        <f>'Федеральные  средства  по  МО'!AK25</f>
        <v>0</v>
      </c>
      <c r="DZ24" s="72">
        <f t="shared" si="43"/>
        <v>0</v>
      </c>
      <c r="EA24" s="67"/>
      <c r="EB24" s="74"/>
      <c r="EC24" s="71">
        <f>'Федеральные  средства  по  МО'!AL25</f>
        <v>0</v>
      </c>
      <c r="ED24" s="67">
        <f t="shared" si="10"/>
        <v>0</v>
      </c>
      <c r="EE24" s="72"/>
      <c r="EF24" s="67"/>
      <c r="EG24" s="71">
        <f>'Федеральные  средства  по  МО'!AM25</f>
        <v>0</v>
      </c>
      <c r="EH24" s="67">
        <f t="shared" si="11"/>
        <v>0</v>
      </c>
      <c r="EI24" s="72"/>
      <c r="EJ24" s="67"/>
      <c r="EK24" s="76">
        <f>'Федеральные  средства  по  МО'!AN25</f>
        <v>0</v>
      </c>
      <c r="EL24" s="72"/>
      <c r="EM24" s="67"/>
      <c r="EN24" s="72">
        <f t="shared" si="44"/>
        <v>0</v>
      </c>
      <c r="EO24" s="75">
        <f>'Федеральные  средства  по  МО'!AO25</f>
        <v>0</v>
      </c>
      <c r="EP24" s="72"/>
      <c r="EQ24" s="67"/>
      <c r="ER24" s="74">
        <f t="shared" si="45"/>
        <v>0</v>
      </c>
      <c r="ES24" s="1152">
        <f>'Федеральные  средства  по  МО'!AP25</f>
        <v>0</v>
      </c>
      <c r="ET24" s="72">
        <f>'Проверочная  таблица'!IJ26</f>
        <v>0</v>
      </c>
      <c r="EU24" s="67">
        <f>'Проверочная  таблица'!IT26</f>
        <v>0</v>
      </c>
      <c r="EV24" s="72">
        <f>'Проверочная  таблица'!IV26</f>
        <v>0</v>
      </c>
      <c r="EW24" s="1154">
        <f>'Федеральные  средства  по  МО'!AQ25</f>
        <v>0</v>
      </c>
      <c r="EX24" s="72">
        <f>'Проверочная  таблица'!IM26</f>
        <v>0</v>
      </c>
      <c r="EY24" s="67">
        <f>'Проверочная  таблица'!IU26</f>
        <v>0</v>
      </c>
      <c r="EZ24" s="72">
        <f>'Проверочная  таблица'!IS26</f>
        <v>0</v>
      </c>
      <c r="FA24" s="77">
        <f>'Федеральные  средства  по  МО'!AR25</f>
        <v>0</v>
      </c>
      <c r="FB24" s="73"/>
      <c r="FC24" s="67"/>
      <c r="FD24" s="74"/>
      <c r="FE24" s="71">
        <f>'Федеральные  средства  по  МО'!AS25</f>
        <v>0</v>
      </c>
      <c r="FF24" s="73"/>
      <c r="FG24" s="67"/>
      <c r="FH24" s="72"/>
      <c r="FI24" s="77">
        <f>'Федеральные  средства  по  МО'!AT25</f>
        <v>0</v>
      </c>
      <c r="FJ24" s="80"/>
      <c r="FK24" s="78"/>
      <c r="FL24" s="79"/>
      <c r="FM24" s="71">
        <f>'Федеральные  средства  по  МО'!AU25</f>
        <v>0</v>
      </c>
      <c r="FN24" s="78"/>
      <c r="FO24" s="81"/>
      <c r="FP24" s="78"/>
      <c r="FQ24" s="76">
        <f>'Федеральные  средства  по  МО'!AV25</f>
        <v>0</v>
      </c>
      <c r="FR24" s="74">
        <f>'Проверочная  таблица'!JL26</f>
        <v>0</v>
      </c>
      <c r="FS24" s="72">
        <f>'Проверочная  таблица'!JX26</f>
        <v>-150995.1</v>
      </c>
      <c r="FT24" s="72">
        <f>'Проверочная  таблица'!KD26</f>
        <v>150995.1</v>
      </c>
      <c r="FU24" s="75">
        <f>'Федеральные  средства  по  МО'!AW25</f>
        <v>0</v>
      </c>
      <c r="FV24" s="72">
        <f>'Проверочная  таблица'!JO26</f>
        <v>0</v>
      </c>
      <c r="FW24" s="67">
        <f>'Проверочная  таблица'!KA26</f>
        <v>0</v>
      </c>
      <c r="FX24" s="72">
        <f>'Проверочная  таблица'!KG26</f>
        <v>0</v>
      </c>
      <c r="FY24" s="76">
        <f>'Федеральные  средства  по  МО'!AX25</f>
        <v>211295.67</v>
      </c>
      <c r="FZ24" s="72"/>
      <c r="GA24" s="67">
        <f t="shared" si="46"/>
        <v>211295.67</v>
      </c>
      <c r="GB24" s="72"/>
      <c r="GC24" s="71">
        <f>'Федеральные  средства  по  МО'!AY25</f>
        <v>0</v>
      </c>
      <c r="GD24" s="67"/>
      <c r="GE24" s="72">
        <f t="shared" si="47"/>
        <v>0</v>
      </c>
      <c r="GF24" s="67"/>
      <c r="GG24" s="71">
        <f>'Федеральные  средства  по  МО'!AZ25</f>
        <v>91388.19</v>
      </c>
      <c r="GH24" s="73">
        <f t="shared" si="48"/>
        <v>91388.19</v>
      </c>
      <c r="GI24" s="67"/>
      <c r="GJ24" s="74"/>
      <c r="GK24" s="71">
        <f>'Федеральные  средства  по  МО'!BA25</f>
        <v>0</v>
      </c>
      <c r="GL24" s="73">
        <f t="shared" si="49"/>
        <v>0</v>
      </c>
      <c r="GM24" s="67"/>
      <c r="GN24" s="72"/>
      <c r="GO24" s="77">
        <f>'Федеральные  средства  по  МО'!BB25</f>
        <v>0</v>
      </c>
      <c r="GP24" s="78"/>
      <c r="GQ24" s="74">
        <f>'Проверочная  таблица'!MG26</f>
        <v>0</v>
      </c>
      <c r="GR24" s="72">
        <f>'Проверочная  таблица'!MO26</f>
        <v>0</v>
      </c>
      <c r="GS24" s="75">
        <f>'Федеральные  средства  по  МО'!BC25</f>
        <v>0</v>
      </c>
      <c r="GT24" s="74"/>
      <c r="GU24" s="72">
        <f>'Проверочная  таблица'!MK26</f>
        <v>0</v>
      </c>
      <c r="GV24" s="73">
        <f>'Проверочная  таблица'!MS26</f>
        <v>0</v>
      </c>
      <c r="GW24" s="75">
        <f>'Федеральные  средства  по  МО'!BD25</f>
        <v>0</v>
      </c>
      <c r="GX24" s="72">
        <f t="shared" si="50"/>
        <v>0</v>
      </c>
      <c r="GY24" s="67"/>
      <c r="GZ24" s="74"/>
      <c r="HA24" s="71">
        <f>'Федеральные  средства  по  МО'!BE25</f>
        <v>0</v>
      </c>
      <c r="HB24" s="72">
        <f t="shared" si="51"/>
        <v>0</v>
      </c>
      <c r="HC24" s="73"/>
      <c r="HD24" s="78"/>
      <c r="HE24" s="71">
        <f>'Федеральные  средства  по  МО'!BF25</f>
        <v>0</v>
      </c>
      <c r="HF24" s="74">
        <f t="shared" si="52"/>
        <v>0</v>
      </c>
      <c r="HG24" s="72"/>
      <c r="HH24" s="73"/>
      <c r="HI24" s="77">
        <f>'Федеральные  средства  по  МО'!BG25</f>
        <v>0</v>
      </c>
      <c r="HJ24" s="74">
        <f t="shared" si="12"/>
        <v>0</v>
      </c>
      <c r="HK24" s="72"/>
      <c r="HL24" s="73"/>
      <c r="HM24" s="76">
        <f>'Федеральные  средства  по  МО'!BH25</f>
        <v>150995.1</v>
      </c>
      <c r="HN24" s="74">
        <f t="shared" si="53"/>
        <v>150995.1</v>
      </c>
      <c r="HO24" s="72"/>
      <c r="HP24" s="73">
        <f>'Проверочная  таблица'!NX26</f>
        <v>0</v>
      </c>
      <c r="HQ24" s="77">
        <f>'Федеральные  средства  по  МО'!BI25</f>
        <v>150995.1</v>
      </c>
      <c r="HR24" s="74">
        <f t="shared" si="54"/>
        <v>150995.1</v>
      </c>
      <c r="HS24" s="79"/>
      <c r="HT24" s="72">
        <f>'Проверочная  таблица'!OA26</f>
        <v>0</v>
      </c>
      <c r="HU24" s="77">
        <f>'Федеральные  средства  по  МО'!BJ25</f>
        <v>0</v>
      </c>
      <c r="HV24" s="80">
        <f t="shared" si="55"/>
        <v>0</v>
      </c>
      <c r="HW24" s="78"/>
      <c r="HX24" s="79"/>
      <c r="HY24" s="71">
        <f>'Федеральные  средства  по  МО'!BK25</f>
        <v>0</v>
      </c>
      <c r="HZ24" s="80">
        <f t="shared" si="13"/>
        <v>0</v>
      </c>
      <c r="IA24" s="78"/>
      <c r="IB24" s="81"/>
      <c r="IC24" s="76">
        <f>'Федеральные  средства  по  МО'!BL25</f>
        <v>5000000</v>
      </c>
      <c r="ID24" s="74"/>
      <c r="IE24" s="72"/>
      <c r="IF24" s="73">
        <f>'Проверочная  таблица'!PJ26</f>
        <v>0</v>
      </c>
      <c r="IG24" s="75">
        <f>'Федеральные  средства  по  МО'!BM25</f>
        <v>0</v>
      </c>
      <c r="IH24" s="74"/>
      <c r="II24" s="72"/>
      <c r="IJ24" s="73">
        <f>'Проверочная  таблица'!PN26</f>
        <v>0</v>
      </c>
      <c r="IK24" s="76">
        <f>'Федеральные  средства  по  МО'!BN25</f>
        <v>0</v>
      </c>
      <c r="IL24" s="74">
        <f>'Проверочная  таблица'!PR26</f>
        <v>0</v>
      </c>
      <c r="IM24" s="72">
        <f t="shared" si="56"/>
        <v>0</v>
      </c>
      <c r="IN24" s="73"/>
      <c r="IO24" s="75">
        <f>'Федеральные  средства  по  МО'!BO25</f>
        <v>0</v>
      </c>
      <c r="IP24" s="74">
        <f>'Проверочная  таблица'!PW26</f>
        <v>0</v>
      </c>
      <c r="IQ24" s="72">
        <f t="shared" si="57"/>
        <v>0</v>
      </c>
      <c r="IR24" s="73"/>
      <c r="IS24" s="76">
        <f>'Федеральные  средства  по  МО'!BR25</f>
        <v>0</v>
      </c>
      <c r="IT24" s="72">
        <f t="shared" si="58"/>
        <v>0</v>
      </c>
      <c r="IU24" s="67"/>
      <c r="IV24" s="72"/>
      <c r="IW24" s="77">
        <f>'Федеральные  средства  по  МО'!BS25</f>
        <v>0</v>
      </c>
      <c r="IX24" s="73">
        <f t="shared" si="59"/>
        <v>0</v>
      </c>
      <c r="IY24" s="73"/>
      <c r="IZ24" s="72"/>
      <c r="JA24" s="76">
        <f>'Федеральные  средства  по  МО'!BT25</f>
        <v>0</v>
      </c>
      <c r="JB24" s="72">
        <f>'Проверочная  таблица'!RF26</f>
        <v>0</v>
      </c>
      <c r="JC24" s="67">
        <f>'Проверочная  таблица'!RL26</f>
        <v>0</v>
      </c>
      <c r="JD24" s="72">
        <f>'Проверочная  таблица'!RR26</f>
        <v>0</v>
      </c>
      <c r="JE24" s="75">
        <f>'Федеральные  средства  по  МО'!BU25</f>
        <v>0</v>
      </c>
      <c r="JF24" s="72">
        <f>'Проверочная  таблица'!RC26</f>
        <v>0</v>
      </c>
      <c r="JG24" s="67">
        <f>'Проверочная  таблица'!RO26</f>
        <v>0</v>
      </c>
      <c r="JH24" s="74">
        <f>'Проверочная  таблица'!RU26</f>
        <v>0</v>
      </c>
      <c r="JI24" s="71">
        <f>'Федеральные  средства  по  МО'!BV25</f>
        <v>0</v>
      </c>
      <c r="JJ24" s="72">
        <f t="shared" si="60"/>
        <v>0</v>
      </c>
      <c r="JK24" s="67"/>
      <c r="JL24" s="72"/>
      <c r="JM24" s="77">
        <f>'Федеральные  средства  по  МО'!BW25</f>
        <v>0</v>
      </c>
      <c r="JN24" s="73">
        <f t="shared" si="61"/>
        <v>0</v>
      </c>
      <c r="JO24" s="67"/>
      <c r="JP24" s="74"/>
      <c r="JQ24" s="76">
        <f>'Федеральные  средства  по  МО'!BX25</f>
        <v>0</v>
      </c>
      <c r="JR24" s="72">
        <f t="shared" si="62"/>
        <v>0</v>
      </c>
      <c r="JS24" s="67"/>
      <c r="JT24" s="72"/>
      <c r="JU24" s="77">
        <f>'Федеральные  средства  по  МО'!BY25</f>
        <v>0</v>
      </c>
      <c r="JV24" s="72">
        <f t="shared" si="63"/>
        <v>0</v>
      </c>
      <c r="JW24" s="67"/>
      <c r="JX24" s="72"/>
      <c r="JY24" s="76">
        <f>'Федеральные  средства  по  МО'!BZ25</f>
        <v>0</v>
      </c>
      <c r="JZ24" s="72">
        <f t="shared" si="64"/>
        <v>0</v>
      </c>
      <c r="KA24" s="67"/>
      <c r="KB24" s="72"/>
      <c r="KC24" s="75">
        <f>'Федеральные  средства  по  МО'!CA25</f>
        <v>0</v>
      </c>
      <c r="KD24" s="72">
        <f t="shared" si="65"/>
        <v>0</v>
      </c>
      <c r="KE24" s="67"/>
      <c r="KF24" s="72"/>
      <c r="KG24" s="75">
        <f>'Федеральные  средства  по  МО'!CB25</f>
        <v>0</v>
      </c>
      <c r="KH24" s="74">
        <f>'Проверочная  таблица'!SR26</f>
        <v>0</v>
      </c>
      <c r="KI24" s="72">
        <f>'Проверочная  таблица'!TT26</f>
        <v>0</v>
      </c>
      <c r="KJ24" s="67">
        <f>'Проверочная  таблица'!UH26</f>
        <v>0</v>
      </c>
      <c r="KK24" s="1139">
        <f>'Федеральные  средства  по  МО'!CC25</f>
        <v>0</v>
      </c>
      <c r="KL24" s="67">
        <f>'Проверочная  таблица'!SY26</f>
        <v>0</v>
      </c>
      <c r="KM24" s="72">
        <f>'Проверочная  таблица'!UA26</f>
        <v>0</v>
      </c>
      <c r="KN24" s="73">
        <f>'Проверочная  таблица'!UO26</f>
        <v>0</v>
      </c>
      <c r="KO24" s="75">
        <f>'Федеральные  средства  по  МО'!CD25</f>
        <v>0</v>
      </c>
      <c r="KP24" s="72">
        <f>'Проверочная  таблица'!ST26</f>
        <v>0</v>
      </c>
      <c r="KQ24" s="67">
        <f t="shared" si="66"/>
        <v>0</v>
      </c>
      <c r="KR24" s="72"/>
      <c r="KS24" s="75">
        <f>'Федеральные  средства  по  МО'!CE25</f>
        <v>0</v>
      </c>
      <c r="KT24" s="72">
        <f>'Проверочная  таблица'!TA26</f>
        <v>0</v>
      </c>
      <c r="KU24" s="67">
        <f t="shared" si="67"/>
        <v>0</v>
      </c>
      <c r="KV24" s="74"/>
      <c r="KW24" s="76">
        <f>'Федеральные  средства  по  МО'!CF25</f>
        <v>0</v>
      </c>
      <c r="KX24" s="74">
        <f>'Проверочная  таблица'!SV26</f>
        <v>0</v>
      </c>
      <c r="KY24" s="72">
        <f>'Проверочная  таблица'!TX26</f>
        <v>0</v>
      </c>
      <c r="KZ24" s="73"/>
      <c r="LA24" s="75">
        <f>'Федеральные  средства  по  МО'!CG25</f>
        <v>0</v>
      </c>
      <c r="LB24" s="74">
        <f>'Проверочная  таблица'!TC26</f>
        <v>0</v>
      </c>
      <c r="LC24" s="72">
        <f>'Проверочная  таблица'!TQ26</f>
        <v>0</v>
      </c>
      <c r="LD24" s="72"/>
    </row>
    <row r="25" spans="1:316" ht="25.5" customHeight="1" x14ac:dyDescent="0.25">
      <c r="A25" s="68" t="s">
        <v>332</v>
      </c>
      <c r="B25" s="69">
        <f t="shared" si="14"/>
        <v>77195173.069999993</v>
      </c>
      <c r="C25" s="70">
        <f t="shared" si="15"/>
        <v>14585513.889999997</v>
      </c>
      <c r="D25" s="70">
        <f t="shared" si="16"/>
        <v>30290159.779999997</v>
      </c>
      <c r="E25" s="70">
        <f t="shared" si="17"/>
        <v>32319499.400000002</v>
      </c>
      <c r="F25" s="69">
        <f t="shared" si="18"/>
        <v>42096276.480000004</v>
      </c>
      <c r="G25" s="70">
        <f t="shared" si="19"/>
        <v>14291599.030000001</v>
      </c>
      <c r="H25" s="70">
        <f t="shared" si="1"/>
        <v>8472600.0299999993</v>
      </c>
      <c r="I25" s="70">
        <f t="shared" si="2"/>
        <v>19332077.419999998</v>
      </c>
      <c r="J25" s="52"/>
      <c r="K25" s="53">
        <f>M25-'Федеральные  средства  по  МО'!N26-'Федеральные  средства  по  МО'!D26</f>
        <v>0</v>
      </c>
      <c r="L25" s="53">
        <f>Q25-'Федеральные  средства  по  МО'!O26-'Федеральные  средства  по  МО'!E26</f>
        <v>0</v>
      </c>
      <c r="M25" s="1180">
        <f t="shared" si="20"/>
        <v>160739541.66999999</v>
      </c>
      <c r="N25" s="70">
        <f t="shared" si="21"/>
        <v>83985672.909999996</v>
      </c>
      <c r="O25" s="70">
        <f t="shared" si="22"/>
        <v>30290159.779999997</v>
      </c>
      <c r="P25" s="70">
        <f t="shared" si="23"/>
        <v>32319499.400000002</v>
      </c>
      <c r="Q25" s="1180">
        <f t="shared" si="24"/>
        <v>47194637.480000004</v>
      </c>
      <c r="R25" s="70">
        <f t="shared" si="25"/>
        <v>19389960.030000001</v>
      </c>
      <c r="S25" s="70">
        <f t="shared" si="26"/>
        <v>8472600.0299999993</v>
      </c>
      <c r="T25" s="70">
        <f t="shared" si="27"/>
        <v>19332077.419999998</v>
      </c>
      <c r="U25" s="71">
        <f>'Федеральные  средства  по  МО'!F26</f>
        <v>0</v>
      </c>
      <c r="V25" s="67">
        <f>'Проверочная  таблица'!BL27</f>
        <v>0</v>
      </c>
      <c r="W25" s="72">
        <f>'Проверочная  таблица'!BP27</f>
        <v>0</v>
      </c>
      <c r="X25" s="67">
        <f>'Проверочная  таблица'!BR27</f>
        <v>0</v>
      </c>
      <c r="Y25" s="71">
        <f>'Федеральные  средства  по  МО'!G26</f>
        <v>0</v>
      </c>
      <c r="Z25" s="67">
        <f>'Проверочная  таблица'!BM27</f>
        <v>0</v>
      </c>
      <c r="AA25" s="72">
        <f>'Проверочная  таблица'!BQ27</f>
        <v>0</v>
      </c>
      <c r="AB25" s="67">
        <f>'Проверочная  таблица'!BS27</f>
        <v>0</v>
      </c>
      <c r="AC25" s="1139">
        <f>'Федеральные  средства  по  МО'!H26</f>
        <v>2274159.02</v>
      </c>
      <c r="AD25" s="73">
        <f t="shared" si="28"/>
        <v>2274159.02</v>
      </c>
      <c r="AE25" s="67"/>
      <c r="AF25" s="74"/>
      <c r="AG25" s="1139">
        <f>'Федеральные  средства  по  МО'!I26</f>
        <v>0</v>
      </c>
      <c r="AH25" s="73">
        <f t="shared" si="29"/>
        <v>0</v>
      </c>
      <c r="AI25" s="67"/>
      <c r="AJ25" s="72"/>
      <c r="AK25" s="71">
        <f>'Федеральные  средства  по  МО'!J26</f>
        <v>67126000</v>
      </c>
      <c r="AL25" s="73">
        <f t="shared" si="30"/>
        <v>67126000</v>
      </c>
      <c r="AM25" s="67"/>
      <c r="AN25" s="74"/>
      <c r="AO25" s="71">
        <f>'Федеральные  средства  по  МО'!K26</f>
        <v>5098361</v>
      </c>
      <c r="AP25" s="73">
        <f t="shared" si="31"/>
        <v>5098361</v>
      </c>
      <c r="AQ25" s="67"/>
      <c r="AR25" s="72"/>
      <c r="AS25" s="75">
        <f>'Федеральные  средства  по  МО'!P26</f>
        <v>243864.57</v>
      </c>
      <c r="AT25" s="72">
        <f>'Проверочная  таблица'!CP27</f>
        <v>243864.57</v>
      </c>
      <c r="AU25" s="67"/>
      <c r="AV25" s="74"/>
      <c r="AW25" s="76">
        <f>'Федеральные  средства  по  МО'!Q26</f>
        <v>0</v>
      </c>
      <c r="AX25" s="72">
        <f>'Проверочная  таблица'!CW27</f>
        <v>0</v>
      </c>
      <c r="AY25" s="73"/>
      <c r="AZ25" s="67"/>
      <c r="BA25" s="76">
        <f>'Федеральные  средства  по  МО'!R26</f>
        <v>15838100</v>
      </c>
      <c r="BB25" s="72">
        <f>'Проверочная  таблица'!CR27</f>
        <v>0</v>
      </c>
      <c r="BC25" s="67"/>
      <c r="BD25" s="72">
        <f>'Проверочная  таблица'!DD27</f>
        <v>15838100</v>
      </c>
      <c r="BE25" s="75">
        <f>'Федеральные  средства  по  МО'!S26</f>
        <v>3713329.88</v>
      </c>
      <c r="BF25" s="72">
        <f>'Проверочная  таблица'!CY27</f>
        <v>0</v>
      </c>
      <c r="BG25" s="67"/>
      <c r="BH25" s="72">
        <f>'Проверочная  таблица'!DG27</f>
        <v>3713329.88</v>
      </c>
      <c r="BI25" s="75">
        <f>'Федеральные  средства  по  МО'!T26</f>
        <v>0</v>
      </c>
      <c r="BJ25" s="72">
        <f t="shared" si="32"/>
        <v>0</v>
      </c>
      <c r="BK25" s="67"/>
      <c r="BL25" s="72"/>
      <c r="BM25" s="77">
        <f>'Федеральные  средства  по  МО'!U26</f>
        <v>0</v>
      </c>
      <c r="BN25" s="72">
        <f t="shared" si="33"/>
        <v>0</v>
      </c>
      <c r="BO25" s="73"/>
      <c r="BP25" s="73"/>
      <c r="BQ25" s="71">
        <f>'Федеральные  средства  по  МО'!V26</f>
        <v>0</v>
      </c>
      <c r="BR25" s="73">
        <f t="shared" si="4"/>
        <v>0</v>
      </c>
      <c r="BS25" s="72"/>
      <c r="BT25" s="67"/>
      <c r="BU25" s="71">
        <f>'Федеральные  средства  по  МО'!W26</f>
        <v>0</v>
      </c>
      <c r="BV25" s="73">
        <f t="shared" si="5"/>
        <v>0</v>
      </c>
      <c r="BW25" s="72"/>
      <c r="BX25" s="67"/>
      <c r="BY25" s="71">
        <f>'Федеральные  средства  по  МО'!X26</f>
        <v>0</v>
      </c>
      <c r="BZ25" s="73">
        <f t="shared" si="6"/>
        <v>0</v>
      </c>
      <c r="CA25" s="72"/>
      <c r="CB25" s="67"/>
      <c r="CC25" s="71">
        <f>'Федеральные  средства  по  МО'!Y26</f>
        <v>0</v>
      </c>
      <c r="CD25" s="73">
        <f t="shared" si="7"/>
        <v>0</v>
      </c>
      <c r="CE25" s="72"/>
      <c r="CF25" s="67"/>
      <c r="CG25" s="71">
        <f>'Федеральные  средства  по  МО'!Z26</f>
        <v>0</v>
      </c>
      <c r="CH25" s="73">
        <f t="shared" si="8"/>
        <v>0</v>
      </c>
      <c r="CI25" s="67"/>
      <c r="CJ25" s="74"/>
      <c r="CK25" s="71">
        <f>'Федеральные  средства  по  МО'!AA26</f>
        <v>0</v>
      </c>
      <c r="CL25" s="73">
        <f t="shared" si="9"/>
        <v>0</v>
      </c>
      <c r="CM25" s="72"/>
      <c r="CN25" s="73"/>
      <c r="CO25" s="76">
        <f>'Федеральные  средства  по  МО'!AB26</f>
        <v>0</v>
      </c>
      <c r="CP25" s="72">
        <f t="shared" si="34"/>
        <v>0</v>
      </c>
      <c r="CQ25" s="67"/>
      <c r="CR25" s="72"/>
      <c r="CS25" s="75">
        <f>'Федеральные  средства  по  МО'!AC26</f>
        <v>0</v>
      </c>
      <c r="CT25" s="72">
        <f t="shared" si="35"/>
        <v>0</v>
      </c>
      <c r="CU25" s="67"/>
      <c r="CV25" s="72"/>
      <c r="CW25" s="76">
        <f>'Федеральные  средства  по  МО'!AD26</f>
        <v>0</v>
      </c>
      <c r="CX25" s="74">
        <f>'Проверочная  таблица'!EV27</f>
        <v>0</v>
      </c>
      <c r="CY25" s="72">
        <f t="shared" si="36"/>
        <v>0</v>
      </c>
      <c r="CZ25" s="73"/>
      <c r="DA25" s="75">
        <f>'Федеральные  средства  по  МО'!AE26</f>
        <v>0</v>
      </c>
      <c r="DB25" s="74">
        <f>'Проверочная  таблица'!EY27</f>
        <v>0</v>
      </c>
      <c r="DC25" s="72">
        <f t="shared" si="37"/>
        <v>0</v>
      </c>
      <c r="DD25" s="67"/>
      <c r="DE25" s="71">
        <f>'Федеральные  средства  по  МО'!AF26</f>
        <v>0</v>
      </c>
      <c r="DF25" s="73">
        <f t="shared" si="38"/>
        <v>0</v>
      </c>
      <c r="DG25" s="67"/>
      <c r="DH25" s="74"/>
      <c r="DI25" s="71">
        <f>'Федеральные  средства  по  МО'!AG26</f>
        <v>0</v>
      </c>
      <c r="DJ25" s="73">
        <f t="shared" si="39"/>
        <v>0</v>
      </c>
      <c r="DK25" s="67"/>
      <c r="DL25" s="74"/>
      <c r="DM25" s="71">
        <f>'Федеральные  средства  по  МО'!AH26</f>
        <v>0</v>
      </c>
      <c r="DN25" s="73">
        <f t="shared" si="40"/>
        <v>0</v>
      </c>
      <c r="DO25" s="67"/>
      <c r="DP25" s="74"/>
      <c r="DQ25" s="71">
        <f>'Федеральные  средства  по  МО'!AI26</f>
        <v>0</v>
      </c>
      <c r="DR25" s="73">
        <f t="shared" si="41"/>
        <v>0</v>
      </c>
      <c r="DS25" s="67"/>
      <c r="DT25" s="72"/>
      <c r="DU25" s="76">
        <f>'Федеральные  средства  по  МО'!AJ26</f>
        <v>0</v>
      </c>
      <c r="DV25" s="72">
        <f t="shared" si="42"/>
        <v>0</v>
      </c>
      <c r="DW25" s="67"/>
      <c r="DX25" s="72"/>
      <c r="DY25" s="75">
        <f>'Федеральные  средства  по  МО'!AK26</f>
        <v>0</v>
      </c>
      <c r="DZ25" s="72">
        <f t="shared" si="43"/>
        <v>0</v>
      </c>
      <c r="EA25" s="67"/>
      <c r="EB25" s="74"/>
      <c r="EC25" s="71">
        <f>'Федеральные  средства  по  МО'!AL26</f>
        <v>0</v>
      </c>
      <c r="ED25" s="67">
        <f t="shared" si="10"/>
        <v>0</v>
      </c>
      <c r="EE25" s="72"/>
      <c r="EF25" s="67"/>
      <c r="EG25" s="71">
        <f>'Федеральные  средства  по  МО'!AM26</f>
        <v>0</v>
      </c>
      <c r="EH25" s="67">
        <f t="shared" si="11"/>
        <v>0</v>
      </c>
      <c r="EI25" s="72"/>
      <c r="EJ25" s="67"/>
      <c r="EK25" s="76">
        <f>'Федеральные  средства  по  МО'!AN26</f>
        <v>821052.83999999985</v>
      </c>
      <c r="EL25" s="72"/>
      <c r="EM25" s="67"/>
      <c r="EN25" s="72">
        <f t="shared" si="44"/>
        <v>821052.83999999985</v>
      </c>
      <c r="EO25" s="75">
        <f>'Федеральные  средства  по  МО'!AO26</f>
        <v>0</v>
      </c>
      <c r="EP25" s="72"/>
      <c r="EQ25" s="67"/>
      <c r="ER25" s="74">
        <f t="shared" si="45"/>
        <v>0</v>
      </c>
      <c r="ES25" s="1152">
        <f>'Федеральные  средства  по  МО'!AP26</f>
        <v>0</v>
      </c>
      <c r="ET25" s="72">
        <f>'Проверочная  таблица'!IJ27</f>
        <v>0</v>
      </c>
      <c r="EU25" s="67">
        <f>'Проверочная  таблица'!IT27</f>
        <v>0</v>
      </c>
      <c r="EV25" s="72">
        <f>'Проверочная  таблица'!IV27</f>
        <v>0</v>
      </c>
      <c r="EW25" s="1154">
        <f>'Федеральные  средства  по  МО'!AQ26</f>
        <v>0</v>
      </c>
      <c r="EX25" s="72">
        <f>'Проверочная  таблица'!IM27</f>
        <v>0</v>
      </c>
      <c r="EY25" s="67">
        <f>'Проверочная  таблица'!IU27</f>
        <v>0</v>
      </c>
      <c r="EZ25" s="72">
        <f>'Проверочная  таблица'!IS27</f>
        <v>0</v>
      </c>
      <c r="FA25" s="77">
        <f>'Федеральные  средства  по  МО'!AR26</f>
        <v>14250000</v>
      </c>
      <c r="FB25" s="73">
        <f>FA25</f>
        <v>14250000</v>
      </c>
      <c r="FC25" s="67"/>
      <c r="FD25" s="74"/>
      <c r="FE25" s="71">
        <f>'Федеральные  средства  по  МО'!AS26</f>
        <v>14250000.01</v>
      </c>
      <c r="FF25" s="73">
        <f>FE25</f>
        <v>14250000.01</v>
      </c>
      <c r="FG25" s="67"/>
      <c r="FH25" s="72"/>
      <c r="FI25" s="77">
        <f>'Федеральные  средства  по  МО'!AT26</f>
        <v>0</v>
      </c>
      <c r="FJ25" s="73"/>
      <c r="FK25" s="67"/>
      <c r="FL25" s="74"/>
      <c r="FM25" s="71">
        <f>'Федеральные  средства  по  МО'!AU26</f>
        <v>0</v>
      </c>
      <c r="FN25" s="67"/>
      <c r="FO25" s="72"/>
      <c r="FP25" s="67"/>
      <c r="FQ25" s="76">
        <f>'Федеральные  средства  по  МО'!AV26</f>
        <v>13173.939999999988</v>
      </c>
      <c r="FR25" s="74">
        <f>'Проверочная  таблица'!JL27</f>
        <v>6586.9699999999939</v>
      </c>
      <c r="FS25" s="72">
        <f>'Проверочная  таблица'!JX27</f>
        <v>-35012.050000000003</v>
      </c>
      <c r="FT25" s="72">
        <f>'Проверочная  таблица'!KD27</f>
        <v>41599.019999999997</v>
      </c>
      <c r="FU25" s="75">
        <f>'Федеральные  средства  по  МО'!AW26</f>
        <v>0</v>
      </c>
      <c r="FV25" s="72">
        <f>'Проверочная  таблица'!JO27</f>
        <v>0</v>
      </c>
      <c r="FW25" s="67">
        <f>'Проверочная  таблица'!KA27</f>
        <v>0</v>
      </c>
      <c r="FX25" s="72">
        <f>'Проверочная  таблица'!KG27</f>
        <v>0</v>
      </c>
      <c r="FY25" s="76">
        <f>'Федеральные  средства  по  МО'!AX26</f>
        <v>185321.32</v>
      </c>
      <c r="FZ25" s="72"/>
      <c r="GA25" s="67">
        <f t="shared" si="46"/>
        <v>185321.32</v>
      </c>
      <c r="GB25" s="72"/>
      <c r="GC25" s="71">
        <f>'Федеральные  средства  по  МО'!AY26</f>
        <v>0</v>
      </c>
      <c r="GD25" s="67"/>
      <c r="GE25" s="72">
        <f t="shared" si="47"/>
        <v>0</v>
      </c>
      <c r="GF25" s="67"/>
      <c r="GG25" s="71">
        <f>'Федеральные  средства  по  МО'!AZ26</f>
        <v>43463.33</v>
      </c>
      <c r="GH25" s="73">
        <f t="shared" si="48"/>
        <v>43463.33</v>
      </c>
      <c r="GI25" s="67"/>
      <c r="GJ25" s="74"/>
      <c r="GK25" s="71">
        <f>'Федеральные  средства  по  МО'!BA26</f>
        <v>0</v>
      </c>
      <c r="GL25" s="73">
        <f t="shared" si="49"/>
        <v>0</v>
      </c>
      <c r="GM25" s="67"/>
      <c r="GN25" s="72"/>
      <c r="GO25" s="77">
        <f>'Федеральные  средства  по  МО'!BB26</f>
        <v>8472600</v>
      </c>
      <c r="GP25" s="67"/>
      <c r="GQ25" s="74">
        <f>'Проверочная  таблица'!MG27</f>
        <v>8472600</v>
      </c>
      <c r="GR25" s="72">
        <f>'Проверочная  таблица'!MO27</f>
        <v>0</v>
      </c>
      <c r="GS25" s="75">
        <f>'Федеральные  средства  по  МО'!BC26</f>
        <v>8472600</v>
      </c>
      <c r="GT25" s="74"/>
      <c r="GU25" s="72">
        <f>'Проверочная  таблица'!MK27</f>
        <v>8472600</v>
      </c>
      <c r="GV25" s="73">
        <f>'Проверочная  таблица'!MS27</f>
        <v>0</v>
      </c>
      <c r="GW25" s="75">
        <f>'Федеральные  средства  по  МО'!BD26</f>
        <v>0</v>
      </c>
      <c r="GX25" s="72">
        <f t="shared" si="50"/>
        <v>0</v>
      </c>
      <c r="GY25" s="67"/>
      <c r="GZ25" s="74"/>
      <c r="HA25" s="71">
        <f>'Федеральные  средства  по  МО'!BE26</f>
        <v>0</v>
      </c>
      <c r="HB25" s="72">
        <f t="shared" si="51"/>
        <v>0</v>
      </c>
      <c r="HC25" s="73"/>
      <c r="HD25" s="67"/>
      <c r="HE25" s="71">
        <f>'Федеральные  средства  по  МО'!BF26</f>
        <v>0</v>
      </c>
      <c r="HF25" s="74">
        <f t="shared" si="52"/>
        <v>0</v>
      </c>
      <c r="HG25" s="72"/>
      <c r="HH25" s="73"/>
      <c r="HI25" s="77">
        <f>'Федеральные  средства  по  МО'!BG26</f>
        <v>0</v>
      </c>
      <c r="HJ25" s="74">
        <f t="shared" si="12"/>
        <v>0</v>
      </c>
      <c r="HK25" s="72"/>
      <c r="HL25" s="73"/>
      <c r="HM25" s="76">
        <f>'Федеральные  средства  по  МО'!BH26</f>
        <v>60346.559999999998</v>
      </c>
      <c r="HN25" s="74">
        <f t="shared" si="53"/>
        <v>41599.019999999997</v>
      </c>
      <c r="HO25" s="72"/>
      <c r="HP25" s="73">
        <f>'Проверочная  таблица'!NX27</f>
        <v>18747.54</v>
      </c>
      <c r="HQ25" s="77">
        <f>'Федеральные  средства  по  МО'!BI26</f>
        <v>60346.559999999998</v>
      </c>
      <c r="HR25" s="74">
        <f t="shared" si="54"/>
        <v>41599.019999999997</v>
      </c>
      <c r="HS25" s="74"/>
      <c r="HT25" s="72">
        <f>'Проверочная  таблица'!OA27</f>
        <v>18747.54</v>
      </c>
      <c r="HU25" s="77">
        <f>'Федеральные  средства  по  МО'!BJ26</f>
        <v>0</v>
      </c>
      <c r="HV25" s="73">
        <f t="shared" si="55"/>
        <v>0</v>
      </c>
      <c r="HW25" s="67"/>
      <c r="HX25" s="74"/>
      <c r="HY25" s="71">
        <f>'Федеральные  средства  по  МО'!BK26</f>
        <v>0</v>
      </c>
      <c r="HZ25" s="73">
        <f t="shared" si="13"/>
        <v>0</v>
      </c>
      <c r="IA25" s="67"/>
      <c r="IB25" s="72"/>
      <c r="IC25" s="76">
        <f>'Федеральные  средства  по  МО'!BL26</f>
        <v>29744209.579999998</v>
      </c>
      <c r="ID25" s="74"/>
      <c r="IE25" s="72"/>
      <c r="IF25" s="73">
        <f>'Проверочная  таблица'!PJ27</f>
        <v>15600000</v>
      </c>
      <c r="IG25" s="75">
        <f>'Федеральные  средства  по  МО'!BM26</f>
        <v>15600000</v>
      </c>
      <c r="IH25" s="74"/>
      <c r="II25" s="72"/>
      <c r="IJ25" s="73">
        <f>'Проверочная  таблица'!PN27</f>
        <v>15600000</v>
      </c>
      <c r="IK25" s="76">
        <f>'Федеральные  средства  по  МО'!BN26</f>
        <v>0</v>
      </c>
      <c r="IL25" s="74">
        <f>'Проверочная  таблица'!PR27</f>
        <v>0</v>
      </c>
      <c r="IM25" s="72">
        <f t="shared" si="56"/>
        <v>0</v>
      </c>
      <c r="IN25" s="73"/>
      <c r="IO25" s="75">
        <f>'Федеральные  средства  по  МО'!BO26</f>
        <v>0</v>
      </c>
      <c r="IP25" s="74">
        <f>'Проверочная  таблица'!PW27</f>
        <v>0</v>
      </c>
      <c r="IQ25" s="72">
        <f t="shared" si="57"/>
        <v>0</v>
      </c>
      <c r="IR25" s="73"/>
      <c r="IS25" s="76">
        <f>'Федеральные  средства  по  МО'!BR26</f>
        <v>0</v>
      </c>
      <c r="IT25" s="72">
        <f t="shared" si="58"/>
        <v>0</v>
      </c>
      <c r="IU25" s="67"/>
      <c r="IV25" s="72"/>
      <c r="IW25" s="77">
        <f>'Федеральные  средства  по  МО'!BS26</f>
        <v>0</v>
      </c>
      <c r="IX25" s="73">
        <f t="shared" si="59"/>
        <v>0</v>
      </c>
      <c r="IY25" s="73"/>
      <c r="IZ25" s="72"/>
      <c r="JA25" s="76">
        <f>'Федеральные  средства  по  МО'!BT26</f>
        <v>0</v>
      </c>
      <c r="JB25" s="72">
        <f>'Проверочная  таблица'!RF27</f>
        <v>0</v>
      </c>
      <c r="JC25" s="67">
        <f>'Проверочная  таблица'!RL27</f>
        <v>0</v>
      </c>
      <c r="JD25" s="72">
        <f>'Проверочная  таблица'!RR27</f>
        <v>0</v>
      </c>
      <c r="JE25" s="75">
        <f>'Федеральные  средства  по  МО'!BU26</f>
        <v>0</v>
      </c>
      <c r="JF25" s="72">
        <f>'Проверочная  таблица'!RC27</f>
        <v>0</v>
      </c>
      <c r="JG25" s="67">
        <f>'Проверочная  таблица'!RO27</f>
        <v>0</v>
      </c>
      <c r="JH25" s="74">
        <f>'Проверочная  таблица'!RU27</f>
        <v>0</v>
      </c>
      <c r="JI25" s="71">
        <f>'Федеральные  средства  по  МО'!BV26</f>
        <v>0</v>
      </c>
      <c r="JJ25" s="72">
        <f t="shared" si="60"/>
        <v>0</v>
      </c>
      <c r="JK25" s="67"/>
      <c r="JL25" s="72"/>
      <c r="JM25" s="77">
        <f>'Федеральные  средства  по  МО'!BW26</f>
        <v>0</v>
      </c>
      <c r="JN25" s="73">
        <f t="shared" si="61"/>
        <v>0</v>
      </c>
      <c r="JO25" s="67"/>
      <c r="JP25" s="74"/>
      <c r="JQ25" s="76">
        <f>'Федеральные  средства  по  МО'!BX26</f>
        <v>0</v>
      </c>
      <c r="JR25" s="72">
        <f t="shared" si="62"/>
        <v>0</v>
      </c>
      <c r="JS25" s="67"/>
      <c r="JT25" s="72"/>
      <c r="JU25" s="77">
        <f>'Федеральные  средства  по  МО'!BY26</f>
        <v>0</v>
      </c>
      <c r="JV25" s="72">
        <f t="shared" si="63"/>
        <v>0</v>
      </c>
      <c r="JW25" s="67"/>
      <c r="JX25" s="72"/>
      <c r="JY25" s="76">
        <f>'Федеральные  средства  по  МО'!BZ26</f>
        <v>0</v>
      </c>
      <c r="JZ25" s="72">
        <f t="shared" si="64"/>
        <v>0</v>
      </c>
      <c r="KA25" s="67"/>
      <c r="KB25" s="72"/>
      <c r="KC25" s="75">
        <f>'Федеральные  средства  по  МО'!CA26</f>
        <v>0</v>
      </c>
      <c r="KD25" s="72">
        <f t="shared" si="65"/>
        <v>0</v>
      </c>
      <c r="KE25" s="67"/>
      <c r="KF25" s="72"/>
      <c r="KG25" s="75">
        <f>'Федеральные  средства  по  МО'!CB26</f>
        <v>21667250.509999998</v>
      </c>
      <c r="KH25" s="74">
        <f>'Проверочная  таблица'!SR27</f>
        <v>0</v>
      </c>
      <c r="KI25" s="72">
        <f>'Проверочная  таблица'!TT27</f>
        <v>21667250.509999998</v>
      </c>
      <c r="KJ25" s="67">
        <f>'Проверочная  таблица'!UH27</f>
        <v>0</v>
      </c>
      <c r="KK25" s="1139">
        <f>'Федеральные  средства  по  МО'!CC26</f>
        <v>0.03</v>
      </c>
      <c r="KL25" s="67">
        <f>'Проверочная  таблица'!SY27</f>
        <v>0</v>
      </c>
      <c r="KM25" s="72">
        <f>'Проверочная  таблица'!UA27</f>
        <v>0.03</v>
      </c>
      <c r="KN25" s="73">
        <f>'Проверочная  таблица'!UO27</f>
        <v>0</v>
      </c>
      <c r="KO25" s="75">
        <f>'Федеральные  средства  по  МО'!CD26</f>
        <v>0</v>
      </c>
      <c r="KP25" s="72">
        <f>'Проверочная  таблица'!ST27</f>
        <v>0</v>
      </c>
      <c r="KQ25" s="67">
        <f t="shared" si="66"/>
        <v>0</v>
      </c>
      <c r="KR25" s="72"/>
      <c r="KS25" s="75">
        <f>'Федеральные  средства  по  МО'!CE26</f>
        <v>0</v>
      </c>
      <c r="KT25" s="72">
        <f>'Проверочная  таблица'!TA27</f>
        <v>0</v>
      </c>
      <c r="KU25" s="67">
        <f t="shared" si="67"/>
        <v>0</v>
      </c>
      <c r="KV25" s="74"/>
      <c r="KW25" s="76">
        <f>'Федеральные  средства  по  МО'!CF26</f>
        <v>0</v>
      </c>
      <c r="KX25" s="74">
        <f>'Проверочная  таблица'!SV27</f>
        <v>0</v>
      </c>
      <c r="KY25" s="72">
        <f>'Проверочная  таблица'!TX27</f>
        <v>0</v>
      </c>
      <c r="KZ25" s="73"/>
      <c r="LA25" s="75">
        <f>'Федеральные  средства  по  МО'!CG26</f>
        <v>0</v>
      </c>
      <c r="LB25" s="74">
        <f>'Проверочная  таблица'!TC27</f>
        <v>0</v>
      </c>
      <c r="LC25" s="72">
        <f>'Проверочная  таблица'!TQ27</f>
        <v>0</v>
      </c>
      <c r="LD25" s="72"/>
    </row>
    <row r="26" spans="1:316" ht="25.5" customHeight="1" x14ac:dyDescent="0.25">
      <c r="A26" s="68" t="s">
        <v>333</v>
      </c>
      <c r="B26" s="69">
        <f t="shared" si="14"/>
        <v>3534100.7300000009</v>
      </c>
      <c r="C26" s="70">
        <f t="shared" si="15"/>
        <v>3156971.9500000011</v>
      </c>
      <c r="D26" s="70">
        <f t="shared" si="16"/>
        <v>298598.05000000005</v>
      </c>
      <c r="E26" s="70">
        <f t="shared" si="17"/>
        <v>78530.73</v>
      </c>
      <c r="F26" s="69">
        <f t="shared" si="18"/>
        <v>2543735.1</v>
      </c>
      <c r="G26" s="70">
        <f t="shared" si="19"/>
        <v>2543735.1</v>
      </c>
      <c r="H26" s="70">
        <f t="shared" si="1"/>
        <v>0</v>
      </c>
      <c r="I26" s="70">
        <f t="shared" si="2"/>
        <v>0</v>
      </c>
      <c r="J26" s="52"/>
      <c r="K26" s="53">
        <f>M26-'Федеральные  средства  по  МО'!N27-'Федеральные  средства  по  МО'!D27</f>
        <v>0</v>
      </c>
      <c r="L26" s="53">
        <f>Q26-'Федеральные  средства  по  МО'!O27-'Федеральные  средства  по  МО'!E27</f>
        <v>0</v>
      </c>
      <c r="M26" s="1180">
        <f t="shared" si="20"/>
        <v>24506992.050000001</v>
      </c>
      <c r="N26" s="70">
        <f t="shared" si="21"/>
        <v>15700040.050000001</v>
      </c>
      <c r="O26" s="70">
        <f t="shared" si="22"/>
        <v>298598.05000000005</v>
      </c>
      <c r="P26" s="70">
        <f t="shared" si="23"/>
        <v>78530.73</v>
      </c>
      <c r="Q26" s="1180">
        <f t="shared" si="24"/>
        <v>2543735.1</v>
      </c>
      <c r="R26" s="70">
        <f t="shared" si="25"/>
        <v>2543735.1</v>
      </c>
      <c r="S26" s="70">
        <f t="shared" si="26"/>
        <v>0</v>
      </c>
      <c r="T26" s="70">
        <f t="shared" si="27"/>
        <v>0</v>
      </c>
      <c r="U26" s="71">
        <f>'Федеральные  средства  по  МО'!F27</f>
        <v>0</v>
      </c>
      <c r="V26" s="67">
        <f>'Проверочная  таблица'!BL28</f>
        <v>0</v>
      </c>
      <c r="W26" s="72">
        <f>'Проверочная  таблица'!BP28</f>
        <v>0</v>
      </c>
      <c r="X26" s="67">
        <f>'Проверочная  таблица'!BR28</f>
        <v>0</v>
      </c>
      <c r="Y26" s="71">
        <f>'Федеральные  средства  по  МО'!G27</f>
        <v>0</v>
      </c>
      <c r="Z26" s="67">
        <f>'Проверочная  таблица'!BM28</f>
        <v>0</v>
      </c>
      <c r="AA26" s="72">
        <f>'Проверочная  таблица'!BQ28</f>
        <v>0</v>
      </c>
      <c r="AB26" s="67">
        <f>'Проверочная  таблица'!BS28</f>
        <v>0</v>
      </c>
      <c r="AC26" s="1139">
        <f>'Федеральные  средства  по  МО'!H27</f>
        <v>12543068.1</v>
      </c>
      <c r="AD26" s="73">
        <f t="shared" si="28"/>
        <v>12543068.1</v>
      </c>
      <c r="AE26" s="67"/>
      <c r="AF26" s="74"/>
      <c r="AG26" s="1139">
        <f>'Федеральные  средства  по  МО'!I27</f>
        <v>0</v>
      </c>
      <c r="AH26" s="73">
        <f t="shared" si="29"/>
        <v>0</v>
      </c>
      <c r="AI26" s="67"/>
      <c r="AJ26" s="72"/>
      <c r="AK26" s="71">
        <f>'Федеральные  средства  по  МО'!J27</f>
        <v>0</v>
      </c>
      <c r="AL26" s="73">
        <f t="shared" si="30"/>
        <v>0</v>
      </c>
      <c r="AM26" s="67"/>
      <c r="AN26" s="74"/>
      <c r="AO26" s="71">
        <f>'Федеральные  средства  по  МО'!K27</f>
        <v>0</v>
      </c>
      <c r="AP26" s="73">
        <f t="shared" si="31"/>
        <v>0</v>
      </c>
      <c r="AQ26" s="67"/>
      <c r="AR26" s="72"/>
      <c r="AS26" s="75">
        <f>'Федеральные  средства  по  МО'!P27</f>
        <v>0</v>
      </c>
      <c r="AT26" s="72">
        <f>'Проверочная  таблица'!CP28</f>
        <v>0</v>
      </c>
      <c r="AU26" s="67"/>
      <c r="AV26" s="74"/>
      <c r="AW26" s="76">
        <f>'Федеральные  средства  по  МО'!Q27</f>
        <v>0</v>
      </c>
      <c r="AX26" s="72">
        <f>'Проверочная  таблица'!CW28</f>
        <v>0</v>
      </c>
      <c r="AY26" s="73"/>
      <c r="AZ26" s="67"/>
      <c r="BA26" s="76">
        <f>'Федеральные  средства  по  МО'!R27</f>
        <v>0</v>
      </c>
      <c r="BB26" s="72">
        <f>'Проверочная  таблица'!CR28</f>
        <v>0</v>
      </c>
      <c r="BC26" s="67"/>
      <c r="BD26" s="72">
        <f>'Проверочная  таблица'!DD28</f>
        <v>0</v>
      </c>
      <c r="BE26" s="75">
        <f>'Федеральные  средства  по  МО'!S27</f>
        <v>0</v>
      </c>
      <c r="BF26" s="72">
        <f>'Проверочная  таблица'!CY28</f>
        <v>0</v>
      </c>
      <c r="BG26" s="67"/>
      <c r="BH26" s="72">
        <f>'Проверочная  таблица'!DG28</f>
        <v>0</v>
      </c>
      <c r="BI26" s="75">
        <f>'Федеральные  средства  по  МО'!T27</f>
        <v>0</v>
      </c>
      <c r="BJ26" s="72">
        <f t="shared" si="32"/>
        <v>0</v>
      </c>
      <c r="BK26" s="67"/>
      <c r="BL26" s="72"/>
      <c r="BM26" s="77">
        <f>'Федеральные  средства  по  МО'!U27</f>
        <v>0</v>
      </c>
      <c r="BN26" s="72">
        <f t="shared" si="33"/>
        <v>0</v>
      </c>
      <c r="BO26" s="73"/>
      <c r="BP26" s="73"/>
      <c r="BQ26" s="71">
        <f>'Федеральные  средства  по  МО'!V27</f>
        <v>2991400</v>
      </c>
      <c r="BR26" s="73">
        <f t="shared" si="4"/>
        <v>2991400</v>
      </c>
      <c r="BS26" s="72"/>
      <c r="BT26" s="67"/>
      <c r="BU26" s="71">
        <f>'Федеральные  средства  по  МО'!W27</f>
        <v>2378163.15</v>
      </c>
      <c r="BV26" s="73">
        <f t="shared" si="5"/>
        <v>2378163.15</v>
      </c>
      <c r="BW26" s="72"/>
      <c r="BX26" s="67"/>
      <c r="BY26" s="71">
        <f>'Федеральные  средства  по  МО'!X27</f>
        <v>0</v>
      </c>
      <c r="BZ26" s="73">
        <f t="shared" si="6"/>
        <v>0</v>
      </c>
      <c r="CA26" s="72"/>
      <c r="CB26" s="67"/>
      <c r="CC26" s="71">
        <f>'Федеральные  средства  по  МО'!Y27</f>
        <v>0</v>
      </c>
      <c r="CD26" s="73">
        <f t="shared" si="7"/>
        <v>0</v>
      </c>
      <c r="CE26" s="72"/>
      <c r="CF26" s="67"/>
      <c r="CG26" s="71">
        <f>'Федеральные  средства  по  МО'!Z27</f>
        <v>0</v>
      </c>
      <c r="CH26" s="73">
        <f t="shared" si="8"/>
        <v>0</v>
      </c>
      <c r="CI26" s="67"/>
      <c r="CJ26" s="74"/>
      <c r="CK26" s="71">
        <f>'Федеральные  средства  по  МО'!AA27</f>
        <v>0</v>
      </c>
      <c r="CL26" s="73">
        <f t="shared" si="9"/>
        <v>0</v>
      </c>
      <c r="CM26" s="72"/>
      <c r="CN26" s="73"/>
      <c r="CO26" s="76">
        <f>'Федеральные  средства  по  МО'!AB27</f>
        <v>0</v>
      </c>
      <c r="CP26" s="72">
        <f t="shared" si="34"/>
        <v>0</v>
      </c>
      <c r="CQ26" s="67"/>
      <c r="CR26" s="72"/>
      <c r="CS26" s="75">
        <f>'Федеральные  средства  по  МО'!AC27</f>
        <v>0</v>
      </c>
      <c r="CT26" s="72">
        <f t="shared" si="35"/>
        <v>0</v>
      </c>
      <c r="CU26" s="67"/>
      <c r="CV26" s="72"/>
      <c r="CW26" s="76">
        <f>'Федеральные  средства  по  МО'!AD27</f>
        <v>0</v>
      </c>
      <c r="CX26" s="74">
        <f>'Проверочная  таблица'!EV28</f>
        <v>0</v>
      </c>
      <c r="CY26" s="72">
        <f t="shared" si="36"/>
        <v>0</v>
      </c>
      <c r="CZ26" s="73"/>
      <c r="DA26" s="75">
        <f>'Федеральные  средства  по  МО'!AE27</f>
        <v>0</v>
      </c>
      <c r="DB26" s="74">
        <f>'Проверочная  таблица'!EY28</f>
        <v>0</v>
      </c>
      <c r="DC26" s="72">
        <f t="shared" si="37"/>
        <v>0</v>
      </c>
      <c r="DD26" s="67"/>
      <c r="DE26" s="71">
        <f>'Федеральные  средства  по  МО'!AF27</f>
        <v>0</v>
      </c>
      <c r="DF26" s="73">
        <f t="shared" si="38"/>
        <v>0</v>
      </c>
      <c r="DG26" s="67"/>
      <c r="DH26" s="74"/>
      <c r="DI26" s="71">
        <f>'Федеральные  средства  по  МО'!AG27</f>
        <v>0</v>
      </c>
      <c r="DJ26" s="73">
        <f t="shared" si="39"/>
        <v>0</v>
      </c>
      <c r="DK26" s="67"/>
      <c r="DL26" s="74"/>
      <c r="DM26" s="71">
        <f>'Федеральные  средства  по  МО'!AH27</f>
        <v>0</v>
      </c>
      <c r="DN26" s="73">
        <f t="shared" si="40"/>
        <v>0</v>
      </c>
      <c r="DO26" s="67"/>
      <c r="DP26" s="74"/>
      <c r="DQ26" s="71">
        <f>'Федеральные  средства  по  МО'!AI27</f>
        <v>0</v>
      </c>
      <c r="DR26" s="73">
        <f t="shared" si="41"/>
        <v>0</v>
      </c>
      <c r="DS26" s="67"/>
      <c r="DT26" s="72"/>
      <c r="DU26" s="76">
        <f>'Федеральные  средства  по  МО'!AJ27</f>
        <v>0</v>
      </c>
      <c r="DV26" s="72">
        <f t="shared" si="42"/>
        <v>0</v>
      </c>
      <c r="DW26" s="67"/>
      <c r="DX26" s="72"/>
      <c r="DY26" s="75">
        <f>'Федеральные  средства  по  МО'!AK27</f>
        <v>0</v>
      </c>
      <c r="DZ26" s="72">
        <f t="shared" si="43"/>
        <v>0</v>
      </c>
      <c r="EA26" s="67"/>
      <c r="EB26" s="74"/>
      <c r="EC26" s="71">
        <f>'Федеральные  средства  по  МО'!AL27</f>
        <v>0</v>
      </c>
      <c r="ED26" s="67">
        <f t="shared" si="10"/>
        <v>0</v>
      </c>
      <c r="EE26" s="72"/>
      <c r="EF26" s="67"/>
      <c r="EG26" s="71">
        <f>'Федеральные  средства  по  МО'!AM27</f>
        <v>0</v>
      </c>
      <c r="EH26" s="67">
        <f t="shared" si="11"/>
        <v>0</v>
      </c>
      <c r="EI26" s="72"/>
      <c r="EJ26" s="67"/>
      <c r="EK26" s="76">
        <f>'Федеральные  средства  по  МО'!AN27</f>
        <v>0</v>
      </c>
      <c r="EL26" s="72"/>
      <c r="EM26" s="67"/>
      <c r="EN26" s="72">
        <f t="shared" si="44"/>
        <v>0</v>
      </c>
      <c r="EO26" s="75">
        <f>'Федеральные  средства  по  МО'!AO27</f>
        <v>0</v>
      </c>
      <c r="EP26" s="72"/>
      <c r="EQ26" s="67"/>
      <c r="ER26" s="74">
        <f t="shared" si="45"/>
        <v>0</v>
      </c>
      <c r="ES26" s="1152">
        <f>'Федеральные  средства  по  МО'!AP27</f>
        <v>0</v>
      </c>
      <c r="ET26" s="72">
        <f>'Проверочная  таблица'!IJ28</f>
        <v>0</v>
      </c>
      <c r="EU26" s="67">
        <f>'Проверочная  таблица'!IT28</f>
        <v>0</v>
      </c>
      <c r="EV26" s="72">
        <f>'Проверочная  таблица'!IV28</f>
        <v>0</v>
      </c>
      <c r="EW26" s="1154">
        <f>'Федеральные  средства  по  МО'!AQ27</f>
        <v>0</v>
      </c>
      <c r="EX26" s="72">
        <f>'Проверочная  таблица'!IM28</f>
        <v>0</v>
      </c>
      <c r="EY26" s="67">
        <f>'Проверочная  таблица'!IU28</f>
        <v>0</v>
      </c>
      <c r="EZ26" s="72">
        <f>'Проверочная  таблица'!IS28</f>
        <v>0</v>
      </c>
      <c r="FA26" s="77">
        <f>'Федеральные  средства  по  МО'!AR27</f>
        <v>0</v>
      </c>
      <c r="FB26" s="73">
        <f t="shared" ref="FB26:FB27" si="68">FA26</f>
        <v>0</v>
      </c>
      <c r="FC26" s="67"/>
      <c r="FD26" s="74"/>
      <c r="FE26" s="71">
        <f>'Федеральные  средства  по  МО'!AS27</f>
        <v>0</v>
      </c>
      <c r="FF26" s="73">
        <f t="shared" ref="FF26:FF27" si="69">FE26</f>
        <v>0</v>
      </c>
      <c r="FG26" s="67"/>
      <c r="FH26" s="72"/>
      <c r="FI26" s="77">
        <f>'Федеральные  средства  по  МО'!AT27</f>
        <v>0</v>
      </c>
      <c r="FJ26" s="73"/>
      <c r="FK26" s="67"/>
      <c r="FL26" s="74"/>
      <c r="FM26" s="71">
        <f>'Федеральные  средства  по  МО'!AU27</f>
        <v>0</v>
      </c>
      <c r="FN26" s="67"/>
      <c r="FO26" s="72"/>
      <c r="FP26" s="67"/>
      <c r="FQ26" s="76">
        <f>'Федеральные  средства  по  МО'!AV27</f>
        <v>0</v>
      </c>
      <c r="FR26" s="74">
        <f>'Проверочная  таблица'!JL28</f>
        <v>0</v>
      </c>
      <c r="FS26" s="72">
        <f>'Проверочная  таблица'!JX28</f>
        <v>-78530.73</v>
      </c>
      <c r="FT26" s="72">
        <f>'Проверочная  таблица'!KD28</f>
        <v>78530.73</v>
      </c>
      <c r="FU26" s="75">
        <f>'Федеральные  средства  по  МО'!AW27</f>
        <v>0</v>
      </c>
      <c r="FV26" s="72">
        <f>'Проверочная  таблица'!JO28</f>
        <v>0</v>
      </c>
      <c r="FW26" s="67">
        <f>'Проверочная  таблица'!KA28</f>
        <v>0</v>
      </c>
      <c r="FX26" s="72">
        <f>'Проверочная  таблица'!KG28</f>
        <v>0</v>
      </c>
      <c r="FY26" s="76">
        <f>'Федеральные  средства  по  МО'!AX27</f>
        <v>377128.78</v>
      </c>
      <c r="FZ26" s="72"/>
      <c r="GA26" s="67">
        <f t="shared" si="46"/>
        <v>377128.78</v>
      </c>
      <c r="GB26" s="72"/>
      <c r="GC26" s="71">
        <f>'Федеральные  средства  по  МО'!AY27</f>
        <v>0</v>
      </c>
      <c r="GD26" s="67"/>
      <c r="GE26" s="72">
        <f t="shared" si="47"/>
        <v>0</v>
      </c>
      <c r="GF26" s="67"/>
      <c r="GG26" s="71">
        <f>'Федеральные  средства  по  МО'!AZ27</f>
        <v>87041.22</v>
      </c>
      <c r="GH26" s="73">
        <f t="shared" si="48"/>
        <v>87041.22</v>
      </c>
      <c r="GI26" s="67"/>
      <c r="GJ26" s="74"/>
      <c r="GK26" s="71">
        <f>'Федеральные  средства  по  МО'!BA27</f>
        <v>87041.22</v>
      </c>
      <c r="GL26" s="73">
        <f t="shared" si="49"/>
        <v>87041.22</v>
      </c>
      <c r="GM26" s="67"/>
      <c r="GN26" s="72"/>
      <c r="GO26" s="77">
        <f>'Федеральные  средства  по  МО'!BB27</f>
        <v>0</v>
      </c>
      <c r="GP26" s="67"/>
      <c r="GQ26" s="74">
        <f>'Проверочная  таблица'!MG28</f>
        <v>0</v>
      </c>
      <c r="GR26" s="72">
        <f>'Проверочная  таблица'!MO28</f>
        <v>0</v>
      </c>
      <c r="GS26" s="75">
        <f>'Федеральные  средства  по  МО'!BC27</f>
        <v>0</v>
      </c>
      <c r="GT26" s="74"/>
      <c r="GU26" s="72">
        <f>'Проверочная  таблица'!MK28</f>
        <v>0</v>
      </c>
      <c r="GV26" s="73">
        <f>'Проверочная  таблица'!MS28</f>
        <v>0</v>
      </c>
      <c r="GW26" s="75">
        <f>'Федеральные  средства  по  МО'!BD27</f>
        <v>0</v>
      </c>
      <c r="GX26" s="72">
        <f t="shared" si="50"/>
        <v>0</v>
      </c>
      <c r="GY26" s="67"/>
      <c r="GZ26" s="74"/>
      <c r="HA26" s="71">
        <f>'Федеральные  средства  по  МО'!BE27</f>
        <v>0</v>
      </c>
      <c r="HB26" s="72">
        <f t="shared" si="51"/>
        <v>0</v>
      </c>
      <c r="HC26" s="73"/>
      <c r="HD26" s="67"/>
      <c r="HE26" s="71">
        <f>'Федеральные  средства  по  МО'!BF27</f>
        <v>0</v>
      </c>
      <c r="HF26" s="74">
        <f t="shared" si="52"/>
        <v>0</v>
      </c>
      <c r="HG26" s="72"/>
      <c r="HH26" s="73"/>
      <c r="HI26" s="77">
        <f>'Федеральные  средства  по  МО'!BG27</f>
        <v>0</v>
      </c>
      <c r="HJ26" s="74">
        <f t="shared" si="12"/>
        <v>0</v>
      </c>
      <c r="HK26" s="72"/>
      <c r="HL26" s="73"/>
      <c r="HM26" s="76">
        <f>'Федеральные  средства  по  МО'!BH27</f>
        <v>78530.73</v>
      </c>
      <c r="HN26" s="74">
        <f t="shared" si="53"/>
        <v>78530.73</v>
      </c>
      <c r="HO26" s="72"/>
      <c r="HP26" s="73">
        <f>'Проверочная  таблица'!NX28</f>
        <v>0</v>
      </c>
      <c r="HQ26" s="77">
        <f>'Федеральные  средства  по  МО'!BI27</f>
        <v>78530.73</v>
      </c>
      <c r="HR26" s="74">
        <f t="shared" si="54"/>
        <v>78530.73</v>
      </c>
      <c r="HS26" s="74"/>
      <c r="HT26" s="72">
        <f>'Проверочная  таблица'!OA28</f>
        <v>0</v>
      </c>
      <c r="HU26" s="77">
        <f>'Федеральные  средства  по  МО'!BJ27</f>
        <v>0</v>
      </c>
      <c r="HV26" s="73">
        <f t="shared" si="55"/>
        <v>0</v>
      </c>
      <c r="HW26" s="67"/>
      <c r="HX26" s="74"/>
      <c r="HY26" s="71">
        <f>'Федеральные  средства  по  МО'!BK27</f>
        <v>0</v>
      </c>
      <c r="HZ26" s="73">
        <f t="shared" si="13"/>
        <v>0</v>
      </c>
      <c r="IA26" s="67"/>
      <c r="IB26" s="72"/>
      <c r="IC26" s="76">
        <f>'Федеральные  средства  по  МО'!BL27</f>
        <v>8429823.2200000007</v>
      </c>
      <c r="ID26" s="74"/>
      <c r="IE26" s="72"/>
      <c r="IF26" s="73">
        <f>'Проверочная  таблица'!PJ28</f>
        <v>0</v>
      </c>
      <c r="IG26" s="75">
        <f>'Федеральные  средства  по  МО'!BM27</f>
        <v>0</v>
      </c>
      <c r="IH26" s="74"/>
      <c r="II26" s="72"/>
      <c r="IJ26" s="73">
        <f>'Проверочная  таблица'!PN28</f>
        <v>0</v>
      </c>
      <c r="IK26" s="76">
        <f>'Федеральные  средства  по  МО'!BN27</f>
        <v>0</v>
      </c>
      <c r="IL26" s="74">
        <f>'Проверочная  таблица'!PR28</f>
        <v>0</v>
      </c>
      <c r="IM26" s="72">
        <f t="shared" si="56"/>
        <v>0</v>
      </c>
      <c r="IN26" s="73"/>
      <c r="IO26" s="75">
        <f>'Федеральные  средства  по  МО'!BO27</f>
        <v>0</v>
      </c>
      <c r="IP26" s="74">
        <f>'Проверочная  таблица'!PW28</f>
        <v>0</v>
      </c>
      <c r="IQ26" s="72">
        <f t="shared" si="57"/>
        <v>0</v>
      </c>
      <c r="IR26" s="73"/>
      <c r="IS26" s="76">
        <f>'Федеральные  средства  по  МО'!BR27</f>
        <v>0</v>
      </c>
      <c r="IT26" s="72">
        <f t="shared" si="58"/>
        <v>0</v>
      </c>
      <c r="IU26" s="67"/>
      <c r="IV26" s="72"/>
      <c r="IW26" s="77">
        <f>'Федеральные  средства  по  МО'!BS27</f>
        <v>0</v>
      </c>
      <c r="IX26" s="73">
        <f t="shared" si="59"/>
        <v>0</v>
      </c>
      <c r="IY26" s="73"/>
      <c r="IZ26" s="72"/>
      <c r="JA26" s="76">
        <f>'Федеральные  средства  по  МО'!BT27</f>
        <v>0</v>
      </c>
      <c r="JB26" s="72">
        <f>'Проверочная  таблица'!RF28</f>
        <v>0</v>
      </c>
      <c r="JC26" s="67">
        <f>'Проверочная  таблица'!RL28</f>
        <v>0</v>
      </c>
      <c r="JD26" s="72">
        <f>'Проверочная  таблица'!RR28</f>
        <v>0</v>
      </c>
      <c r="JE26" s="75">
        <f>'Федеральные  средства  по  МО'!BU27</f>
        <v>0</v>
      </c>
      <c r="JF26" s="72">
        <f>'Проверочная  таблица'!RC28</f>
        <v>0</v>
      </c>
      <c r="JG26" s="67">
        <f>'Проверочная  таблица'!RO28</f>
        <v>0</v>
      </c>
      <c r="JH26" s="74">
        <f>'Проверочная  таблица'!RU28</f>
        <v>0</v>
      </c>
      <c r="JI26" s="71">
        <f>'Федеральные  средства  по  МО'!BV27</f>
        <v>0</v>
      </c>
      <c r="JJ26" s="72">
        <f t="shared" si="60"/>
        <v>0</v>
      </c>
      <c r="JK26" s="67"/>
      <c r="JL26" s="72"/>
      <c r="JM26" s="77">
        <f>'Федеральные  средства  по  МО'!BW27</f>
        <v>0</v>
      </c>
      <c r="JN26" s="73">
        <f t="shared" si="61"/>
        <v>0</v>
      </c>
      <c r="JO26" s="67"/>
      <c r="JP26" s="74"/>
      <c r="JQ26" s="76">
        <f>'Федеральные  средства  по  МО'!BX27</f>
        <v>0</v>
      </c>
      <c r="JR26" s="72">
        <f t="shared" si="62"/>
        <v>0</v>
      </c>
      <c r="JS26" s="67"/>
      <c r="JT26" s="72"/>
      <c r="JU26" s="77">
        <f>'Федеральные  средства  по  МО'!BY27</f>
        <v>0</v>
      </c>
      <c r="JV26" s="72">
        <f t="shared" si="63"/>
        <v>0</v>
      </c>
      <c r="JW26" s="67"/>
      <c r="JX26" s="72"/>
      <c r="JY26" s="76">
        <f>'Федеральные  средства  по  МО'!BZ27</f>
        <v>0</v>
      </c>
      <c r="JZ26" s="72">
        <f t="shared" si="64"/>
        <v>0</v>
      </c>
      <c r="KA26" s="67"/>
      <c r="KB26" s="72"/>
      <c r="KC26" s="75">
        <f>'Федеральные  средства  по  МО'!CA27</f>
        <v>0</v>
      </c>
      <c r="KD26" s="72">
        <f t="shared" si="65"/>
        <v>0</v>
      </c>
      <c r="KE26" s="67"/>
      <c r="KF26" s="72"/>
      <c r="KG26" s="75">
        <f>'Федеральные  средства  по  МО'!CB27</f>
        <v>0</v>
      </c>
      <c r="KH26" s="74">
        <f>'Проверочная  таблица'!SR28</f>
        <v>0</v>
      </c>
      <c r="KI26" s="72">
        <f>'Проверочная  таблица'!TT28</f>
        <v>0</v>
      </c>
      <c r="KJ26" s="67">
        <f>'Проверочная  таблица'!UH28</f>
        <v>0</v>
      </c>
      <c r="KK26" s="1139">
        <f>'Федеральные  средства  по  МО'!CC27</f>
        <v>0</v>
      </c>
      <c r="KL26" s="67">
        <f>'Проверочная  таблица'!SY28</f>
        <v>0</v>
      </c>
      <c r="KM26" s="72">
        <f>'Проверочная  таблица'!UA28</f>
        <v>0</v>
      </c>
      <c r="KN26" s="73">
        <f>'Проверочная  таблица'!UO28</f>
        <v>0</v>
      </c>
      <c r="KO26" s="75">
        <f>'Федеральные  средства  по  МО'!CD27</f>
        <v>0</v>
      </c>
      <c r="KP26" s="72">
        <f>'Проверочная  таблица'!ST28</f>
        <v>0</v>
      </c>
      <c r="KQ26" s="67">
        <f t="shared" si="66"/>
        <v>0</v>
      </c>
      <c r="KR26" s="72"/>
      <c r="KS26" s="75">
        <f>'Федеральные  средства  по  МО'!CE27</f>
        <v>0</v>
      </c>
      <c r="KT26" s="72">
        <f>'Проверочная  таблица'!TA28</f>
        <v>0</v>
      </c>
      <c r="KU26" s="67">
        <f t="shared" si="67"/>
        <v>0</v>
      </c>
      <c r="KV26" s="74"/>
      <c r="KW26" s="76">
        <f>'Федеральные  средства  по  МО'!CF27</f>
        <v>0</v>
      </c>
      <c r="KX26" s="74">
        <f>'Проверочная  таблица'!SV28</f>
        <v>0</v>
      </c>
      <c r="KY26" s="72">
        <f>'Проверочная  таблица'!TX28</f>
        <v>0</v>
      </c>
      <c r="KZ26" s="73"/>
      <c r="LA26" s="75">
        <f>'Федеральные  средства  по  МО'!CG27</f>
        <v>0</v>
      </c>
      <c r="LB26" s="74">
        <f>'Проверочная  таблица'!TC28</f>
        <v>0</v>
      </c>
      <c r="LC26" s="72">
        <f>'Проверочная  таблица'!TQ28</f>
        <v>0</v>
      </c>
      <c r="LD26" s="72"/>
    </row>
    <row r="27" spans="1:316" ht="25.5" customHeight="1" thickBot="1" x14ac:dyDescent="0.3">
      <c r="A27" s="88" t="s">
        <v>334</v>
      </c>
      <c r="B27" s="69">
        <f t="shared" si="14"/>
        <v>64454085.520000003</v>
      </c>
      <c r="C27" s="70">
        <f t="shared" si="15"/>
        <v>36062067</v>
      </c>
      <c r="D27" s="70">
        <f t="shared" si="16"/>
        <v>9282930.6699999981</v>
      </c>
      <c r="E27" s="70">
        <f t="shared" si="17"/>
        <v>19109087.850000001</v>
      </c>
      <c r="F27" s="69">
        <f t="shared" si="18"/>
        <v>30298496.859999999</v>
      </c>
      <c r="G27" s="70">
        <f t="shared" si="19"/>
        <v>5347386.7300000004</v>
      </c>
      <c r="H27" s="70">
        <f t="shared" si="1"/>
        <v>6851110.1299999999</v>
      </c>
      <c r="I27" s="70">
        <f t="shared" si="2"/>
        <v>18100000</v>
      </c>
      <c r="J27" s="52"/>
      <c r="K27" s="53">
        <f>M27-'Федеральные  средства  по  МО'!N28-'Федеральные  средства  по  МО'!D28</f>
        <v>0</v>
      </c>
      <c r="L27" s="53">
        <f>Q27-'Федеральные  средства  по  МО'!O28-'Федеральные  средства  по  МО'!E28</f>
        <v>0</v>
      </c>
      <c r="M27" s="1180">
        <f t="shared" si="20"/>
        <v>125805406.14</v>
      </c>
      <c r="N27" s="70">
        <f t="shared" si="21"/>
        <v>84206667</v>
      </c>
      <c r="O27" s="70">
        <f t="shared" si="22"/>
        <v>9282930.6699999981</v>
      </c>
      <c r="P27" s="70">
        <f t="shared" si="23"/>
        <v>19109087.850000001</v>
      </c>
      <c r="Q27" s="1180">
        <f t="shared" si="24"/>
        <v>33443496.859999999</v>
      </c>
      <c r="R27" s="70">
        <f t="shared" si="25"/>
        <v>8492386.7300000004</v>
      </c>
      <c r="S27" s="70">
        <f t="shared" si="26"/>
        <v>6851110.1299999999</v>
      </c>
      <c r="T27" s="70">
        <f t="shared" si="27"/>
        <v>18100000</v>
      </c>
      <c r="U27" s="89">
        <f>'Федеральные  средства  по  МО'!F28</f>
        <v>0</v>
      </c>
      <c r="V27" s="90">
        <f>'Проверочная  таблица'!BL29</f>
        <v>0</v>
      </c>
      <c r="W27" s="91">
        <f>'Проверочная  таблица'!BP29</f>
        <v>0</v>
      </c>
      <c r="X27" s="90">
        <f>'Проверочная  таблица'!BR29</f>
        <v>0</v>
      </c>
      <c r="Y27" s="89">
        <f>'Федеральные  средства  по  МО'!G28</f>
        <v>0</v>
      </c>
      <c r="Z27" s="90">
        <f>'Проверочная  таблица'!BM29</f>
        <v>0</v>
      </c>
      <c r="AA27" s="91">
        <f>'Проверочная  таблица'!BQ29</f>
        <v>0</v>
      </c>
      <c r="AB27" s="90">
        <f>'Проверочная  таблица'!BS29</f>
        <v>0</v>
      </c>
      <c r="AC27" s="1140">
        <f>'Федеральные  средства  по  МО'!H28</f>
        <v>28613600</v>
      </c>
      <c r="AD27" s="92">
        <f t="shared" si="28"/>
        <v>28613600</v>
      </c>
      <c r="AE27" s="90"/>
      <c r="AF27" s="93"/>
      <c r="AG27" s="1140">
        <f>'Федеральные  средства  по  МО'!I28</f>
        <v>0</v>
      </c>
      <c r="AH27" s="92">
        <f t="shared" si="29"/>
        <v>0</v>
      </c>
      <c r="AI27" s="90"/>
      <c r="AJ27" s="91"/>
      <c r="AK27" s="89">
        <f>'Федеральные  средства  по  МО'!J28</f>
        <v>19531000</v>
      </c>
      <c r="AL27" s="92">
        <f t="shared" si="30"/>
        <v>19531000</v>
      </c>
      <c r="AM27" s="90"/>
      <c r="AN27" s="93"/>
      <c r="AO27" s="89">
        <f>'Федеральные  средства  по  МО'!K28</f>
        <v>3145000</v>
      </c>
      <c r="AP27" s="92">
        <f t="shared" si="31"/>
        <v>3145000</v>
      </c>
      <c r="AQ27" s="90"/>
      <c r="AR27" s="91"/>
      <c r="AS27" s="94">
        <f>'Федеральные  средства  по  МО'!P28</f>
        <v>0</v>
      </c>
      <c r="AT27" s="91">
        <f>'Проверочная  таблица'!CP29</f>
        <v>0</v>
      </c>
      <c r="AU27" s="78"/>
      <c r="AV27" s="79"/>
      <c r="AW27" s="95">
        <f>'Федеральные  средства  по  МО'!Q28</f>
        <v>0</v>
      </c>
      <c r="AX27" s="91">
        <f>'Проверочная  таблица'!CW29</f>
        <v>0</v>
      </c>
      <c r="AY27" s="80"/>
      <c r="AZ27" s="78"/>
      <c r="BA27" s="95">
        <f>'Федеральные  средства  по  МО'!R28</f>
        <v>0</v>
      </c>
      <c r="BB27" s="91">
        <f>'Проверочная  таблица'!CR29</f>
        <v>0</v>
      </c>
      <c r="BC27" s="90"/>
      <c r="BD27" s="91">
        <f>'Проверочная  таблица'!DD29</f>
        <v>0</v>
      </c>
      <c r="BE27" s="94">
        <f>'Федеральные  средства  по  МО'!S28</f>
        <v>0</v>
      </c>
      <c r="BF27" s="91">
        <f>'Проверочная  таблица'!CY29</f>
        <v>0</v>
      </c>
      <c r="BG27" s="78"/>
      <c r="BH27" s="91">
        <f>'Проверочная  таблица'!DG29</f>
        <v>0</v>
      </c>
      <c r="BI27" s="94">
        <f>'Федеральные  средства  по  МО'!T28</f>
        <v>0</v>
      </c>
      <c r="BJ27" s="91">
        <f t="shared" si="32"/>
        <v>0</v>
      </c>
      <c r="BK27" s="90"/>
      <c r="BL27" s="91"/>
      <c r="BM27" s="96">
        <f>'Федеральные  средства  по  МО'!U28</f>
        <v>0</v>
      </c>
      <c r="BN27" s="91">
        <f t="shared" si="33"/>
        <v>0</v>
      </c>
      <c r="BO27" s="80"/>
      <c r="BP27" s="80"/>
      <c r="BQ27" s="89">
        <f>'Федеральные  средства  по  МО'!V28</f>
        <v>0</v>
      </c>
      <c r="BR27" s="80">
        <f>BQ27</f>
        <v>0</v>
      </c>
      <c r="BS27" s="97"/>
      <c r="BT27" s="98"/>
      <c r="BU27" s="89">
        <f>'Федеральные  средства  по  МО'!W28</f>
        <v>0</v>
      </c>
      <c r="BV27" s="80">
        <f>BU27</f>
        <v>0</v>
      </c>
      <c r="BW27" s="97"/>
      <c r="BX27" s="98"/>
      <c r="BY27" s="89">
        <f>'Федеральные  средства  по  МО'!X28</f>
        <v>0</v>
      </c>
      <c r="BZ27" s="80">
        <f>BY27</f>
        <v>0</v>
      </c>
      <c r="CA27" s="97"/>
      <c r="CB27" s="98"/>
      <c r="CC27" s="89">
        <f>'Федеральные  средства  по  МО'!Y28</f>
        <v>0</v>
      </c>
      <c r="CD27" s="80">
        <f>CC27</f>
        <v>0</v>
      </c>
      <c r="CE27" s="97"/>
      <c r="CF27" s="98"/>
      <c r="CG27" s="89">
        <f>'Федеральные  средства  по  МО'!Z28</f>
        <v>0</v>
      </c>
      <c r="CH27" s="80">
        <f t="shared" si="8"/>
        <v>0</v>
      </c>
      <c r="CI27" s="78"/>
      <c r="CJ27" s="79"/>
      <c r="CK27" s="89">
        <f>'Федеральные  средства  по  МО'!AA28</f>
        <v>0</v>
      </c>
      <c r="CL27" s="80">
        <f t="shared" si="9"/>
        <v>0</v>
      </c>
      <c r="CM27" s="81"/>
      <c r="CN27" s="80"/>
      <c r="CO27" s="95">
        <f>'Федеральные  средства  по  МО'!AB28</f>
        <v>0</v>
      </c>
      <c r="CP27" s="91">
        <f t="shared" si="34"/>
        <v>0</v>
      </c>
      <c r="CQ27" s="90"/>
      <c r="CR27" s="91"/>
      <c r="CS27" s="94">
        <f>'Федеральные  средства  по  МО'!AC28</f>
        <v>0</v>
      </c>
      <c r="CT27" s="91">
        <f t="shared" si="35"/>
        <v>0</v>
      </c>
      <c r="CU27" s="90"/>
      <c r="CV27" s="91"/>
      <c r="CW27" s="95">
        <f>'Федеральные  средства  по  МО'!AD28</f>
        <v>224762.96</v>
      </c>
      <c r="CX27" s="93">
        <f>'Проверочная  таблица'!EV29</f>
        <v>0</v>
      </c>
      <c r="CY27" s="91">
        <f t="shared" si="36"/>
        <v>224762.96</v>
      </c>
      <c r="CZ27" s="92"/>
      <c r="DA27" s="94">
        <f>'Федеральные  средства  по  МО'!AE28</f>
        <v>224762.97</v>
      </c>
      <c r="DB27" s="93">
        <f>'Проверочная  таблица'!EY29</f>
        <v>0</v>
      </c>
      <c r="DC27" s="91">
        <f t="shared" si="37"/>
        <v>224762.97</v>
      </c>
      <c r="DD27" s="90"/>
      <c r="DE27" s="89">
        <f>'Федеральные  средства  по  МО'!AF28</f>
        <v>0</v>
      </c>
      <c r="DF27" s="92">
        <f t="shared" si="38"/>
        <v>0</v>
      </c>
      <c r="DG27" s="90"/>
      <c r="DH27" s="93"/>
      <c r="DI27" s="89">
        <f>'Федеральные  средства  по  МО'!AG28</f>
        <v>0</v>
      </c>
      <c r="DJ27" s="92">
        <f t="shared" si="39"/>
        <v>0</v>
      </c>
      <c r="DK27" s="90"/>
      <c r="DL27" s="93"/>
      <c r="DM27" s="89">
        <f>'Федеральные  средства  по  МО'!AH28</f>
        <v>0</v>
      </c>
      <c r="DN27" s="92">
        <f t="shared" si="40"/>
        <v>0</v>
      </c>
      <c r="DO27" s="90"/>
      <c r="DP27" s="93"/>
      <c r="DQ27" s="89">
        <f>'Федеральные  средства  по  МО'!AI28</f>
        <v>0</v>
      </c>
      <c r="DR27" s="92">
        <f t="shared" si="41"/>
        <v>0</v>
      </c>
      <c r="DS27" s="90"/>
      <c r="DT27" s="91"/>
      <c r="DU27" s="95">
        <f>'Федеральные  средства  по  МО'!AJ28</f>
        <v>28177208.5</v>
      </c>
      <c r="DV27" s="91">
        <f t="shared" si="42"/>
        <v>28177208.5</v>
      </c>
      <c r="DW27" s="90"/>
      <c r="DX27" s="91"/>
      <c r="DY27" s="94">
        <f>'Федеральные  средства  по  МО'!AK28</f>
        <v>0</v>
      </c>
      <c r="DZ27" s="91">
        <f t="shared" si="43"/>
        <v>0</v>
      </c>
      <c r="EA27" s="90"/>
      <c r="EB27" s="93"/>
      <c r="EC27" s="89">
        <f>'Федеральные  средства  по  МО'!AL28</f>
        <v>0</v>
      </c>
      <c r="ED27" s="99">
        <f t="shared" si="10"/>
        <v>0</v>
      </c>
      <c r="EE27" s="100"/>
      <c r="EF27" s="99"/>
      <c r="EG27" s="89">
        <f>'Федеральные  средства  по  МО'!AM28</f>
        <v>0</v>
      </c>
      <c r="EH27" s="99">
        <f t="shared" si="11"/>
        <v>0</v>
      </c>
      <c r="EI27" s="100"/>
      <c r="EJ27" s="99"/>
      <c r="EK27" s="95">
        <f>'Федеральные  средства  по  МО'!AN28</f>
        <v>821052.83999999985</v>
      </c>
      <c r="EL27" s="91"/>
      <c r="EM27" s="90"/>
      <c r="EN27" s="91">
        <f t="shared" si="44"/>
        <v>821052.83999999985</v>
      </c>
      <c r="EO27" s="94">
        <f>'Федеральные  средства  по  МО'!AO28</f>
        <v>0</v>
      </c>
      <c r="EP27" s="91"/>
      <c r="EQ27" s="90"/>
      <c r="ER27" s="93">
        <f t="shared" si="45"/>
        <v>0</v>
      </c>
      <c r="ES27" s="1153">
        <f>'Федеральные  средства  по  МО'!AP28</f>
        <v>2500000</v>
      </c>
      <c r="ET27" s="91">
        <f>'Проверочная  таблица'!IJ29</f>
        <v>0</v>
      </c>
      <c r="EU27" s="90">
        <f>'Проверочная  таблица'!IT29</f>
        <v>0</v>
      </c>
      <c r="EV27" s="91">
        <f>ES27</f>
        <v>2500000</v>
      </c>
      <c r="EW27" s="1155">
        <f>'Федеральные  средства  по  МО'!AQ28</f>
        <v>2500000</v>
      </c>
      <c r="EX27" s="91">
        <f>'Проверочная  таблица'!IM29</f>
        <v>0</v>
      </c>
      <c r="EY27" s="90">
        <f>'Проверочная  таблица'!IU29</f>
        <v>0</v>
      </c>
      <c r="EZ27" s="91">
        <f>'Проверочная  таблица'!IS29</f>
        <v>2500000</v>
      </c>
      <c r="FA27" s="96">
        <f>'Федеральные  средства  по  МО'!AR28</f>
        <v>7600000</v>
      </c>
      <c r="FB27" s="73">
        <f t="shared" si="68"/>
        <v>7600000</v>
      </c>
      <c r="FC27" s="90"/>
      <c r="FD27" s="93"/>
      <c r="FE27" s="89">
        <f>'Федеральные  средства  по  МО'!AS28</f>
        <v>5159351.72</v>
      </c>
      <c r="FF27" s="73">
        <f t="shared" si="69"/>
        <v>5159351.72</v>
      </c>
      <c r="FG27" s="90"/>
      <c r="FH27" s="91"/>
      <c r="FI27" s="96">
        <f>'Федеральные  средства  по  МО'!AT28</f>
        <v>0</v>
      </c>
      <c r="FJ27" s="80"/>
      <c r="FK27" s="78"/>
      <c r="FL27" s="79"/>
      <c r="FM27" s="89">
        <f>'Федеральные  средства  по  МО'!AU28</f>
        <v>0</v>
      </c>
      <c r="FN27" s="78"/>
      <c r="FO27" s="81"/>
      <c r="FP27" s="78"/>
      <c r="FQ27" s="95">
        <f>'Федеральные  средства  по  МО'!AV28</f>
        <v>0</v>
      </c>
      <c r="FR27" s="93">
        <f>'Проверочная  таблица'!JL29</f>
        <v>0</v>
      </c>
      <c r="FS27" s="91">
        <f>'Проверочная  таблица'!JX29</f>
        <v>-188035.01</v>
      </c>
      <c r="FT27" s="91">
        <f>'Проверочная  таблица'!KD29</f>
        <v>188035.01</v>
      </c>
      <c r="FU27" s="94">
        <f>'Федеральные  средства  по  МО'!AW28</f>
        <v>0</v>
      </c>
      <c r="FV27" s="91">
        <f>'Проверочная  таблица'!JO29</f>
        <v>0</v>
      </c>
      <c r="FW27" s="90">
        <f>'Проверочная  таблица'!KA29</f>
        <v>0</v>
      </c>
      <c r="FX27" s="91">
        <f>'Проверочная  таблица'!KG29</f>
        <v>0</v>
      </c>
      <c r="FY27" s="95">
        <f>'Федеральные  средства  по  МО'!AX28</f>
        <v>194713.62</v>
      </c>
      <c r="FZ27" s="91"/>
      <c r="GA27" s="90">
        <f t="shared" si="46"/>
        <v>194713.62</v>
      </c>
      <c r="GB27" s="91"/>
      <c r="GC27" s="89">
        <f>'Федеральные  средства  по  МО'!AY28</f>
        <v>0</v>
      </c>
      <c r="GD27" s="90"/>
      <c r="GE27" s="91">
        <f t="shared" si="47"/>
        <v>0</v>
      </c>
      <c r="GF27" s="90"/>
      <c r="GG27" s="101">
        <f>'Федеральные  средства  по  МО'!AZ28</f>
        <v>96823.49</v>
      </c>
      <c r="GH27" s="102">
        <f t="shared" si="48"/>
        <v>96823.49</v>
      </c>
      <c r="GI27" s="99"/>
      <c r="GJ27" s="103"/>
      <c r="GK27" s="101">
        <f>'Федеральные  средства  по  МО'!BA28</f>
        <v>0</v>
      </c>
      <c r="GL27" s="102">
        <f t="shared" si="49"/>
        <v>0</v>
      </c>
      <c r="GM27" s="99"/>
      <c r="GN27" s="100"/>
      <c r="GO27" s="96">
        <f>'Федеральные  средства  по  МО'!BB28</f>
        <v>0</v>
      </c>
      <c r="GP27" s="78"/>
      <c r="GQ27" s="93">
        <f>'Проверочная  таблица'!MG29</f>
        <v>0</v>
      </c>
      <c r="GR27" s="91">
        <f>'Проверочная  таблица'!MO29</f>
        <v>0</v>
      </c>
      <c r="GS27" s="94">
        <f>'Федеральные  средства  по  МО'!BC28</f>
        <v>0</v>
      </c>
      <c r="GT27" s="93"/>
      <c r="GU27" s="91">
        <f>'Проверочная  таблица'!MK29</f>
        <v>0</v>
      </c>
      <c r="GV27" s="92">
        <f>'Проверочная  таблица'!MS29</f>
        <v>0</v>
      </c>
      <c r="GW27" s="94">
        <f>'Федеральные  средства  по  МО'!BD28</f>
        <v>0</v>
      </c>
      <c r="GX27" s="91">
        <f t="shared" si="50"/>
        <v>0</v>
      </c>
      <c r="GY27" s="90"/>
      <c r="GZ27" s="93"/>
      <c r="HA27" s="89">
        <f>'Федеральные  средства  по  МО'!BE28</f>
        <v>0</v>
      </c>
      <c r="HB27" s="91">
        <f t="shared" si="51"/>
        <v>0</v>
      </c>
      <c r="HC27" s="92"/>
      <c r="HD27" s="78"/>
      <c r="HE27" s="89">
        <f>'Федеральные  средства  по  МО'!BF28</f>
        <v>0</v>
      </c>
      <c r="HF27" s="93">
        <f t="shared" si="52"/>
        <v>0</v>
      </c>
      <c r="HG27" s="91"/>
      <c r="HH27" s="92"/>
      <c r="HI27" s="96">
        <f>'Федеральные  средства  по  МО'!BG28</f>
        <v>0</v>
      </c>
      <c r="HJ27" s="93">
        <f t="shared" si="12"/>
        <v>0</v>
      </c>
      <c r="HK27" s="91"/>
      <c r="HL27" s="92"/>
      <c r="HM27" s="95">
        <f>'Федеральные  средства  по  МО'!BH28</f>
        <v>188035.01</v>
      </c>
      <c r="HN27" s="93">
        <f t="shared" si="53"/>
        <v>188035.01</v>
      </c>
      <c r="HO27" s="91"/>
      <c r="HP27" s="92">
        <f>'Проверочная  таблица'!NX29</f>
        <v>0</v>
      </c>
      <c r="HQ27" s="96">
        <f>'Федеральные  средства  по  МО'!BI28</f>
        <v>188035.01</v>
      </c>
      <c r="HR27" s="93">
        <f t="shared" si="54"/>
        <v>188035.01</v>
      </c>
      <c r="HS27" s="79"/>
      <c r="HT27" s="91">
        <f>'Проверочная  таблица'!OA29</f>
        <v>0</v>
      </c>
      <c r="HU27" s="96">
        <f>'Федеральные  средства  по  МО'!BJ28</f>
        <v>0</v>
      </c>
      <c r="HV27" s="80">
        <f t="shared" si="55"/>
        <v>0</v>
      </c>
      <c r="HW27" s="78"/>
      <c r="HX27" s="79"/>
      <c r="HY27" s="89">
        <f>'Федеральные  средства  по  МО'!BK28</f>
        <v>0</v>
      </c>
      <c r="HZ27" s="80">
        <f t="shared" si="13"/>
        <v>0</v>
      </c>
      <c r="IA27" s="78"/>
      <c r="IB27" s="81"/>
      <c r="IC27" s="95">
        <f>'Федеральные  средства  по  МО'!BL28</f>
        <v>28806720.619999997</v>
      </c>
      <c r="ID27" s="93"/>
      <c r="IE27" s="91"/>
      <c r="IF27" s="92">
        <f>'Проверочная  таблица'!PJ29</f>
        <v>15600000</v>
      </c>
      <c r="IG27" s="94">
        <f>'Федеральные  средства  по  МО'!BM28</f>
        <v>15600000</v>
      </c>
      <c r="IH27" s="93"/>
      <c r="II27" s="91"/>
      <c r="IJ27" s="92">
        <f>'Проверочная  таблица'!PN29</f>
        <v>15600000</v>
      </c>
      <c r="IK27" s="95">
        <f>'Федеральные  средства  по  МО'!BN28</f>
        <v>0</v>
      </c>
      <c r="IL27" s="93">
        <f>'Проверочная  таблица'!PR29</f>
        <v>0</v>
      </c>
      <c r="IM27" s="91">
        <f t="shared" si="56"/>
        <v>0</v>
      </c>
      <c r="IN27" s="92"/>
      <c r="IO27" s="94">
        <f>'Федеральные  средства  по  МО'!BO28</f>
        <v>0</v>
      </c>
      <c r="IP27" s="93">
        <f>'Проверочная  таблица'!PW29</f>
        <v>0</v>
      </c>
      <c r="IQ27" s="91">
        <f t="shared" si="57"/>
        <v>0</v>
      </c>
      <c r="IR27" s="92"/>
      <c r="IS27" s="95">
        <f>'Федеральные  средства  по  МО'!BR28</f>
        <v>0</v>
      </c>
      <c r="IT27" s="91">
        <f t="shared" si="58"/>
        <v>0</v>
      </c>
      <c r="IU27" s="90"/>
      <c r="IV27" s="91"/>
      <c r="IW27" s="96">
        <f>'Федеральные  средства  по  МО'!BS28</f>
        <v>0</v>
      </c>
      <c r="IX27" s="92">
        <f t="shared" si="59"/>
        <v>0</v>
      </c>
      <c r="IY27" s="92"/>
      <c r="IZ27" s="91"/>
      <c r="JA27" s="95">
        <f>'Федеральные  средства  по  МО'!BT28</f>
        <v>0</v>
      </c>
      <c r="JB27" s="91">
        <f>'Проверочная  таблица'!RF29</f>
        <v>0</v>
      </c>
      <c r="JC27" s="90">
        <f>'Проверочная  таблица'!RL29</f>
        <v>0</v>
      </c>
      <c r="JD27" s="91">
        <f>'Проверочная  таблица'!RR29</f>
        <v>0</v>
      </c>
      <c r="JE27" s="94">
        <f>'Федеральные  средства  по  МО'!BU28</f>
        <v>0</v>
      </c>
      <c r="JF27" s="91">
        <f>'Проверочная  таблица'!RC29</f>
        <v>0</v>
      </c>
      <c r="JG27" s="90">
        <f>'Проверочная  таблица'!RO29</f>
        <v>0</v>
      </c>
      <c r="JH27" s="93">
        <f>'Проверочная  таблица'!RU29</f>
        <v>0</v>
      </c>
      <c r="JI27" s="89">
        <f>'Федеральные  средства  по  МО'!BV28</f>
        <v>0</v>
      </c>
      <c r="JJ27" s="91">
        <f t="shared" si="60"/>
        <v>0</v>
      </c>
      <c r="JK27" s="90"/>
      <c r="JL27" s="91"/>
      <c r="JM27" s="96">
        <f>'Федеральные  средства  по  МО'!BW28</f>
        <v>0</v>
      </c>
      <c r="JN27" s="92">
        <f t="shared" si="61"/>
        <v>0</v>
      </c>
      <c r="JO27" s="90"/>
      <c r="JP27" s="93"/>
      <c r="JQ27" s="95">
        <f>'Федеральные  средства  по  МО'!BX28</f>
        <v>0</v>
      </c>
      <c r="JR27" s="91">
        <f t="shared" si="62"/>
        <v>0</v>
      </c>
      <c r="JS27" s="90"/>
      <c r="JT27" s="91"/>
      <c r="JU27" s="96">
        <f>'Федеральные  средства  по  МО'!BY28</f>
        <v>0</v>
      </c>
      <c r="JV27" s="91">
        <f t="shared" si="63"/>
        <v>0</v>
      </c>
      <c r="JW27" s="90"/>
      <c r="JX27" s="91"/>
      <c r="JY27" s="95">
        <f>'Федеральные  средства  по  МО'!BZ28</f>
        <v>0</v>
      </c>
      <c r="JZ27" s="91">
        <f t="shared" si="64"/>
        <v>0</v>
      </c>
      <c r="KA27" s="90"/>
      <c r="KB27" s="91"/>
      <c r="KC27" s="94">
        <f>'Федеральные  средства  по  МО'!CA28</f>
        <v>0</v>
      </c>
      <c r="KD27" s="91">
        <f t="shared" si="65"/>
        <v>0</v>
      </c>
      <c r="KE27" s="90"/>
      <c r="KF27" s="91"/>
      <c r="KG27" s="94">
        <f>'Федеральные  средства  по  МО'!CB28</f>
        <v>9051489.0999999996</v>
      </c>
      <c r="KH27" s="93">
        <f>'Проверочная  таблица'!SR29</f>
        <v>0</v>
      </c>
      <c r="KI27" s="91">
        <f>'Проверочная  таблица'!TT29</f>
        <v>9051489.0999999996</v>
      </c>
      <c r="KJ27" s="90">
        <f>'Проверочная  таблица'!UH29</f>
        <v>0</v>
      </c>
      <c r="KK27" s="1140">
        <f>'Федеральные  средства  по  МО'!CC28</f>
        <v>6626347.1600000001</v>
      </c>
      <c r="KL27" s="90">
        <f>'Проверочная  таблица'!SY29</f>
        <v>0</v>
      </c>
      <c r="KM27" s="91">
        <f>'Проверочная  таблица'!UA29</f>
        <v>6626347.1600000001</v>
      </c>
      <c r="KN27" s="92">
        <f>'Проверочная  таблица'!UO29</f>
        <v>0</v>
      </c>
      <c r="KO27" s="94">
        <f>'Федеральные  средства  по  МО'!CD28</f>
        <v>0</v>
      </c>
      <c r="KP27" s="91">
        <f>'Проверочная  таблица'!ST29</f>
        <v>0</v>
      </c>
      <c r="KQ27" s="90">
        <f t="shared" si="66"/>
        <v>0</v>
      </c>
      <c r="KR27" s="91"/>
      <c r="KS27" s="94">
        <f>'Федеральные  средства  по  МО'!CE28</f>
        <v>0</v>
      </c>
      <c r="KT27" s="91">
        <f>'Проверочная  таблица'!TA29</f>
        <v>0</v>
      </c>
      <c r="KU27" s="90">
        <f t="shared" si="67"/>
        <v>0</v>
      </c>
      <c r="KV27" s="93"/>
      <c r="KW27" s="95">
        <f>'Федеральные  средства  по  МО'!CF28</f>
        <v>0</v>
      </c>
      <c r="KX27" s="93">
        <f>'Проверочная  таблица'!SV29</f>
        <v>0</v>
      </c>
      <c r="KY27" s="91">
        <f>'Проверочная  таблица'!TX29</f>
        <v>0</v>
      </c>
      <c r="KZ27" s="92"/>
      <c r="LA27" s="94">
        <f>'Федеральные  средства  по  МО'!CG28</f>
        <v>0</v>
      </c>
      <c r="LB27" s="93">
        <f>'Проверочная  таблица'!TC29</f>
        <v>0</v>
      </c>
      <c r="LC27" s="91">
        <f>'Проверочная  таблица'!TQ29</f>
        <v>0</v>
      </c>
      <c r="LD27" s="91"/>
    </row>
    <row r="28" spans="1:316" ht="25.5" customHeight="1" thickBot="1" x14ac:dyDescent="0.3">
      <c r="A28" s="104" t="s">
        <v>335</v>
      </c>
      <c r="B28" s="105">
        <f t="shared" ref="B28" si="70">SUM(B10:B27)</f>
        <v>2896243456.7999997</v>
      </c>
      <c r="C28" s="106">
        <f t="shared" ref="C28:F28" si="71">SUM(C10:C27)</f>
        <v>2303478266.6599998</v>
      </c>
      <c r="D28" s="106">
        <f t="shared" si="71"/>
        <v>116701268.24000001</v>
      </c>
      <c r="E28" s="106">
        <f t="shared" si="71"/>
        <v>476063921.89999998</v>
      </c>
      <c r="F28" s="105">
        <f t="shared" si="71"/>
        <v>1755779938.1899998</v>
      </c>
      <c r="G28" s="106">
        <f t="shared" ref="G28:I28" si="72">SUM(G10:G27)</f>
        <v>1419280416.78</v>
      </c>
      <c r="H28" s="106">
        <f t="shared" si="72"/>
        <v>57107010.840000011</v>
      </c>
      <c r="I28" s="106">
        <f t="shared" si="72"/>
        <v>279392510.56999999</v>
      </c>
      <c r="J28" s="52"/>
      <c r="K28" s="53">
        <f>M28-'Федеральные  средства  по  МО'!N29-'Федеральные  средства  по  МО'!D29</f>
        <v>0</v>
      </c>
      <c r="L28" s="53">
        <f>Q28-'Федеральные  средства  по  МО'!O29-'Федеральные  средства  по  МО'!E29</f>
        <v>2.9802322387695313E-7</v>
      </c>
      <c r="M28" s="105">
        <f t="shared" ref="M28" si="73">SUM(M10:M27)</f>
        <v>4222155600.6899996</v>
      </c>
      <c r="N28" s="106">
        <f t="shared" ref="N28:BP28" si="74">SUM(N10:N27)</f>
        <v>3484829996.4400001</v>
      </c>
      <c r="O28" s="106">
        <f t="shared" si="74"/>
        <v>116701268.24000001</v>
      </c>
      <c r="P28" s="106">
        <f t="shared" si="74"/>
        <v>476063921.89999998</v>
      </c>
      <c r="Q28" s="105">
        <f t="shared" si="74"/>
        <v>1793354269.8799999</v>
      </c>
      <c r="R28" s="106">
        <f t="shared" si="74"/>
        <v>1456854748.47</v>
      </c>
      <c r="S28" s="106">
        <f t="shared" si="74"/>
        <v>57107010.840000011</v>
      </c>
      <c r="T28" s="106">
        <f t="shared" si="74"/>
        <v>279392510.56999999</v>
      </c>
      <c r="U28" s="107">
        <f t="shared" si="74"/>
        <v>0</v>
      </c>
      <c r="V28" s="108">
        <f t="shared" si="74"/>
        <v>0</v>
      </c>
      <c r="W28" s="109">
        <f t="shared" si="74"/>
        <v>0</v>
      </c>
      <c r="X28" s="110">
        <f t="shared" si="74"/>
        <v>0</v>
      </c>
      <c r="Y28" s="111">
        <f t="shared" si="74"/>
        <v>0</v>
      </c>
      <c r="Z28" s="108">
        <f t="shared" si="74"/>
        <v>0</v>
      </c>
      <c r="AA28" s="109">
        <f t="shared" si="74"/>
        <v>0</v>
      </c>
      <c r="AB28" s="110">
        <f t="shared" si="74"/>
        <v>0</v>
      </c>
      <c r="AC28" s="1164">
        <f t="shared" ref="AC28:AJ28" si="75">SUM(AC10:AC27)</f>
        <v>865675729.78000021</v>
      </c>
      <c r="AD28" s="109">
        <f t="shared" si="75"/>
        <v>865675729.78000021</v>
      </c>
      <c r="AE28" s="112">
        <f t="shared" si="75"/>
        <v>0</v>
      </c>
      <c r="AF28" s="109">
        <f t="shared" si="75"/>
        <v>0</v>
      </c>
      <c r="AG28" s="1168">
        <f t="shared" si="75"/>
        <v>0</v>
      </c>
      <c r="AH28" s="109">
        <f t="shared" si="75"/>
        <v>0</v>
      </c>
      <c r="AI28" s="112">
        <f t="shared" si="75"/>
        <v>0</v>
      </c>
      <c r="AJ28" s="109">
        <f t="shared" si="75"/>
        <v>0</v>
      </c>
      <c r="AK28" s="107">
        <f t="shared" si="74"/>
        <v>315676000</v>
      </c>
      <c r="AL28" s="109">
        <f t="shared" si="74"/>
        <v>315676000</v>
      </c>
      <c r="AM28" s="112">
        <f t="shared" si="74"/>
        <v>0</v>
      </c>
      <c r="AN28" s="109">
        <f t="shared" si="74"/>
        <v>0</v>
      </c>
      <c r="AO28" s="111">
        <f t="shared" si="74"/>
        <v>37574331.689999998</v>
      </c>
      <c r="AP28" s="109">
        <f t="shared" si="74"/>
        <v>37574331.689999998</v>
      </c>
      <c r="AQ28" s="112">
        <f t="shared" si="74"/>
        <v>0</v>
      </c>
      <c r="AR28" s="109">
        <f t="shared" si="74"/>
        <v>0</v>
      </c>
      <c r="AS28" s="111">
        <f t="shared" si="74"/>
        <v>243864.57</v>
      </c>
      <c r="AT28" s="109">
        <f t="shared" si="74"/>
        <v>243864.57</v>
      </c>
      <c r="AU28" s="113">
        <f t="shared" si="74"/>
        <v>0</v>
      </c>
      <c r="AV28" s="106">
        <f t="shared" si="74"/>
        <v>0</v>
      </c>
      <c r="AW28" s="111">
        <f t="shared" si="74"/>
        <v>0</v>
      </c>
      <c r="AX28" s="108">
        <f t="shared" si="74"/>
        <v>0</v>
      </c>
      <c r="AY28" s="106">
        <f t="shared" si="74"/>
        <v>0</v>
      </c>
      <c r="AZ28" s="113">
        <f t="shared" si="74"/>
        <v>0</v>
      </c>
      <c r="BA28" s="107">
        <f t="shared" si="74"/>
        <v>291338100</v>
      </c>
      <c r="BB28" s="109">
        <f t="shared" si="74"/>
        <v>275500000</v>
      </c>
      <c r="BC28" s="109">
        <f t="shared" si="74"/>
        <v>0</v>
      </c>
      <c r="BD28" s="112">
        <f t="shared" si="74"/>
        <v>15838100</v>
      </c>
      <c r="BE28" s="114">
        <f t="shared" si="74"/>
        <v>143673617.06999999</v>
      </c>
      <c r="BF28" s="112">
        <f t="shared" si="74"/>
        <v>139960287.19</v>
      </c>
      <c r="BG28" s="106">
        <f t="shared" si="74"/>
        <v>0</v>
      </c>
      <c r="BH28" s="110">
        <f t="shared" si="74"/>
        <v>3713329.88</v>
      </c>
      <c r="BI28" s="107">
        <f t="shared" si="74"/>
        <v>0</v>
      </c>
      <c r="BJ28" s="109">
        <f t="shared" si="74"/>
        <v>0</v>
      </c>
      <c r="BK28" s="112">
        <f t="shared" si="74"/>
        <v>0</v>
      </c>
      <c r="BL28" s="109">
        <f t="shared" si="74"/>
        <v>0</v>
      </c>
      <c r="BM28" s="115">
        <f t="shared" si="74"/>
        <v>0</v>
      </c>
      <c r="BN28" s="109">
        <f t="shared" si="74"/>
        <v>0</v>
      </c>
      <c r="BO28" s="106">
        <f t="shared" si="74"/>
        <v>0</v>
      </c>
      <c r="BP28" s="116">
        <f t="shared" si="74"/>
        <v>0</v>
      </c>
      <c r="BQ28" s="114">
        <f>SUM(BQ10:BQ27)</f>
        <v>5982800</v>
      </c>
      <c r="BR28" s="106">
        <f t="shared" ref="BR28:BT28" si="76">SUM(BR10:BR27)</f>
        <v>5982800</v>
      </c>
      <c r="BS28" s="109">
        <f t="shared" si="76"/>
        <v>0</v>
      </c>
      <c r="BT28" s="112">
        <f t="shared" si="76"/>
        <v>0</v>
      </c>
      <c r="BU28" s="114">
        <f>SUM(BU10:BU27)</f>
        <v>4526356.16</v>
      </c>
      <c r="BV28" s="106">
        <f t="shared" ref="BV28:CV28" si="77">SUM(BV10:BV27)</f>
        <v>4526356.16</v>
      </c>
      <c r="BW28" s="109">
        <f t="shared" si="77"/>
        <v>0</v>
      </c>
      <c r="BX28" s="112">
        <f t="shared" si="77"/>
        <v>0</v>
      </c>
      <c r="BY28" s="114">
        <f t="shared" si="77"/>
        <v>0</v>
      </c>
      <c r="BZ28" s="106">
        <f t="shared" si="77"/>
        <v>0</v>
      </c>
      <c r="CA28" s="109">
        <f t="shared" si="77"/>
        <v>0</v>
      </c>
      <c r="CB28" s="112">
        <f t="shared" si="77"/>
        <v>0</v>
      </c>
      <c r="CC28" s="114">
        <f t="shared" si="77"/>
        <v>0</v>
      </c>
      <c r="CD28" s="106">
        <f t="shared" si="77"/>
        <v>0</v>
      </c>
      <c r="CE28" s="109">
        <f t="shared" si="77"/>
        <v>0</v>
      </c>
      <c r="CF28" s="112">
        <f t="shared" si="77"/>
        <v>0</v>
      </c>
      <c r="CG28" s="107">
        <f t="shared" si="77"/>
        <v>0</v>
      </c>
      <c r="CH28" s="106">
        <f t="shared" si="77"/>
        <v>0</v>
      </c>
      <c r="CI28" s="113">
        <f t="shared" si="77"/>
        <v>0</v>
      </c>
      <c r="CJ28" s="106">
        <f t="shared" si="77"/>
        <v>0</v>
      </c>
      <c r="CK28" s="115">
        <f t="shared" si="77"/>
        <v>0</v>
      </c>
      <c r="CL28" s="117">
        <f t="shared" si="77"/>
        <v>0</v>
      </c>
      <c r="CM28" s="106">
        <f t="shared" si="77"/>
        <v>0</v>
      </c>
      <c r="CN28" s="116">
        <f t="shared" si="77"/>
        <v>0</v>
      </c>
      <c r="CO28" s="107">
        <f t="shared" si="77"/>
        <v>82494836.710000008</v>
      </c>
      <c r="CP28" s="109">
        <f t="shared" si="77"/>
        <v>82494836.710000008</v>
      </c>
      <c r="CQ28" s="112">
        <f t="shared" si="77"/>
        <v>0</v>
      </c>
      <c r="CR28" s="109">
        <f t="shared" si="77"/>
        <v>0</v>
      </c>
      <c r="CS28" s="111">
        <f t="shared" si="77"/>
        <v>0</v>
      </c>
      <c r="CT28" s="109">
        <f t="shared" si="77"/>
        <v>0</v>
      </c>
      <c r="CU28" s="112">
        <f t="shared" si="77"/>
        <v>0</v>
      </c>
      <c r="CV28" s="109">
        <f t="shared" si="77"/>
        <v>0</v>
      </c>
      <c r="CW28" s="107">
        <f>SUM(CW10:CW27)</f>
        <v>4365720.21</v>
      </c>
      <c r="CX28" s="108">
        <f t="shared" ref="CX28:CZ28" si="78">SUM(CX10:CX27)</f>
        <v>1497946.03</v>
      </c>
      <c r="CY28" s="109">
        <f t="shared" si="78"/>
        <v>2867774.1799999997</v>
      </c>
      <c r="CZ28" s="110">
        <f t="shared" si="78"/>
        <v>0</v>
      </c>
      <c r="DA28" s="114">
        <f>SUM(DA10:DA27)</f>
        <v>2547532.0500000003</v>
      </c>
      <c r="DB28" s="108">
        <f t="shared" ref="DB28:FM28" si="79">SUM(DB10:DB27)</f>
        <v>0</v>
      </c>
      <c r="DC28" s="109">
        <f t="shared" si="79"/>
        <v>2547532.0500000003</v>
      </c>
      <c r="DD28" s="112">
        <f t="shared" si="79"/>
        <v>0</v>
      </c>
      <c r="DE28" s="107">
        <f t="shared" si="79"/>
        <v>0</v>
      </c>
      <c r="DF28" s="109">
        <f t="shared" si="79"/>
        <v>0</v>
      </c>
      <c r="DG28" s="112">
        <f t="shared" si="79"/>
        <v>0</v>
      </c>
      <c r="DH28" s="109">
        <f t="shared" si="79"/>
        <v>0</v>
      </c>
      <c r="DI28" s="111">
        <f t="shared" si="79"/>
        <v>0</v>
      </c>
      <c r="DJ28" s="109">
        <f t="shared" si="79"/>
        <v>0</v>
      </c>
      <c r="DK28" s="112">
        <f t="shared" si="79"/>
        <v>0</v>
      </c>
      <c r="DL28" s="109">
        <f t="shared" si="79"/>
        <v>0</v>
      </c>
      <c r="DM28" s="107">
        <f t="shared" si="79"/>
        <v>234131380.22999999</v>
      </c>
      <c r="DN28" s="109">
        <f t="shared" si="79"/>
        <v>234131380.22999999</v>
      </c>
      <c r="DO28" s="112">
        <f t="shared" si="79"/>
        <v>0</v>
      </c>
      <c r="DP28" s="109">
        <f t="shared" si="79"/>
        <v>0</v>
      </c>
      <c r="DQ28" s="111">
        <f t="shared" si="79"/>
        <v>225612167.53</v>
      </c>
      <c r="DR28" s="109">
        <f t="shared" si="79"/>
        <v>225612167.53</v>
      </c>
      <c r="DS28" s="112">
        <f t="shared" si="79"/>
        <v>0</v>
      </c>
      <c r="DT28" s="109">
        <f t="shared" si="79"/>
        <v>0</v>
      </c>
      <c r="DU28" s="107">
        <f t="shared" si="79"/>
        <v>75265211.599999994</v>
      </c>
      <c r="DV28" s="109">
        <f t="shared" si="79"/>
        <v>75265211.599999994</v>
      </c>
      <c r="DW28" s="112">
        <f t="shared" si="79"/>
        <v>0</v>
      </c>
      <c r="DX28" s="109">
        <f t="shared" si="79"/>
        <v>0</v>
      </c>
      <c r="DY28" s="111">
        <f t="shared" si="79"/>
        <v>0</v>
      </c>
      <c r="DZ28" s="109">
        <f t="shared" si="79"/>
        <v>0</v>
      </c>
      <c r="EA28" s="112">
        <f t="shared" si="79"/>
        <v>0</v>
      </c>
      <c r="EB28" s="109">
        <f t="shared" si="79"/>
        <v>0</v>
      </c>
      <c r="EC28" s="107">
        <f t="shared" si="79"/>
        <v>0</v>
      </c>
      <c r="ED28" s="106">
        <f t="shared" si="79"/>
        <v>0</v>
      </c>
      <c r="EE28" s="106">
        <f t="shared" si="79"/>
        <v>0</v>
      </c>
      <c r="EF28" s="116">
        <f t="shared" si="79"/>
        <v>0</v>
      </c>
      <c r="EG28" s="111">
        <f t="shared" si="79"/>
        <v>0</v>
      </c>
      <c r="EH28" s="106">
        <f t="shared" si="79"/>
        <v>0</v>
      </c>
      <c r="EI28" s="106">
        <f t="shared" si="79"/>
        <v>0</v>
      </c>
      <c r="EJ28" s="116">
        <f t="shared" si="79"/>
        <v>0</v>
      </c>
      <c r="EK28" s="107">
        <f t="shared" si="79"/>
        <v>167793311.36000001</v>
      </c>
      <c r="EL28" s="109">
        <f t="shared" si="79"/>
        <v>0</v>
      </c>
      <c r="EM28" s="112">
        <f t="shared" si="79"/>
        <v>0</v>
      </c>
      <c r="EN28" s="109">
        <f t="shared" si="79"/>
        <v>167793311.36000001</v>
      </c>
      <c r="EO28" s="111">
        <f t="shared" si="79"/>
        <v>164509100</v>
      </c>
      <c r="EP28" s="109">
        <f t="shared" si="79"/>
        <v>0</v>
      </c>
      <c r="EQ28" s="112">
        <f t="shared" si="79"/>
        <v>0</v>
      </c>
      <c r="ER28" s="109">
        <f t="shared" si="79"/>
        <v>164509100</v>
      </c>
      <c r="ES28" s="107">
        <f t="shared" si="79"/>
        <v>2500000</v>
      </c>
      <c r="ET28" s="109">
        <f t="shared" si="79"/>
        <v>0</v>
      </c>
      <c r="EU28" s="112">
        <f t="shared" si="79"/>
        <v>0</v>
      </c>
      <c r="EV28" s="109">
        <f t="shared" si="79"/>
        <v>2500000</v>
      </c>
      <c r="EW28" s="111">
        <f t="shared" si="79"/>
        <v>2500000</v>
      </c>
      <c r="EX28" s="109">
        <f t="shared" si="79"/>
        <v>0</v>
      </c>
      <c r="EY28" s="112">
        <f t="shared" si="79"/>
        <v>0</v>
      </c>
      <c r="EZ28" s="109">
        <f t="shared" si="79"/>
        <v>2500000</v>
      </c>
      <c r="FA28" s="111">
        <f t="shared" si="79"/>
        <v>21850000</v>
      </c>
      <c r="FB28" s="109">
        <f t="shared" si="79"/>
        <v>21850000</v>
      </c>
      <c r="FC28" s="112">
        <f t="shared" si="79"/>
        <v>0</v>
      </c>
      <c r="FD28" s="109">
        <f t="shared" si="79"/>
        <v>0</v>
      </c>
      <c r="FE28" s="115">
        <f t="shared" si="79"/>
        <v>19409351.73</v>
      </c>
      <c r="FF28" s="109">
        <f t="shared" si="79"/>
        <v>19409351.73</v>
      </c>
      <c r="FG28" s="112">
        <f t="shared" si="79"/>
        <v>0</v>
      </c>
      <c r="FH28" s="109">
        <f t="shared" si="79"/>
        <v>0</v>
      </c>
      <c r="FI28" s="107">
        <f t="shared" si="79"/>
        <v>0</v>
      </c>
      <c r="FJ28" s="106">
        <f t="shared" si="79"/>
        <v>0</v>
      </c>
      <c r="FK28" s="113">
        <f t="shared" si="79"/>
        <v>0</v>
      </c>
      <c r="FL28" s="106">
        <f t="shared" si="79"/>
        <v>0</v>
      </c>
      <c r="FM28" s="115">
        <f t="shared" si="79"/>
        <v>0</v>
      </c>
      <c r="FN28" s="117">
        <f t="shared" ref="FN28:IL28" si="80">SUM(FN10:FN27)</f>
        <v>0</v>
      </c>
      <c r="FO28" s="106">
        <f t="shared" si="80"/>
        <v>0</v>
      </c>
      <c r="FP28" s="106">
        <f t="shared" si="80"/>
        <v>0</v>
      </c>
      <c r="FQ28" s="111">
        <f t="shared" si="80"/>
        <v>36716.63999999997</v>
      </c>
      <c r="FR28" s="108">
        <f t="shared" si="80"/>
        <v>18358.319999999985</v>
      </c>
      <c r="FS28" s="109">
        <f t="shared" si="80"/>
        <v>-2391110.16</v>
      </c>
      <c r="FT28" s="109">
        <f t="shared" si="80"/>
        <v>2409468.4799999995</v>
      </c>
      <c r="FU28" s="111">
        <f t="shared" si="80"/>
        <v>0</v>
      </c>
      <c r="FV28" s="109">
        <f t="shared" si="80"/>
        <v>0</v>
      </c>
      <c r="FW28" s="112">
        <f t="shared" si="80"/>
        <v>0</v>
      </c>
      <c r="FX28" s="109">
        <f t="shared" si="80"/>
        <v>0</v>
      </c>
      <c r="FY28" s="107">
        <f t="shared" si="80"/>
        <v>6341171.7000000002</v>
      </c>
      <c r="FZ28" s="109">
        <f t="shared" si="80"/>
        <v>0</v>
      </c>
      <c r="GA28" s="112">
        <f t="shared" si="80"/>
        <v>6341171.7000000002</v>
      </c>
      <c r="GB28" s="109">
        <f t="shared" si="80"/>
        <v>0</v>
      </c>
      <c r="GC28" s="114">
        <f t="shared" si="80"/>
        <v>0</v>
      </c>
      <c r="GD28" s="112">
        <f t="shared" si="80"/>
        <v>0</v>
      </c>
      <c r="GE28" s="109">
        <f t="shared" si="80"/>
        <v>0</v>
      </c>
      <c r="GF28" s="112">
        <f t="shared" si="80"/>
        <v>0</v>
      </c>
      <c r="GG28" s="105">
        <f t="shared" si="80"/>
        <v>4382056.9399999995</v>
      </c>
      <c r="GH28" s="116">
        <f t="shared" si="80"/>
        <v>4382056.9399999995</v>
      </c>
      <c r="GI28" s="113">
        <f t="shared" si="80"/>
        <v>0</v>
      </c>
      <c r="GJ28" s="106">
        <f t="shared" si="80"/>
        <v>0</v>
      </c>
      <c r="GK28" s="105">
        <f t="shared" si="80"/>
        <v>117858.24000000001</v>
      </c>
      <c r="GL28" s="106">
        <f t="shared" si="80"/>
        <v>117858.24000000001</v>
      </c>
      <c r="GM28" s="113">
        <f t="shared" si="80"/>
        <v>0</v>
      </c>
      <c r="GN28" s="106">
        <f t="shared" si="80"/>
        <v>0</v>
      </c>
      <c r="GO28" s="107">
        <f t="shared" si="80"/>
        <v>29785800</v>
      </c>
      <c r="GP28" s="117">
        <f t="shared" si="80"/>
        <v>5900400</v>
      </c>
      <c r="GQ28" s="108">
        <f t="shared" si="80"/>
        <v>23885400</v>
      </c>
      <c r="GR28" s="109">
        <f t="shared" si="80"/>
        <v>0</v>
      </c>
      <c r="GS28" s="115">
        <f t="shared" si="80"/>
        <v>18671574.310000002</v>
      </c>
      <c r="GT28" s="108">
        <f t="shared" si="80"/>
        <v>0</v>
      </c>
      <c r="GU28" s="109">
        <f t="shared" si="80"/>
        <v>18671574.310000002</v>
      </c>
      <c r="GV28" s="112">
        <f t="shared" si="80"/>
        <v>0</v>
      </c>
      <c r="GW28" s="107">
        <f>SUM(GW10:GW27)</f>
        <v>4757600</v>
      </c>
      <c r="GX28" s="108">
        <f t="shared" ref="GX28:GZ28" si="81">SUM(GX10:GX27)</f>
        <v>4757600</v>
      </c>
      <c r="GY28" s="108">
        <f t="shared" si="81"/>
        <v>0</v>
      </c>
      <c r="GZ28" s="109">
        <f t="shared" si="81"/>
        <v>0</v>
      </c>
      <c r="HA28" s="111">
        <f>SUM(HA10:HA27)</f>
        <v>484797.61</v>
      </c>
      <c r="HB28" s="109">
        <f t="shared" ref="HB28" si="82">SUM(HB10:HB27)</f>
        <v>484797.61</v>
      </c>
      <c r="HC28" s="110">
        <f>SUM(HC10:HC27)</f>
        <v>0</v>
      </c>
      <c r="HD28" s="113">
        <f>SUM(HD10:HD27)</f>
        <v>0</v>
      </c>
      <c r="HE28" s="114">
        <f t="shared" ref="HE28:HT28" si="83">SUM(HE10:HE27)</f>
        <v>0</v>
      </c>
      <c r="HF28" s="108">
        <f t="shared" si="83"/>
        <v>0</v>
      </c>
      <c r="HG28" s="109">
        <f t="shared" si="83"/>
        <v>0</v>
      </c>
      <c r="HH28" s="110">
        <f t="shared" si="83"/>
        <v>0</v>
      </c>
      <c r="HI28" s="115">
        <f t="shared" si="83"/>
        <v>0</v>
      </c>
      <c r="HJ28" s="117">
        <f t="shared" si="83"/>
        <v>0</v>
      </c>
      <c r="HK28" s="106">
        <f t="shared" si="83"/>
        <v>0</v>
      </c>
      <c r="HL28" s="113">
        <f t="shared" si="83"/>
        <v>0</v>
      </c>
      <c r="HM28" s="114">
        <f t="shared" si="83"/>
        <v>166970819.07999995</v>
      </c>
      <c r="HN28" s="108">
        <f t="shared" si="83"/>
        <v>2409468.4799999977</v>
      </c>
      <c r="HO28" s="109">
        <f t="shared" si="83"/>
        <v>0</v>
      </c>
      <c r="HP28" s="110">
        <f t="shared" si="83"/>
        <v>164561350.59999999</v>
      </c>
      <c r="HQ28" s="115">
        <f t="shared" si="83"/>
        <v>2461719.0699999994</v>
      </c>
      <c r="HR28" s="117">
        <f t="shared" si="83"/>
        <v>2409468.4699999997</v>
      </c>
      <c r="HS28" s="106">
        <f t="shared" si="83"/>
        <v>0</v>
      </c>
      <c r="HT28" s="109">
        <f t="shared" si="83"/>
        <v>52250.6</v>
      </c>
      <c r="HU28" s="107">
        <f t="shared" si="80"/>
        <v>0</v>
      </c>
      <c r="HV28" s="106">
        <f t="shared" si="80"/>
        <v>0</v>
      </c>
      <c r="HW28" s="113">
        <f t="shared" si="80"/>
        <v>0</v>
      </c>
      <c r="HX28" s="106">
        <f t="shared" si="80"/>
        <v>0</v>
      </c>
      <c r="HY28" s="111">
        <f t="shared" si="80"/>
        <v>0</v>
      </c>
      <c r="HZ28" s="106">
        <f t="shared" si="80"/>
        <v>0</v>
      </c>
      <c r="IA28" s="113">
        <f t="shared" si="80"/>
        <v>0</v>
      </c>
      <c r="IB28" s="106">
        <f t="shared" si="80"/>
        <v>0</v>
      </c>
      <c r="IC28" s="107">
        <f t="shared" si="80"/>
        <v>248560414.10999998</v>
      </c>
      <c r="ID28" s="108">
        <f t="shared" si="80"/>
        <v>0</v>
      </c>
      <c r="IE28" s="109">
        <f t="shared" si="80"/>
        <v>0</v>
      </c>
      <c r="IF28" s="110">
        <f t="shared" si="80"/>
        <v>104000000</v>
      </c>
      <c r="IG28" s="115">
        <f t="shared" si="80"/>
        <v>102323262.37</v>
      </c>
      <c r="IH28" s="108">
        <f t="shared" si="80"/>
        <v>0</v>
      </c>
      <c r="II28" s="109">
        <f t="shared" si="80"/>
        <v>0</v>
      </c>
      <c r="IJ28" s="112">
        <f t="shared" si="80"/>
        <v>102323262.37</v>
      </c>
      <c r="IK28" s="107">
        <f t="shared" si="80"/>
        <v>10309200</v>
      </c>
      <c r="IL28" s="108">
        <f t="shared" si="80"/>
        <v>2889951.19</v>
      </c>
      <c r="IM28" s="109">
        <f t="shared" ref="IM28:KX28" si="84">SUM(IM10:IM27)</f>
        <v>7419248.8100000005</v>
      </c>
      <c r="IN28" s="110">
        <f t="shared" si="84"/>
        <v>0</v>
      </c>
      <c r="IO28" s="115">
        <f t="shared" si="84"/>
        <v>7182782.2999999998</v>
      </c>
      <c r="IP28" s="108">
        <f t="shared" si="84"/>
        <v>1343428.44</v>
      </c>
      <c r="IQ28" s="109">
        <f t="shared" si="84"/>
        <v>5839353.8600000003</v>
      </c>
      <c r="IR28" s="110">
        <f t="shared" si="84"/>
        <v>0</v>
      </c>
      <c r="IS28" s="107">
        <f t="shared" si="84"/>
        <v>0</v>
      </c>
      <c r="IT28" s="109">
        <f t="shared" si="84"/>
        <v>0</v>
      </c>
      <c r="IU28" s="112">
        <f t="shared" si="84"/>
        <v>0</v>
      </c>
      <c r="IV28" s="109">
        <f t="shared" si="84"/>
        <v>0</v>
      </c>
      <c r="IW28" s="111">
        <f t="shared" si="84"/>
        <v>0</v>
      </c>
      <c r="IX28" s="109">
        <f t="shared" si="84"/>
        <v>0</v>
      </c>
      <c r="IY28" s="109">
        <f t="shared" si="84"/>
        <v>0</v>
      </c>
      <c r="IZ28" s="109">
        <f t="shared" si="84"/>
        <v>0</v>
      </c>
      <c r="JA28" s="107">
        <f t="shared" si="84"/>
        <v>0</v>
      </c>
      <c r="JB28" s="109">
        <f t="shared" si="84"/>
        <v>0</v>
      </c>
      <c r="JC28" s="112">
        <f t="shared" si="84"/>
        <v>0</v>
      </c>
      <c r="JD28" s="109">
        <f t="shared" si="84"/>
        <v>0</v>
      </c>
      <c r="JE28" s="111">
        <f t="shared" si="84"/>
        <v>0</v>
      </c>
      <c r="JF28" s="109">
        <f t="shared" si="84"/>
        <v>0</v>
      </c>
      <c r="JG28" s="112">
        <f t="shared" si="84"/>
        <v>0</v>
      </c>
      <c r="JH28" s="108">
        <f t="shared" si="84"/>
        <v>0</v>
      </c>
      <c r="JI28" s="114">
        <f t="shared" si="84"/>
        <v>0</v>
      </c>
      <c r="JJ28" s="109">
        <f t="shared" si="84"/>
        <v>0</v>
      </c>
      <c r="JK28" s="112">
        <f t="shared" si="84"/>
        <v>0</v>
      </c>
      <c r="JL28" s="109">
        <f t="shared" si="84"/>
        <v>0</v>
      </c>
      <c r="JM28" s="111">
        <f t="shared" si="84"/>
        <v>0</v>
      </c>
      <c r="JN28" s="109">
        <f t="shared" si="84"/>
        <v>0</v>
      </c>
      <c r="JO28" s="112">
        <f t="shared" si="84"/>
        <v>0</v>
      </c>
      <c r="JP28" s="109">
        <f t="shared" si="84"/>
        <v>0</v>
      </c>
      <c r="JQ28" s="107">
        <f t="shared" si="84"/>
        <v>75218600</v>
      </c>
      <c r="JR28" s="109">
        <f t="shared" si="84"/>
        <v>75218600</v>
      </c>
      <c r="JS28" s="112">
        <f t="shared" si="84"/>
        <v>0</v>
      </c>
      <c r="JT28" s="109">
        <f t="shared" si="84"/>
        <v>0</v>
      </c>
      <c r="JU28" s="111">
        <f t="shared" si="84"/>
        <v>7259789.8700000001</v>
      </c>
      <c r="JV28" s="109">
        <f t="shared" si="84"/>
        <v>7259789.8700000001</v>
      </c>
      <c r="JW28" s="112">
        <f t="shared" si="84"/>
        <v>0</v>
      </c>
      <c r="JX28" s="109">
        <f t="shared" si="84"/>
        <v>0</v>
      </c>
      <c r="JY28" s="107">
        <f t="shared" si="84"/>
        <v>0</v>
      </c>
      <c r="JZ28" s="109">
        <f t="shared" si="84"/>
        <v>0</v>
      </c>
      <c r="KA28" s="112">
        <f t="shared" si="84"/>
        <v>0</v>
      </c>
      <c r="KB28" s="109">
        <f t="shared" si="84"/>
        <v>0</v>
      </c>
      <c r="KC28" s="111">
        <f t="shared" si="84"/>
        <v>0</v>
      </c>
      <c r="KD28" s="109">
        <f t="shared" si="84"/>
        <v>0</v>
      </c>
      <c r="KE28" s="112">
        <f t="shared" si="84"/>
        <v>0</v>
      </c>
      <c r="KF28" s="109">
        <f t="shared" si="84"/>
        <v>0</v>
      </c>
      <c r="KG28" s="111">
        <f t="shared" si="84"/>
        <v>211966499.99999997</v>
      </c>
      <c r="KH28" s="108">
        <f t="shared" si="84"/>
        <v>117669358.27000001</v>
      </c>
      <c r="KI28" s="109">
        <f t="shared" si="84"/>
        <v>75335450.269999996</v>
      </c>
      <c r="KJ28" s="112">
        <f t="shared" si="84"/>
        <v>18961691.460000001</v>
      </c>
      <c r="KK28" s="1141">
        <f t="shared" si="84"/>
        <v>109364503.24999999</v>
      </c>
      <c r="KL28" s="112">
        <f t="shared" si="84"/>
        <v>73021384.909999996</v>
      </c>
      <c r="KM28" s="109">
        <f t="shared" si="84"/>
        <v>30048550.620000001</v>
      </c>
      <c r="KN28" s="112">
        <f t="shared" si="84"/>
        <v>6294567.7199999997</v>
      </c>
      <c r="KO28" s="107">
        <f t="shared" si="84"/>
        <v>3243333.44</v>
      </c>
      <c r="KP28" s="109">
        <f t="shared" si="84"/>
        <v>0</v>
      </c>
      <c r="KQ28" s="112">
        <f t="shared" si="84"/>
        <v>3243333.44</v>
      </c>
      <c r="KR28" s="109">
        <f t="shared" si="84"/>
        <v>0</v>
      </c>
      <c r="KS28" s="111">
        <f t="shared" si="84"/>
        <v>0</v>
      </c>
      <c r="KT28" s="109">
        <f t="shared" si="84"/>
        <v>0</v>
      </c>
      <c r="KU28" s="112">
        <f t="shared" si="84"/>
        <v>0</v>
      </c>
      <c r="KV28" s="108">
        <f t="shared" si="84"/>
        <v>0</v>
      </c>
      <c r="KW28" s="107">
        <f t="shared" si="84"/>
        <v>1393266434.3200002</v>
      </c>
      <c r="KX28" s="108">
        <f t="shared" si="84"/>
        <v>1393266434.3200002</v>
      </c>
      <c r="KY28" s="109">
        <f t="shared" ref="KY28:LD28" si="85">SUM(KY10:KY27)</f>
        <v>0</v>
      </c>
      <c r="KZ28" s="110">
        <f t="shared" si="85"/>
        <v>0</v>
      </c>
      <c r="LA28" s="115">
        <f t="shared" si="85"/>
        <v>945135526.62999988</v>
      </c>
      <c r="LB28" s="108">
        <f t="shared" si="85"/>
        <v>945135526.62999988</v>
      </c>
      <c r="LC28" s="109">
        <f t="shared" si="85"/>
        <v>0</v>
      </c>
      <c r="LD28" s="109">
        <f t="shared" si="85"/>
        <v>0</v>
      </c>
    </row>
    <row r="29" spans="1:316" ht="25.5" customHeight="1" x14ac:dyDescent="0.25">
      <c r="A29" s="52"/>
      <c r="B29" s="118"/>
      <c r="C29" s="119"/>
      <c r="D29" s="119"/>
      <c r="E29" s="119"/>
      <c r="F29" s="118"/>
      <c r="G29" s="119"/>
      <c r="H29" s="119"/>
      <c r="I29" s="119"/>
      <c r="J29" s="52"/>
      <c r="K29" s="53">
        <f>M29-'Федеральные  средства  по  МО'!N30-'Федеральные  средства  по  МО'!D30</f>
        <v>0</v>
      </c>
      <c r="L29" s="53">
        <f>Q29-'Федеральные  средства  по  МО'!O30-'Федеральные  средства  по  МО'!E30</f>
        <v>0</v>
      </c>
      <c r="M29" s="118"/>
      <c r="N29" s="119"/>
      <c r="O29" s="119"/>
      <c r="P29" s="119"/>
      <c r="Q29" s="118"/>
      <c r="R29" s="119"/>
      <c r="S29" s="119"/>
      <c r="T29" s="119"/>
      <c r="U29" s="120"/>
      <c r="V29" s="121"/>
      <c r="W29" s="122"/>
      <c r="X29" s="123"/>
      <c r="Y29" s="124"/>
      <c r="Z29" s="121"/>
      <c r="AA29" s="122"/>
      <c r="AB29" s="125"/>
      <c r="AC29" s="1165"/>
      <c r="AD29" s="122"/>
      <c r="AE29" s="123"/>
      <c r="AF29" s="122"/>
      <c r="AG29" s="1169"/>
      <c r="AH29" s="122"/>
      <c r="AI29" s="123"/>
      <c r="AJ29" s="122"/>
      <c r="AK29" s="120"/>
      <c r="AL29" s="122"/>
      <c r="AM29" s="123"/>
      <c r="AN29" s="122"/>
      <c r="AO29" s="126"/>
      <c r="AP29" s="122"/>
      <c r="AQ29" s="123"/>
      <c r="AR29" s="122"/>
      <c r="AS29" s="126"/>
      <c r="AT29" s="121"/>
      <c r="AU29" s="122"/>
      <c r="AV29" s="123"/>
      <c r="AW29" s="124"/>
      <c r="AX29" s="121"/>
      <c r="AY29" s="122"/>
      <c r="AZ29" s="123"/>
      <c r="BA29" s="120"/>
      <c r="BB29" s="121"/>
      <c r="BC29" s="122"/>
      <c r="BD29" s="123"/>
      <c r="BE29" s="124"/>
      <c r="BF29" s="121"/>
      <c r="BG29" s="122"/>
      <c r="BH29" s="125"/>
      <c r="BI29" s="120"/>
      <c r="BJ29" s="122"/>
      <c r="BK29" s="123"/>
      <c r="BL29" s="122"/>
      <c r="BM29" s="127"/>
      <c r="BN29" s="122"/>
      <c r="BO29" s="122"/>
      <c r="BP29" s="125"/>
      <c r="BQ29" s="124"/>
      <c r="BR29" s="128"/>
      <c r="BS29" s="122"/>
      <c r="BT29" s="123"/>
      <c r="BU29" s="129"/>
      <c r="BV29" s="128"/>
      <c r="BW29" s="122"/>
      <c r="BX29" s="123"/>
      <c r="BY29" s="130"/>
      <c r="BZ29" s="128"/>
      <c r="CA29" s="128"/>
      <c r="CB29" s="131"/>
      <c r="CC29" s="132"/>
      <c r="CD29" s="128"/>
      <c r="CE29" s="122"/>
      <c r="CF29" s="123"/>
      <c r="CG29" s="130"/>
      <c r="CH29" s="133"/>
      <c r="CI29" s="128"/>
      <c r="CJ29" s="131"/>
      <c r="CK29" s="132"/>
      <c r="CL29" s="121"/>
      <c r="CM29" s="122"/>
      <c r="CN29" s="123"/>
      <c r="CO29" s="130"/>
      <c r="CP29" s="128"/>
      <c r="CQ29" s="131"/>
      <c r="CR29" s="128"/>
      <c r="CS29" s="134"/>
      <c r="CT29" s="122"/>
      <c r="CU29" s="123"/>
      <c r="CV29" s="122"/>
      <c r="CW29" s="130"/>
      <c r="CX29" s="133"/>
      <c r="CY29" s="128"/>
      <c r="CZ29" s="131"/>
      <c r="DA29" s="132"/>
      <c r="DB29" s="121"/>
      <c r="DC29" s="122"/>
      <c r="DD29" s="123"/>
      <c r="DE29" s="130"/>
      <c r="DF29" s="128"/>
      <c r="DG29" s="131"/>
      <c r="DH29" s="128"/>
      <c r="DI29" s="134"/>
      <c r="DJ29" s="122"/>
      <c r="DK29" s="123"/>
      <c r="DL29" s="122"/>
      <c r="DM29" s="130"/>
      <c r="DN29" s="128"/>
      <c r="DO29" s="131"/>
      <c r="DP29" s="128"/>
      <c r="DQ29" s="134"/>
      <c r="DR29" s="122"/>
      <c r="DS29" s="123"/>
      <c r="DT29" s="122"/>
      <c r="DU29" s="130"/>
      <c r="DV29" s="128"/>
      <c r="DW29" s="131"/>
      <c r="DX29" s="128"/>
      <c r="DY29" s="134"/>
      <c r="DZ29" s="122"/>
      <c r="EA29" s="123"/>
      <c r="EB29" s="122"/>
      <c r="EC29" s="130"/>
      <c r="ED29" s="128"/>
      <c r="EE29" s="131"/>
      <c r="EF29" s="128"/>
      <c r="EG29" s="134"/>
      <c r="EH29" s="122"/>
      <c r="EI29" s="123"/>
      <c r="EJ29" s="122"/>
      <c r="EK29" s="130"/>
      <c r="EL29" s="128"/>
      <c r="EM29" s="131"/>
      <c r="EN29" s="128"/>
      <c r="EO29" s="134"/>
      <c r="EP29" s="122"/>
      <c r="EQ29" s="123"/>
      <c r="ER29" s="122"/>
      <c r="ES29" s="120"/>
      <c r="ET29" s="122"/>
      <c r="EU29" s="125"/>
      <c r="EV29" s="123"/>
      <c r="EW29" s="135"/>
      <c r="EX29" s="121"/>
      <c r="EY29" s="122"/>
      <c r="EZ29" s="122"/>
      <c r="FA29" s="127"/>
      <c r="FB29" s="122"/>
      <c r="FC29" s="125"/>
      <c r="FD29" s="123"/>
      <c r="FE29" s="135"/>
      <c r="FF29" s="122"/>
      <c r="FG29" s="125"/>
      <c r="FH29" s="123"/>
      <c r="FI29" s="124"/>
      <c r="FJ29" s="121"/>
      <c r="FK29" s="122"/>
      <c r="FL29" s="123"/>
      <c r="FM29" s="135"/>
      <c r="FN29" s="121"/>
      <c r="FO29" s="122"/>
      <c r="FP29" s="122"/>
      <c r="FQ29" s="136"/>
      <c r="FR29" s="133"/>
      <c r="FS29" s="128"/>
      <c r="FT29" s="131"/>
      <c r="FU29" s="132"/>
      <c r="FV29" s="121"/>
      <c r="FW29" s="122"/>
      <c r="FX29" s="123"/>
      <c r="FY29" s="130"/>
      <c r="FZ29" s="133"/>
      <c r="GA29" s="128"/>
      <c r="GB29" s="131"/>
      <c r="GC29" s="132"/>
      <c r="GD29" s="121"/>
      <c r="GE29" s="122"/>
      <c r="GF29" s="123"/>
      <c r="GG29" s="137"/>
      <c r="GH29" s="138"/>
      <c r="GI29" s="131"/>
      <c r="GJ29" s="128"/>
      <c r="GK29" s="132"/>
      <c r="GL29" s="122"/>
      <c r="GM29" s="123"/>
      <c r="GN29" s="122"/>
      <c r="GO29" s="130"/>
      <c r="GP29" s="133"/>
      <c r="GQ29" s="128"/>
      <c r="GR29" s="131"/>
      <c r="GS29" s="132"/>
      <c r="GT29" s="121"/>
      <c r="GU29" s="122"/>
      <c r="GV29" s="123"/>
      <c r="GW29" s="130"/>
      <c r="GX29" s="133"/>
      <c r="GY29" s="128"/>
      <c r="GZ29" s="131"/>
      <c r="HA29" s="132"/>
      <c r="HB29" s="128"/>
      <c r="HC29" s="125"/>
      <c r="HD29" s="123"/>
      <c r="HE29" s="137"/>
      <c r="HF29" s="133"/>
      <c r="HG29" s="128"/>
      <c r="HH29" s="131"/>
      <c r="HI29" s="132"/>
      <c r="HJ29" s="121"/>
      <c r="HK29" s="122"/>
      <c r="HL29" s="123"/>
      <c r="HM29" s="137"/>
      <c r="HN29" s="133"/>
      <c r="HO29" s="128"/>
      <c r="HP29" s="131"/>
      <c r="HQ29" s="132"/>
      <c r="HR29" s="133"/>
      <c r="HS29" s="122"/>
      <c r="HT29" s="122"/>
      <c r="HU29" s="130"/>
      <c r="HV29" s="133"/>
      <c r="HW29" s="128"/>
      <c r="HX29" s="131"/>
      <c r="HY29" s="139"/>
      <c r="HZ29" s="128"/>
      <c r="IA29" s="131"/>
      <c r="IB29" s="128"/>
      <c r="IC29" s="130"/>
      <c r="ID29" s="133"/>
      <c r="IE29" s="128"/>
      <c r="IF29" s="131"/>
      <c r="IG29" s="132"/>
      <c r="IH29" s="121"/>
      <c r="II29" s="122"/>
      <c r="IJ29" s="123"/>
      <c r="IK29" s="137"/>
      <c r="IL29" s="133"/>
      <c r="IM29" s="128"/>
      <c r="IN29" s="131"/>
      <c r="IO29" s="132"/>
      <c r="IP29" s="121"/>
      <c r="IQ29" s="122"/>
      <c r="IR29" s="123"/>
      <c r="IS29" s="130"/>
      <c r="IT29" s="128"/>
      <c r="IU29" s="131"/>
      <c r="IV29" s="128"/>
      <c r="IW29" s="134"/>
      <c r="IX29" s="122"/>
      <c r="IY29" s="122"/>
      <c r="IZ29" s="122"/>
      <c r="JA29" s="130"/>
      <c r="JB29" s="128"/>
      <c r="JC29" s="131"/>
      <c r="JD29" s="128"/>
      <c r="JE29" s="134"/>
      <c r="JF29" s="122"/>
      <c r="JG29" s="123"/>
      <c r="JH29" s="122"/>
      <c r="JI29" s="130"/>
      <c r="JJ29" s="128"/>
      <c r="JK29" s="131"/>
      <c r="JL29" s="128"/>
      <c r="JM29" s="134"/>
      <c r="JN29" s="122"/>
      <c r="JO29" s="123"/>
      <c r="JP29" s="122"/>
      <c r="JQ29" s="130"/>
      <c r="JR29" s="128"/>
      <c r="JS29" s="131"/>
      <c r="JT29" s="128"/>
      <c r="JU29" s="134"/>
      <c r="JV29" s="122"/>
      <c r="JW29" s="123"/>
      <c r="JX29" s="122"/>
      <c r="JY29" s="137"/>
      <c r="JZ29" s="133"/>
      <c r="KA29" s="133"/>
      <c r="KB29" s="128"/>
      <c r="KC29" s="134"/>
      <c r="KD29" s="122"/>
      <c r="KE29" s="123"/>
      <c r="KF29" s="122"/>
      <c r="KG29" s="120"/>
      <c r="KH29" s="122"/>
      <c r="KI29" s="123"/>
      <c r="KJ29" s="122"/>
      <c r="KK29" s="140"/>
      <c r="KL29" s="121"/>
      <c r="KM29" s="122"/>
      <c r="KN29" s="123"/>
      <c r="KO29" s="120"/>
      <c r="KP29" s="122"/>
      <c r="KQ29" s="123"/>
      <c r="KR29" s="122"/>
      <c r="KS29" s="141"/>
      <c r="KT29" s="122"/>
      <c r="KU29" s="123"/>
      <c r="KV29" s="122"/>
      <c r="KW29" s="120"/>
      <c r="KX29" s="121"/>
      <c r="KY29" s="122"/>
      <c r="KZ29" s="123"/>
      <c r="LA29" s="135"/>
      <c r="LB29" s="121"/>
      <c r="LC29" s="122"/>
      <c r="LD29" s="122"/>
    </row>
    <row r="30" spans="1:316" ht="25.5" customHeight="1" x14ac:dyDescent="0.25">
      <c r="A30" s="68" t="s">
        <v>336</v>
      </c>
      <c r="B30" s="71">
        <f t="shared" ref="B30:B31" si="86">SUM(C30:E30)</f>
        <v>133407787.50999999</v>
      </c>
      <c r="C30" s="72">
        <f t="shared" ref="C30:C31" si="87">N30-V30-AL30-AD30</f>
        <v>132581554.38</v>
      </c>
      <c r="D30" s="72">
        <f t="shared" ref="D30:D31" si="88">O30-W30-AM30-AE30</f>
        <v>826233.13</v>
      </c>
      <c r="E30" s="72">
        <f t="shared" ref="E30:E31" si="89">P30-X30-AN30-AF30</f>
        <v>0</v>
      </c>
      <c r="F30" s="71">
        <f t="shared" ref="F30:F31" si="90">SUM(G30:I30)</f>
        <v>126600146.53999999</v>
      </c>
      <c r="G30" s="72">
        <f t="shared" ref="G30:G31" si="91">R30-Z30-AP30-AH30</f>
        <v>126600146.53999999</v>
      </c>
      <c r="H30" s="72">
        <f t="shared" ref="H30:H31" si="92">S30-AA30-AQ30-AI30</f>
        <v>0</v>
      </c>
      <c r="I30" s="72">
        <f t="shared" ref="I30:I31" si="93">T30-AB30-AR30-AJ30</f>
        <v>0</v>
      </c>
      <c r="J30" s="52"/>
      <c r="K30" s="53">
        <f>M30-'Федеральные  средства  по  МО'!N31-'Федеральные  средства  по  МО'!D31</f>
        <v>0</v>
      </c>
      <c r="L30" s="53">
        <f>Q30-'Федеральные  средства  по  МО'!O31-'Федеральные  средства  по  МО'!E31</f>
        <v>0</v>
      </c>
      <c r="M30" s="1139">
        <f t="shared" ref="M30:M31" si="94">U30+AS30+BQ30+BY30+CG30+CW30+GW30+FI30+FQ30+HM30+GO30+HU30+IC30+IK30+KG30+KW30+HE30+CO30+KO30+BA30+JY30+DU30+JI30+JA30+FY30+BI30+JQ30+IS30+DE30+DM30+GG30+EK30+EC30+AK30+ES30+FA30+AC30</f>
        <v>171166787.50999999</v>
      </c>
      <c r="N30" s="72">
        <f t="shared" ref="N30:N31" si="95">V30+AT30+BR30+BZ30+CH30+CX30+GX30+FJ30+FR30+HN30+GP30+HV30+ID30+IL30+KH30+KX30+HF30+CP30+KP30+BB30+JZ30+DV30+JJ30+JB30+FZ30+BJ30+JR30+IT30+DF30+DN30+GH30+EL30+ED30+AL30+ET30+FB30+AD30</f>
        <v>170340554.38</v>
      </c>
      <c r="O30" s="72">
        <f t="shared" ref="O30:O31" si="96">W30+AU30+BS30+CA30+CI30+CY30+GY30+FK30+FS30+HO30+GQ30+HW30+IE30+IM30+KI30+KY30+HG30+CQ30+KQ30+BC30+KA30+DW30+JK30+JC30+GA30+BK30+JS30+IU30+DG30+DO30+GI30+EM30+EE30+AM30+EU30+FC30+AE30</f>
        <v>826233.13</v>
      </c>
      <c r="P30" s="72">
        <f t="shared" ref="P30:P31" si="97">X30+AV30+BT30+CB30+CJ30+CZ30+GZ30+FL30+FT30+HP30+GR30+HX30+IF30+IN30+KJ30+KZ30+HH30+CR30+KR30+BD30+KB30+DX30+JL30+JD30+GB30+BL30+JT30+IV30+DH30+DP30+GJ30+EN30+EF30+AN30+EV30+FD30+AF30</f>
        <v>0</v>
      </c>
      <c r="Q30" s="1139">
        <f t="shared" ref="Q30:Q31" si="98">Y30+AW30+BU30+CC30+CK30+DA30+HA30+FM30+FU30+HQ30+GS30+HY30+IG30+IO30+KK30+LA30+HI30+CS30+KS30+BE30+KC30+DY30+JM30+JE30+GC30+BM30+JU30+IW30+DI30+DQ30+GK30+EO30+EG30+AO30+EW30+FE30+AG30</f>
        <v>126600146.53999999</v>
      </c>
      <c r="R30" s="72">
        <f t="shared" ref="R30:R31" si="99">Z30+AX30+BV30+CD30+CL30+DB30+HB30+FN30+FV30+HR30+GT30+HZ30+IH30+IP30+KL30+LB30+HJ30+CT30+KT30+BF30+KD30+DZ30+JN30+JF30+GD30+BN30+JV30+IX30+DJ30+DR30+GL30+EP30+EH30+AP30+EX30+FF30+AH30</f>
        <v>126600146.53999999</v>
      </c>
      <c r="S30" s="72">
        <f t="shared" ref="S30:S31" si="100">AA30+AY30+BW30+CE30+CM30+DC30+HC30+FO30+FW30+HS30+GU30+IA30+II30+IQ30+KM30+LC30+HK30+CU30+KU30+BG30+KE30+EA30+JO30+JG30+GE30+BO30+JW30+IY30+DK30+DS30+GM30+EQ30+EI30+AQ30+EY30+FG30+AI30</f>
        <v>0</v>
      </c>
      <c r="T30" s="72">
        <f t="shared" ref="T30:T31" si="101">AB30+AZ30+BX30+CF30+CN30+DD30+HD30+FP30+FX30+HT30+GV30+IB30+IJ30+IR30+KN30+LD30+HL30+CV30+KV30+BH30+KF30+EB30+JP30+JH30+GF30+BP30+JX30+IZ30+DL30+DT30+GN30+ER30+EJ30+AR30+EZ30+FH30+AJ30</f>
        <v>0</v>
      </c>
      <c r="U30" s="71">
        <f>'Федеральные  средства  по  МО'!F31</f>
        <v>0</v>
      </c>
      <c r="V30" s="74">
        <f>U30</f>
        <v>0</v>
      </c>
      <c r="W30" s="72"/>
      <c r="X30" s="73"/>
      <c r="Y30" s="71">
        <f>'Федеральные  средства  по  МО'!G31</f>
        <v>0</v>
      </c>
      <c r="Z30" s="74">
        <f>Y30</f>
        <v>0</v>
      </c>
      <c r="AA30" s="72"/>
      <c r="AB30" s="73"/>
      <c r="AC30" s="1139">
        <f>'Федеральные  средства  по  МО'!H31</f>
        <v>37759000</v>
      </c>
      <c r="AD30" s="72">
        <f t="shared" ref="AD30:AD31" si="102">AC30</f>
        <v>37759000</v>
      </c>
      <c r="AE30" s="67"/>
      <c r="AF30" s="72"/>
      <c r="AG30" s="1139">
        <f>'Федеральные  средства  по  МО'!I31</f>
        <v>0</v>
      </c>
      <c r="AH30" s="72">
        <f t="shared" ref="AH30:AH31" si="103">AG30</f>
        <v>0</v>
      </c>
      <c r="AI30" s="67"/>
      <c r="AJ30" s="72"/>
      <c r="AK30" s="71">
        <f>'Федеральные  средства  по  МО'!J31</f>
        <v>0</v>
      </c>
      <c r="AL30" s="72">
        <f t="shared" ref="AL30:AL31" si="104">AK30</f>
        <v>0</v>
      </c>
      <c r="AM30" s="67"/>
      <c r="AN30" s="72"/>
      <c r="AO30" s="71">
        <f>'Федеральные  средства  по  МО'!K31</f>
        <v>0</v>
      </c>
      <c r="AP30" s="72">
        <f t="shared" ref="AP30:AP31" si="105">AO30</f>
        <v>0</v>
      </c>
      <c r="AQ30" s="67"/>
      <c r="AR30" s="72"/>
      <c r="AS30" s="77">
        <f>'Федеральные  средства  по  МО'!P31</f>
        <v>0</v>
      </c>
      <c r="AT30" s="72">
        <f>AS30</f>
        <v>0</v>
      </c>
      <c r="AU30" s="67"/>
      <c r="AV30" s="74"/>
      <c r="AW30" s="71">
        <f>'Федеральные  средства  по  МО'!Q31</f>
        <v>0</v>
      </c>
      <c r="AX30" s="72">
        <f>AW30</f>
        <v>0</v>
      </c>
      <c r="AY30" s="72"/>
      <c r="AZ30" s="67"/>
      <c r="BA30" s="76">
        <f>'Федеральные  средства  по  МО'!R31</f>
        <v>0</v>
      </c>
      <c r="BB30" s="72">
        <f t="shared" ref="BB30:BB31" si="106">BA30</f>
        <v>0</v>
      </c>
      <c r="BC30" s="72"/>
      <c r="BD30" s="67"/>
      <c r="BE30" s="71">
        <f>'Федеральные  средства  по  МО'!S31</f>
        <v>0</v>
      </c>
      <c r="BF30" s="73">
        <f t="shared" ref="BF30:BF31" si="107">BE30</f>
        <v>0</v>
      </c>
      <c r="BG30" s="72"/>
      <c r="BH30" s="73"/>
      <c r="BI30" s="76">
        <f>'Федеральные  средства  по  МО'!T31</f>
        <v>0</v>
      </c>
      <c r="BJ30" s="72">
        <f t="shared" ref="BJ30:BJ31" si="108">BI30</f>
        <v>0</v>
      </c>
      <c r="BK30" s="67"/>
      <c r="BL30" s="72"/>
      <c r="BM30" s="77">
        <f>'Федеральные  средства  по  МО'!U31</f>
        <v>0</v>
      </c>
      <c r="BN30" s="72">
        <f t="shared" ref="BN30:BN31" si="109">BM30</f>
        <v>0</v>
      </c>
      <c r="BO30" s="72"/>
      <c r="BP30" s="73"/>
      <c r="BQ30" s="71">
        <f>'Федеральные  средства  по  МО'!V31</f>
        <v>0</v>
      </c>
      <c r="BR30" s="73">
        <f t="shared" ref="BR30:BR31" si="110">BQ30</f>
        <v>0</v>
      </c>
      <c r="BS30" s="72"/>
      <c r="BT30" s="67"/>
      <c r="BU30" s="71">
        <f>'Федеральные  средства  по  МО'!W31</f>
        <v>0</v>
      </c>
      <c r="BV30" s="72">
        <f>BU30</f>
        <v>0</v>
      </c>
      <c r="BW30" s="72"/>
      <c r="BX30" s="73"/>
      <c r="BY30" s="71">
        <f>'Федеральные  средства  по  МО'!X31</f>
        <v>0</v>
      </c>
      <c r="BZ30" s="73">
        <f t="shared" ref="BZ30:BZ31" si="111">BY30</f>
        <v>0</v>
      </c>
      <c r="CA30" s="72"/>
      <c r="CB30" s="67"/>
      <c r="CC30" s="71">
        <f>'Федеральные  средства  по  МО'!Y31</f>
        <v>0</v>
      </c>
      <c r="CD30" s="72">
        <f>CC30</f>
        <v>0</v>
      </c>
      <c r="CE30" s="72"/>
      <c r="CF30" s="73"/>
      <c r="CG30" s="71">
        <f>'Федеральные  средства  по  МО'!Z31</f>
        <v>0</v>
      </c>
      <c r="CH30" s="73">
        <f t="shared" ref="CH30:CH31" si="112">CG30</f>
        <v>0</v>
      </c>
      <c r="CI30" s="67"/>
      <c r="CJ30" s="74"/>
      <c r="CK30" s="71">
        <f>'Федеральные  средства  по  МО'!AA31</f>
        <v>0</v>
      </c>
      <c r="CL30" s="72">
        <f>CK30</f>
        <v>0</v>
      </c>
      <c r="CM30" s="72"/>
      <c r="CN30" s="73"/>
      <c r="CO30" s="76">
        <f>'Федеральные  средства  по  МО'!AB31</f>
        <v>0</v>
      </c>
      <c r="CP30" s="72">
        <f t="shared" ref="CP30:CP31" si="113">CO30</f>
        <v>0</v>
      </c>
      <c r="CQ30" s="67"/>
      <c r="CR30" s="72"/>
      <c r="CS30" s="75">
        <f>'Федеральные  средства  по  МО'!AC31</f>
        <v>0</v>
      </c>
      <c r="CT30" s="72">
        <f t="shared" ref="CT30:CT31" si="114">CS30</f>
        <v>0</v>
      </c>
      <c r="CU30" s="67"/>
      <c r="CV30" s="72"/>
      <c r="CW30" s="76">
        <f>'Федеральные  средства  по  МО'!AD31</f>
        <v>0</v>
      </c>
      <c r="CX30" s="72">
        <f>CW30</f>
        <v>0</v>
      </c>
      <c r="CY30" s="72"/>
      <c r="CZ30" s="67"/>
      <c r="DA30" s="71">
        <f>'Федеральные  средства  по  МО'!AE31</f>
        <v>0</v>
      </c>
      <c r="DB30" s="72">
        <f>DA30</f>
        <v>0</v>
      </c>
      <c r="DC30" s="72"/>
      <c r="DD30" s="73"/>
      <c r="DE30" s="71">
        <f>'Федеральные  средства  по  МО'!AF31</f>
        <v>0</v>
      </c>
      <c r="DF30" s="72">
        <f t="shared" ref="DF30:DF31" si="115">DE30</f>
        <v>0</v>
      </c>
      <c r="DG30" s="67"/>
      <c r="DH30" s="72"/>
      <c r="DI30" s="71">
        <f>'Федеральные  средства  по  МО'!AG31</f>
        <v>0</v>
      </c>
      <c r="DJ30" s="72">
        <f t="shared" ref="DJ30:DJ31" si="116">DI30</f>
        <v>0</v>
      </c>
      <c r="DK30" s="67"/>
      <c r="DL30" s="72"/>
      <c r="DM30" s="71">
        <f>'Федеральные  средства  по  МО'!AH31</f>
        <v>0</v>
      </c>
      <c r="DN30" s="72">
        <f t="shared" ref="DN30:DN31" si="117">DM30</f>
        <v>0</v>
      </c>
      <c r="DO30" s="67"/>
      <c r="DP30" s="72"/>
      <c r="DQ30" s="71">
        <f>'Федеральные  средства  по  МО'!AI31</f>
        <v>0</v>
      </c>
      <c r="DR30" s="72">
        <f t="shared" ref="DR30:DR31" si="118">DQ30</f>
        <v>0</v>
      </c>
      <c r="DS30" s="67"/>
      <c r="DT30" s="72"/>
      <c r="DU30" s="76">
        <f>'Федеральные  средства  по  МО'!AJ31</f>
        <v>0</v>
      </c>
      <c r="DV30" s="72">
        <f t="shared" ref="DV30:DV31" si="119">DU30</f>
        <v>0</v>
      </c>
      <c r="DW30" s="67"/>
      <c r="DX30" s="72"/>
      <c r="DY30" s="75">
        <f>'Федеральные  средства  по  МО'!AK31</f>
        <v>0</v>
      </c>
      <c r="DZ30" s="72">
        <f t="shared" ref="DZ30:DZ31" si="120">DY30</f>
        <v>0</v>
      </c>
      <c r="EA30" s="67"/>
      <c r="EB30" s="72"/>
      <c r="EC30" s="71">
        <f>'Федеральные  средства  по  МО'!AL31</f>
        <v>0</v>
      </c>
      <c r="ED30" s="67">
        <f t="shared" ref="ED30:ED31" si="121">EC30</f>
        <v>0</v>
      </c>
      <c r="EE30" s="72"/>
      <c r="EF30" s="67"/>
      <c r="EG30" s="71">
        <f>'Федеральные  средства  по  МО'!AM31</f>
        <v>0</v>
      </c>
      <c r="EH30" s="67">
        <f t="shared" ref="EH30:EH31" si="122">EG30</f>
        <v>0</v>
      </c>
      <c r="EI30" s="72"/>
      <c r="EJ30" s="67"/>
      <c r="EK30" s="76">
        <f>'Федеральные  средства  по  МО'!AV31</f>
        <v>0</v>
      </c>
      <c r="EL30" s="72">
        <f t="shared" ref="EL30:EL31" si="123">EK30</f>
        <v>0</v>
      </c>
      <c r="EM30" s="67"/>
      <c r="EN30" s="72"/>
      <c r="EO30" s="75">
        <f>'Федеральные  средства  по  МО'!AW31</f>
        <v>0</v>
      </c>
      <c r="EP30" s="72">
        <f t="shared" ref="EP30:EP31" si="124">EO30</f>
        <v>0</v>
      </c>
      <c r="EQ30" s="67"/>
      <c r="ER30" s="72"/>
      <c r="ES30" s="76">
        <f>'Федеральные  средства  по  МО'!AP31</f>
        <v>0</v>
      </c>
      <c r="ET30" s="72">
        <f>ES30</f>
        <v>0</v>
      </c>
      <c r="EU30" s="67"/>
      <c r="EV30" s="72"/>
      <c r="EW30" s="142">
        <f>'Федеральные  средства  по  МО'!AQ31</f>
        <v>0</v>
      </c>
      <c r="EX30" s="72">
        <f>EW30</f>
        <v>0</v>
      </c>
      <c r="EY30" s="72"/>
      <c r="EZ30" s="72"/>
      <c r="FA30" s="71">
        <f>'Федеральные  средства  по  МО'!AR31</f>
        <v>0</v>
      </c>
      <c r="FB30" s="72">
        <f>FA30</f>
        <v>0</v>
      </c>
      <c r="FC30" s="67"/>
      <c r="FD30" s="72"/>
      <c r="FE30" s="71">
        <f>'Федеральные  средства  по  МО'!AS31</f>
        <v>0</v>
      </c>
      <c r="FF30" s="72">
        <f>FE30</f>
        <v>0</v>
      </c>
      <c r="FG30" s="67"/>
      <c r="FH30" s="72"/>
      <c r="FI30" s="71">
        <f>'Федеральные  средства  по  МО'!AT31</f>
        <v>2488300</v>
      </c>
      <c r="FJ30" s="72">
        <f>FI30</f>
        <v>2488300</v>
      </c>
      <c r="FK30" s="67"/>
      <c r="FL30" s="72"/>
      <c r="FM30" s="71">
        <f>'Федеральные  средства  по  МО'!AU31</f>
        <v>2488300</v>
      </c>
      <c r="FN30" s="72">
        <f>FM30</f>
        <v>2488300</v>
      </c>
      <c r="FO30" s="72"/>
      <c r="FP30" s="72"/>
      <c r="FQ30" s="71">
        <f>'Федеральные  средства  по  МО'!AV31</f>
        <v>0</v>
      </c>
      <c r="FR30" s="72">
        <f>FQ30</f>
        <v>0</v>
      </c>
      <c r="FS30" s="72"/>
      <c r="FT30" s="73"/>
      <c r="FU30" s="71">
        <f>'Федеральные  средства  по  МО'!AW31</f>
        <v>0</v>
      </c>
      <c r="FV30" s="72">
        <f>FU30</f>
        <v>0</v>
      </c>
      <c r="FW30" s="72"/>
      <c r="FX30" s="67"/>
      <c r="FY30" s="76">
        <f>'Федеральные  средства  по  МО'!AX31</f>
        <v>826233.13</v>
      </c>
      <c r="FZ30" s="72"/>
      <c r="GA30" s="67">
        <f t="shared" ref="GA30:GA31" si="125">FY30</f>
        <v>826233.13</v>
      </c>
      <c r="GB30" s="72"/>
      <c r="GC30" s="71">
        <f>'Федеральные  средства  по  МО'!AY31</f>
        <v>0</v>
      </c>
      <c r="GD30" s="67"/>
      <c r="GE30" s="72">
        <f t="shared" ref="GE30:GE31" si="126">GC30</f>
        <v>0</v>
      </c>
      <c r="GF30" s="67"/>
      <c r="GG30" s="71">
        <f>'Федеральные  средства  по  МО'!AZ31</f>
        <v>35144.9</v>
      </c>
      <c r="GH30" s="73">
        <f t="shared" ref="GH30:GH31" si="127">GG30</f>
        <v>35144.9</v>
      </c>
      <c r="GI30" s="67"/>
      <c r="GJ30" s="74"/>
      <c r="GK30" s="71">
        <f>'Федеральные  средства  по  МО'!BA31</f>
        <v>0</v>
      </c>
      <c r="GL30" s="73">
        <f t="shared" ref="GL30:GL31" si="128">GK30</f>
        <v>0</v>
      </c>
      <c r="GM30" s="67"/>
      <c r="GN30" s="72"/>
      <c r="GO30" s="71">
        <f>'Федеральные  средства  по  МО'!BB31</f>
        <v>0</v>
      </c>
      <c r="GP30" s="72">
        <f>GO30</f>
        <v>0</v>
      </c>
      <c r="GQ30" s="72"/>
      <c r="GR30" s="73"/>
      <c r="GS30" s="71">
        <f>'Федеральные  средства  по  МО'!BC31</f>
        <v>0</v>
      </c>
      <c r="GT30" s="72">
        <f>GS30</f>
        <v>0</v>
      </c>
      <c r="GU30" s="72"/>
      <c r="GV30" s="73"/>
      <c r="GW30" s="71">
        <f>'Федеральные  средства  по  МО'!BD31</f>
        <v>0</v>
      </c>
      <c r="GX30" s="72">
        <f t="shared" ref="GX30:GX31" si="129">GW30</f>
        <v>0</v>
      </c>
      <c r="GY30" s="74"/>
      <c r="GZ30" s="74"/>
      <c r="HA30" s="71">
        <f>'Федеральные  средства  по  МО'!BE31</f>
        <v>0</v>
      </c>
      <c r="HB30" s="72">
        <f t="shared" ref="HB30:HB31" si="130">HA30</f>
        <v>0</v>
      </c>
      <c r="HC30" s="73"/>
      <c r="HD30" s="67"/>
      <c r="HE30" s="71">
        <f>'Федеральные  средства  по  МО'!BF31</f>
        <v>0</v>
      </c>
      <c r="HF30" s="72">
        <f>HE30</f>
        <v>0</v>
      </c>
      <c r="HG30" s="72"/>
      <c r="HH30" s="73"/>
      <c r="HI30" s="71">
        <f>'Федеральные  средства  по  МО'!BG31</f>
        <v>0</v>
      </c>
      <c r="HJ30" s="72">
        <f>HI30</f>
        <v>0</v>
      </c>
      <c r="HK30" s="72"/>
      <c r="HL30" s="73"/>
      <c r="HM30" s="71">
        <f>'Федеральные  средства  по  МО'!BH31</f>
        <v>329409.48</v>
      </c>
      <c r="HN30" s="72">
        <f>HM30</f>
        <v>329409.48</v>
      </c>
      <c r="HO30" s="72"/>
      <c r="HP30" s="73"/>
      <c r="HQ30" s="71">
        <f>'Федеральные  средства  по  МО'!BI31</f>
        <v>329409.48</v>
      </c>
      <c r="HR30" s="72">
        <f>HQ30</f>
        <v>329409.48</v>
      </c>
      <c r="HS30" s="72"/>
      <c r="HT30" s="72"/>
      <c r="HU30" s="71">
        <f>'Федеральные  средства  по  МО'!BJ31</f>
        <v>0</v>
      </c>
      <c r="HV30" s="72">
        <f>HU30</f>
        <v>0</v>
      </c>
      <c r="HW30" s="72"/>
      <c r="HX30" s="73"/>
      <c r="HY30" s="71">
        <f>'Федеральные  средства  по  МО'!BK31</f>
        <v>0</v>
      </c>
      <c r="HZ30" s="72">
        <f>HY30</f>
        <v>0</v>
      </c>
      <c r="IA30" s="67"/>
      <c r="IB30" s="72"/>
      <c r="IC30" s="71">
        <f>'Федеральные  средства  по  МО'!BL31</f>
        <v>29000000</v>
      </c>
      <c r="ID30" s="72">
        <f>IC30</f>
        <v>29000000</v>
      </c>
      <c r="IE30" s="72"/>
      <c r="IF30" s="73"/>
      <c r="IG30" s="71">
        <f>'Федеральные  средства  по  МО'!BM31</f>
        <v>23053737.059999999</v>
      </c>
      <c r="IH30" s="72">
        <f>IG30</f>
        <v>23053737.059999999</v>
      </c>
      <c r="II30" s="72"/>
      <c r="IJ30" s="67"/>
      <c r="IK30" s="71">
        <f>'Федеральные  средства  по  МО'!BN31</f>
        <v>0</v>
      </c>
      <c r="IL30" s="72">
        <f>IK30</f>
        <v>0</v>
      </c>
      <c r="IM30" s="72"/>
      <c r="IN30" s="73"/>
      <c r="IO30" s="71">
        <f>'Федеральные  средства  по  МО'!BO31</f>
        <v>0</v>
      </c>
      <c r="IP30" s="72">
        <f>IO30</f>
        <v>0</v>
      </c>
      <c r="IQ30" s="72"/>
      <c r="IR30" s="73"/>
      <c r="IS30" s="76">
        <f>'Федеральные  средства  по  МО'!BR31</f>
        <v>0</v>
      </c>
      <c r="IT30" s="72">
        <f t="shared" ref="IT30:IT31" si="131">IS30</f>
        <v>0</v>
      </c>
      <c r="IU30" s="67"/>
      <c r="IV30" s="72"/>
      <c r="IW30" s="77">
        <f>'Федеральные  средства  по  МО'!BS31</f>
        <v>0</v>
      </c>
      <c r="IX30" s="72">
        <f t="shared" ref="IX30:IX31" si="132">IW30</f>
        <v>0</v>
      </c>
      <c r="IY30" s="72"/>
      <c r="IZ30" s="72"/>
      <c r="JA30" s="76">
        <f>'Федеральные  средства  по  МО'!BT31</f>
        <v>0</v>
      </c>
      <c r="JB30" s="72">
        <f>'Проверочная  таблица'!RF32</f>
        <v>0</v>
      </c>
      <c r="JC30" s="67">
        <f>'Проверочная  таблица'!RL32</f>
        <v>0</v>
      </c>
      <c r="JD30" s="72">
        <f>'Проверочная  таблица'!RR32</f>
        <v>0</v>
      </c>
      <c r="JE30" s="75">
        <f>'Федеральные  средства  по  МО'!BU31</f>
        <v>0</v>
      </c>
      <c r="JF30" s="72">
        <f>'Проверочная  таблица'!RC32</f>
        <v>0</v>
      </c>
      <c r="JG30" s="67">
        <f>'Проверочная  таблица'!RO32</f>
        <v>0</v>
      </c>
      <c r="JH30" s="72">
        <f>'Проверочная  таблица'!RU32</f>
        <v>0</v>
      </c>
      <c r="JI30" s="76">
        <f>'Федеральные  средства  по  МО'!BV31</f>
        <v>0</v>
      </c>
      <c r="JJ30" s="72">
        <f t="shared" ref="JJ30:JJ31" si="133">JI30</f>
        <v>0</v>
      </c>
      <c r="JK30" s="67"/>
      <c r="JL30" s="72"/>
      <c r="JM30" s="77">
        <f>'Федеральные  средства  по  МО'!BW31</f>
        <v>0</v>
      </c>
      <c r="JN30" s="72">
        <f t="shared" ref="JN30:JN31" si="134">JM30</f>
        <v>0</v>
      </c>
      <c r="JO30" s="67"/>
      <c r="JP30" s="72"/>
      <c r="JQ30" s="76">
        <f>'Федеральные  средства  по  МО'!BX31</f>
        <v>100728700</v>
      </c>
      <c r="JR30" s="72">
        <f t="shared" ref="JR30:JR31" si="135">JQ30</f>
        <v>100728700</v>
      </c>
      <c r="JS30" s="67"/>
      <c r="JT30" s="72"/>
      <c r="JU30" s="77">
        <f>'Федеральные  средства  по  МО'!BY31</f>
        <v>100728700</v>
      </c>
      <c r="JV30" s="72">
        <f t="shared" ref="JV30:JV31" si="136">JU30</f>
        <v>100728700</v>
      </c>
      <c r="JW30" s="67"/>
      <c r="JX30" s="72"/>
      <c r="JY30" s="76">
        <f>'Федеральные  средства  по  МО'!BZ31</f>
        <v>0</v>
      </c>
      <c r="JZ30" s="72">
        <f t="shared" ref="JZ30:JZ31" si="137">JY30</f>
        <v>0</v>
      </c>
      <c r="KA30" s="67"/>
      <c r="KB30" s="72"/>
      <c r="KC30" s="75">
        <f>'Федеральные  средства  по  МО'!CA31</f>
        <v>0</v>
      </c>
      <c r="KD30" s="72">
        <f t="shared" ref="KD30:KD31" si="138">KC30</f>
        <v>0</v>
      </c>
      <c r="KE30" s="67"/>
      <c r="KF30" s="72"/>
      <c r="KG30" s="71">
        <f>'Федеральные  средства  по  МО'!CB31</f>
        <v>0</v>
      </c>
      <c r="KH30" s="72">
        <f>KG30</f>
        <v>0</v>
      </c>
      <c r="KI30" s="67"/>
      <c r="KJ30" s="72"/>
      <c r="KK30" s="71">
        <f>'Федеральные  средства  по  МО'!CC31</f>
        <v>0</v>
      </c>
      <c r="KL30" s="72">
        <f>KK30</f>
        <v>0</v>
      </c>
      <c r="KM30" s="72"/>
      <c r="KN30" s="73"/>
      <c r="KO30" s="76">
        <f>'Федеральные  средства  по  МО'!CD31</f>
        <v>0</v>
      </c>
      <c r="KP30" s="72">
        <f>'Проверочная  таблица'!ST32</f>
        <v>0</v>
      </c>
      <c r="KQ30" s="67">
        <f t="shared" ref="KQ30:KQ31" si="139">KO30-KP30</f>
        <v>0</v>
      </c>
      <c r="KR30" s="72"/>
      <c r="KS30" s="75">
        <f>'Федеральные  средства  по  МО'!CE31</f>
        <v>0</v>
      </c>
      <c r="KT30" s="72">
        <f>'Проверочная  таблица'!TA32</f>
        <v>0</v>
      </c>
      <c r="KU30" s="67">
        <f t="shared" ref="KU30:KU31" si="140">KS30-KT30</f>
        <v>0</v>
      </c>
      <c r="KV30" s="72"/>
      <c r="KW30" s="71">
        <f>'Федеральные  средства  по  МО'!CF31</f>
        <v>0</v>
      </c>
      <c r="KX30" s="72">
        <f>KW30</f>
        <v>0</v>
      </c>
      <c r="KY30" s="67"/>
      <c r="KZ30" s="72"/>
      <c r="LA30" s="71">
        <f>'Федеральные  средства  по  МО'!CG31</f>
        <v>0</v>
      </c>
      <c r="LB30" s="72">
        <f>LA30</f>
        <v>0</v>
      </c>
      <c r="LC30" s="72"/>
      <c r="LD30" s="72"/>
    </row>
    <row r="31" spans="1:316" ht="25.5" customHeight="1" thickBot="1" x14ac:dyDescent="0.3">
      <c r="A31" s="52" t="s">
        <v>337</v>
      </c>
      <c r="B31" s="69">
        <f t="shared" si="86"/>
        <v>3908739524.3399992</v>
      </c>
      <c r="C31" s="70">
        <f t="shared" si="87"/>
        <v>3906851041.4599991</v>
      </c>
      <c r="D31" s="70">
        <f t="shared" si="88"/>
        <v>1888482.88</v>
      </c>
      <c r="E31" s="70">
        <f t="shared" si="89"/>
        <v>0</v>
      </c>
      <c r="F31" s="69">
        <f t="shared" si="90"/>
        <v>2407912288.96</v>
      </c>
      <c r="G31" s="70">
        <f t="shared" si="91"/>
        <v>2407912288.96</v>
      </c>
      <c r="H31" s="70">
        <f t="shared" si="92"/>
        <v>0</v>
      </c>
      <c r="I31" s="70">
        <f t="shared" si="93"/>
        <v>0</v>
      </c>
      <c r="J31" s="52"/>
      <c r="K31" s="53">
        <f>M31-'Федеральные  средства  по  МО'!N32-'Федеральные  средства  по  МО'!D32</f>
        <v>-9.5367431640625E-7</v>
      </c>
      <c r="L31" s="53">
        <f>Q31-'Федеральные  средства  по  МО'!O32-'Федеральные  средства  по  МО'!E32</f>
        <v>0</v>
      </c>
      <c r="M31" s="1180">
        <f t="shared" si="94"/>
        <v>3908739524.3399992</v>
      </c>
      <c r="N31" s="70">
        <f t="shared" si="95"/>
        <v>3906851041.4599991</v>
      </c>
      <c r="O31" s="70">
        <f t="shared" si="96"/>
        <v>1888482.88</v>
      </c>
      <c r="P31" s="70">
        <f t="shared" si="97"/>
        <v>0</v>
      </c>
      <c r="Q31" s="1180">
        <f t="shared" si="98"/>
        <v>2407912288.96</v>
      </c>
      <c r="R31" s="70">
        <f t="shared" si="99"/>
        <v>2407912288.96</v>
      </c>
      <c r="S31" s="70">
        <f t="shared" si="100"/>
        <v>0</v>
      </c>
      <c r="T31" s="70">
        <f t="shared" si="101"/>
        <v>0</v>
      </c>
      <c r="U31" s="71">
        <f>'Федеральные  средства  по  МО'!F32</f>
        <v>0</v>
      </c>
      <c r="V31" s="74">
        <f>U31</f>
        <v>0</v>
      </c>
      <c r="W31" s="91"/>
      <c r="X31" s="92"/>
      <c r="Y31" s="71">
        <f>'Федеральные  средства  по  МО'!G32</f>
        <v>0</v>
      </c>
      <c r="Z31" s="74">
        <f>Y31</f>
        <v>0</v>
      </c>
      <c r="AA31" s="72"/>
      <c r="AB31" s="73"/>
      <c r="AC31" s="1139">
        <f>'Федеральные  средства  по  МО'!H32</f>
        <v>0</v>
      </c>
      <c r="AD31" s="72">
        <f t="shared" si="102"/>
        <v>0</v>
      </c>
      <c r="AE31" s="67"/>
      <c r="AF31" s="72"/>
      <c r="AG31" s="1139">
        <f>'Федеральные  средства  по  МО'!I32</f>
        <v>0</v>
      </c>
      <c r="AH31" s="72">
        <f t="shared" si="103"/>
        <v>0</v>
      </c>
      <c r="AI31" s="67"/>
      <c r="AJ31" s="72"/>
      <c r="AK31" s="71">
        <f>'Федеральные  средства  по  МО'!J32</f>
        <v>0</v>
      </c>
      <c r="AL31" s="72">
        <f t="shared" si="104"/>
        <v>0</v>
      </c>
      <c r="AM31" s="67"/>
      <c r="AN31" s="72"/>
      <c r="AO31" s="71">
        <f>'Федеральные  средства  по  МО'!K32</f>
        <v>0</v>
      </c>
      <c r="AP31" s="72">
        <f t="shared" si="105"/>
        <v>0</v>
      </c>
      <c r="AQ31" s="67"/>
      <c r="AR31" s="72"/>
      <c r="AS31" s="77">
        <f>'Федеральные  средства  по  МО'!P32</f>
        <v>21770300</v>
      </c>
      <c r="AT31" s="72">
        <f>AS31</f>
        <v>21770300</v>
      </c>
      <c r="AU31" s="67"/>
      <c r="AV31" s="74"/>
      <c r="AW31" s="71">
        <f>'Федеральные  средства  по  МО'!Q32</f>
        <v>6326925.6400000006</v>
      </c>
      <c r="AX31" s="72">
        <f>AW31</f>
        <v>6326925.6400000006</v>
      </c>
      <c r="AY31" s="72"/>
      <c r="AZ31" s="67"/>
      <c r="BA31" s="95">
        <f>'Федеральные  средства  по  МО'!R32</f>
        <v>720202200</v>
      </c>
      <c r="BB31" s="91">
        <f t="shared" si="106"/>
        <v>720202200</v>
      </c>
      <c r="BC31" s="91"/>
      <c r="BD31" s="90"/>
      <c r="BE31" s="89">
        <f>'Федеральные  средства  по  МО'!S32</f>
        <v>233933281.38</v>
      </c>
      <c r="BF31" s="92">
        <f t="shared" si="107"/>
        <v>233933281.38</v>
      </c>
      <c r="BG31" s="72"/>
      <c r="BH31" s="73"/>
      <c r="BI31" s="76">
        <f>'Федеральные  средства  по  МО'!T32</f>
        <v>75345743.200000003</v>
      </c>
      <c r="BJ31" s="72">
        <f t="shared" si="108"/>
        <v>75345743.200000003</v>
      </c>
      <c r="BK31" s="67"/>
      <c r="BL31" s="72"/>
      <c r="BM31" s="77">
        <f>'Федеральные  средства  по  МО'!U32</f>
        <v>66279834.93</v>
      </c>
      <c r="BN31" s="91">
        <f t="shared" si="109"/>
        <v>66279834.93</v>
      </c>
      <c r="BO31" s="72"/>
      <c r="BP31" s="73"/>
      <c r="BQ31" s="71">
        <f>'Федеральные  средства  по  МО'!V32</f>
        <v>0</v>
      </c>
      <c r="BR31" s="73">
        <f t="shared" si="110"/>
        <v>0</v>
      </c>
      <c r="BS31" s="72"/>
      <c r="BT31" s="67"/>
      <c r="BU31" s="71">
        <f>'Федеральные  средства  по  МО'!W32</f>
        <v>0</v>
      </c>
      <c r="BV31" s="72">
        <f>BU31</f>
        <v>0</v>
      </c>
      <c r="BW31" s="72"/>
      <c r="BX31" s="73"/>
      <c r="BY31" s="71">
        <f>'Федеральные  средства  по  МО'!X32</f>
        <v>0</v>
      </c>
      <c r="BZ31" s="73">
        <f t="shared" si="111"/>
        <v>0</v>
      </c>
      <c r="CA31" s="72"/>
      <c r="CB31" s="67"/>
      <c r="CC31" s="71">
        <f>'Федеральные  средства  по  МО'!Y32</f>
        <v>0</v>
      </c>
      <c r="CD31" s="72">
        <f>CC31</f>
        <v>0</v>
      </c>
      <c r="CE31" s="72"/>
      <c r="CF31" s="73"/>
      <c r="CG31" s="71">
        <f>'Федеральные  средства  по  МО'!Z32</f>
        <v>844127500</v>
      </c>
      <c r="CH31" s="73">
        <f t="shared" si="112"/>
        <v>844127500</v>
      </c>
      <c r="CI31" s="67"/>
      <c r="CJ31" s="74"/>
      <c r="CK31" s="71">
        <f>'Федеральные  средства  по  МО'!AA32</f>
        <v>721311012.22000003</v>
      </c>
      <c r="CL31" s="72">
        <f>CK31</f>
        <v>721311012.22000003</v>
      </c>
      <c r="CM31" s="72"/>
      <c r="CN31" s="73"/>
      <c r="CO31" s="76">
        <f>'Федеральные  средства  по  МО'!AB32</f>
        <v>115116800</v>
      </c>
      <c r="CP31" s="72">
        <f t="shared" si="113"/>
        <v>115116800</v>
      </c>
      <c r="CQ31" s="67"/>
      <c r="CR31" s="72"/>
      <c r="CS31" s="75">
        <f>'Федеральные  средства  по  МО'!AC32</f>
        <v>104137919.87</v>
      </c>
      <c r="CT31" s="72">
        <f t="shared" si="114"/>
        <v>104137919.87</v>
      </c>
      <c r="CU31" s="67"/>
      <c r="CV31" s="72"/>
      <c r="CW31" s="76">
        <f>'Федеральные  средства  по  МО'!AD32</f>
        <v>14320379.789999999</v>
      </c>
      <c r="CX31" s="72">
        <f>CW31</f>
        <v>14320379.789999999</v>
      </c>
      <c r="CY31" s="70"/>
      <c r="CZ31" s="143"/>
      <c r="DA31" s="71">
        <f>'Федеральные  средства  по  МО'!AE32</f>
        <v>0</v>
      </c>
      <c r="DB31" s="72">
        <f>DA31</f>
        <v>0</v>
      </c>
      <c r="DC31" s="72"/>
      <c r="DD31" s="73"/>
      <c r="DE31" s="71">
        <f>'Федеральные  средства  по  МО'!AF32</f>
        <v>0</v>
      </c>
      <c r="DF31" s="72">
        <f t="shared" si="115"/>
        <v>0</v>
      </c>
      <c r="DG31" s="67"/>
      <c r="DH31" s="72"/>
      <c r="DI31" s="71">
        <f>'Федеральные  средства  по  МО'!AG32</f>
        <v>0</v>
      </c>
      <c r="DJ31" s="72">
        <f t="shared" si="116"/>
        <v>0</v>
      </c>
      <c r="DK31" s="67"/>
      <c r="DL31" s="72"/>
      <c r="DM31" s="71">
        <f>'Федеральные  средства  по  МО'!AH32</f>
        <v>0</v>
      </c>
      <c r="DN31" s="72">
        <f t="shared" si="117"/>
        <v>0</v>
      </c>
      <c r="DO31" s="67"/>
      <c r="DP31" s="72"/>
      <c r="DQ31" s="71">
        <f>'Федеральные  средства  по  МО'!AI32</f>
        <v>0</v>
      </c>
      <c r="DR31" s="72">
        <f t="shared" si="118"/>
        <v>0</v>
      </c>
      <c r="DS31" s="67"/>
      <c r="DT31" s="72"/>
      <c r="DU31" s="76">
        <f>'Федеральные  средства  по  МО'!AJ32</f>
        <v>260033228.37</v>
      </c>
      <c r="DV31" s="72">
        <f t="shared" si="119"/>
        <v>260033228.37</v>
      </c>
      <c r="DW31" s="67"/>
      <c r="DX31" s="72"/>
      <c r="DY31" s="75">
        <f>'Федеральные  средства  по  МО'!AK32</f>
        <v>181521985.75</v>
      </c>
      <c r="DZ31" s="72">
        <f t="shared" si="120"/>
        <v>181521985.75</v>
      </c>
      <c r="EA31" s="67"/>
      <c r="EB31" s="72"/>
      <c r="EC31" s="71">
        <f>'Федеральные  средства  по  МО'!AL32</f>
        <v>1404739120.51</v>
      </c>
      <c r="ED31" s="67">
        <f t="shared" si="121"/>
        <v>1404739120.51</v>
      </c>
      <c r="EE31" s="72"/>
      <c r="EF31" s="67"/>
      <c r="EG31" s="71">
        <f>'Федеральные  средства  по  МО'!AM32</f>
        <v>715988056.25999999</v>
      </c>
      <c r="EH31" s="67">
        <f t="shared" si="122"/>
        <v>715988056.25999999</v>
      </c>
      <c r="EI31" s="72"/>
      <c r="EJ31" s="67"/>
      <c r="EK31" s="76">
        <f>'Федеральные  средства  по  МО'!AV32</f>
        <v>0</v>
      </c>
      <c r="EL31" s="72">
        <f t="shared" si="123"/>
        <v>0</v>
      </c>
      <c r="EM31" s="67"/>
      <c r="EN31" s="72"/>
      <c r="EO31" s="75">
        <f>'Федеральные  средства  по  МО'!AW32</f>
        <v>0</v>
      </c>
      <c r="EP31" s="72">
        <f t="shared" si="124"/>
        <v>0</v>
      </c>
      <c r="EQ31" s="67"/>
      <c r="ER31" s="72"/>
      <c r="ES31" s="76">
        <f>'Федеральные  средства  по  МО'!AP32</f>
        <v>0</v>
      </c>
      <c r="ET31" s="72">
        <f>ES31</f>
        <v>0</v>
      </c>
      <c r="EU31" s="67"/>
      <c r="EV31" s="72"/>
      <c r="EW31" s="142">
        <f>'Федеральные  средства  по  МО'!AQ32</f>
        <v>0</v>
      </c>
      <c r="EX31" s="72">
        <f>EW31</f>
        <v>0</v>
      </c>
      <c r="EY31" s="72"/>
      <c r="EZ31" s="72"/>
      <c r="FA31" s="71">
        <f>'Федеральные  средства  по  МО'!AR32</f>
        <v>0</v>
      </c>
      <c r="FB31" s="72">
        <f>FA31</f>
        <v>0</v>
      </c>
      <c r="FC31" s="67"/>
      <c r="FD31" s="72"/>
      <c r="FE31" s="71">
        <f>'Федеральные  средства  по  МО'!AS32</f>
        <v>0</v>
      </c>
      <c r="FF31" s="72">
        <f>FE31</f>
        <v>0</v>
      </c>
      <c r="FG31" s="67"/>
      <c r="FH31" s="72"/>
      <c r="FI31" s="71">
        <f>'Федеральные  средства  по  МО'!AT32</f>
        <v>0</v>
      </c>
      <c r="FJ31" s="72">
        <f>FI31</f>
        <v>0</v>
      </c>
      <c r="FK31" s="67"/>
      <c r="FL31" s="72"/>
      <c r="FM31" s="71">
        <f>'Федеральные  средства  по  МО'!AU32</f>
        <v>0</v>
      </c>
      <c r="FN31" s="72">
        <f>FM31</f>
        <v>0</v>
      </c>
      <c r="FO31" s="72"/>
      <c r="FP31" s="72"/>
      <c r="FQ31" s="71">
        <f>'Федеральные  средства  по  МО'!AV32</f>
        <v>0</v>
      </c>
      <c r="FR31" s="72">
        <f>FQ31</f>
        <v>0</v>
      </c>
      <c r="FS31" s="70"/>
      <c r="FT31" s="144"/>
      <c r="FU31" s="71">
        <f>'Федеральные  средства  по  МО'!AW32</f>
        <v>0</v>
      </c>
      <c r="FV31" s="72">
        <f>FU31</f>
        <v>0</v>
      </c>
      <c r="FW31" s="72"/>
      <c r="FX31" s="67"/>
      <c r="FY31" s="76">
        <f>'Федеральные  средства  по  МО'!AX32</f>
        <v>1888482.88</v>
      </c>
      <c r="FZ31" s="72"/>
      <c r="GA31" s="67">
        <f t="shared" si="125"/>
        <v>1888482.88</v>
      </c>
      <c r="GB31" s="72"/>
      <c r="GC31" s="71">
        <f>'Федеральные  средства  по  МО'!AY32</f>
        <v>0</v>
      </c>
      <c r="GD31" s="67"/>
      <c r="GE31" s="72">
        <f t="shared" si="126"/>
        <v>0</v>
      </c>
      <c r="GF31" s="67"/>
      <c r="GG31" s="71">
        <f>'Федеральные  средства  по  МО'!AZ32</f>
        <v>2107198.16</v>
      </c>
      <c r="GH31" s="73">
        <f t="shared" si="127"/>
        <v>2107198.16</v>
      </c>
      <c r="GI31" s="67"/>
      <c r="GJ31" s="74"/>
      <c r="GK31" s="71">
        <f>'Федеральные  средства  по  МО'!BA32</f>
        <v>0</v>
      </c>
      <c r="GL31" s="73">
        <f t="shared" si="128"/>
        <v>0</v>
      </c>
      <c r="GM31" s="67"/>
      <c r="GN31" s="72"/>
      <c r="GO31" s="71">
        <f>'Федеральные  средства  по  МО'!BB32</f>
        <v>0</v>
      </c>
      <c r="GP31" s="72">
        <f>GO31</f>
        <v>0</v>
      </c>
      <c r="GQ31" s="70"/>
      <c r="GR31" s="144"/>
      <c r="GS31" s="71">
        <f>'Федеральные  средства  по  МО'!BC32</f>
        <v>0</v>
      </c>
      <c r="GT31" s="72">
        <f>GS31</f>
        <v>0</v>
      </c>
      <c r="GU31" s="72"/>
      <c r="GV31" s="73"/>
      <c r="GW31" s="71">
        <f>'Федеральные  средства  по  МО'!BD32</f>
        <v>0</v>
      </c>
      <c r="GX31" s="72">
        <f t="shared" si="129"/>
        <v>0</v>
      </c>
      <c r="GY31" s="74"/>
      <c r="GZ31" s="74"/>
      <c r="HA31" s="71">
        <f>'Федеральные  средства  по  МО'!BE32</f>
        <v>0</v>
      </c>
      <c r="HB31" s="72">
        <f t="shared" si="130"/>
        <v>0</v>
      </c>
      <c r="HC31" s="73"/>
      <c r="HD31" s="67"/>
      <c r="HE31" s="71">
        <f>'Федеральные  средства  по  МО'!BF32</f>
        <v>0</v>
      </c>
      <c r="HF31" s="72">
        <f>HE31</f>
        <v>0</v>
      </c>
      <c r="HG31" s="70"/>
      <c r="HH31" s="144"/>
      <c r="HI31" s="71">
        <f>'Федеральные  средства  по  МО'!BG32</f>
        <v>0</v>
      </c>
      <c r="HJ31" s="72">
        <f>HI31</f>
        <v>0</v>
      </c>
      <c r="HK31" s="72"/>
      <c r="HL31" s="73"/>
      <c r="HM31" s="71">
        <f>'Федеральные  средства  по  МО'!BH32</f>
        <v>892171.43</v>
      </c>
      <c r="HN31" s="72">
        <f>HM31</f>
        <v>892171.43</v>
      </c>
      <c r="HO31" s="70"/>
      <c r="HP31" s="144"/>
      <c r="HQ31" s="71">
        <f>'Федеральные  средства  по  МО'!BI32</f>
        <v>892171.42</v>
      </c>
      <c r="HR31" s="72">
        <f>HQ31</f>
        <v>892171.42</v>
      </c>
      <c r="HS31" s="72"/>
      <c r="HT31" s="72"/>
      <c r="HU31" s="71">
        <f>'Федеральные  средства  по  МО'!BJ32</f>
        <v>0</v>
      </c>
      <c r="HV31" s="72">
        <f>HU31</f>
        <v>0</v>
      </c>
      <c r="HW31" s="70"/>
      <c r="HX31" s="144"/>
      <c r="HY31" s="89">
        <f>'Федеральные  средства  по  МО'!BK32</f>
        <v>0</v>
      </c>
      <c r="HZ31" s="72">
        <f>HY31</f>
        <v>0</v>
      </c>
      <c r="IA31" s="143"/>
      <c r="IB31" s="70"/>
      <c r="IC31" s="71">
        <f>'Федеральные  средства  по  МО'!BL32</f>
        <v>139384500</v>
      </c>
      <c r="ID31" s="72">
        <f>IC31</f>
        <v>139384500</v>
      </c>
      <c r="IE31" s="70"/>
      <c r="IF31" s="144"/>
      <c r="IG31" s="71">
        <f>'Федеральные  средства  по  МО'!BM32</f>
        <v>96023172.590000004</v>
      </c>
      <c r="IH31" s="72">
        <f>IG31</f>
        <v>96023172.590000004</v>
      </c>
      <c r="II31" s="72"/>
      <c r="IJ31" s="67"/>
      <c r="IK31" s="71">
        <f>'Федеральные  средства  по  МО'!BN32</f>
        <v>0</v>
      </c>
      <c r="IL31" s="72">
        <f>IK31</f>
        <v>0</v>
      </c>
      <c r="IM31" s="70"/>
      <c r="IN31" s="144"/>
      <c r="IO31" s="71">
        <f>'Федеральные  средства  по  МО'!BO32</f>
        <v>0</v>
      </c>
      <c r="IP31" s="72">
        <f>IO31</f>
        <v>0</v>
      </c>
      <c r="IQ31" s="72"/>
      <c r="IR31" s="73"/>
      <c r="IS31" s="145">
        <f>'Федеральные  средства  по  МО'!BR32</f>
        <v>6625800</v>
      </c>
      <c r="IT31" s="70">
        <f t="shared" si="131"/>
        <v>6625800</v>
      </c>
      <c r="IU31" s="143"/>
      <c r="IV31" s="70"/>
      <c r="IW31" s="146">
        <f>'Федеральные  средства  по  МО'!BS32</f>
        <v>3117823.01</v>
      </c>
      <c r="IX31" s="72">
        <f t="shared" si="132"/>
        <v>3117823.01</v>
      </c>
      <c r="IY31" s="72"/>
      <c r="IZ31" s="72"/>
      <c r="JA31" s="76">
        <f>'Федеральные  средства  по  МО'!BT32</f>
        <v>0</v>
      </c>
      <c r="JB31" s="72">
        <f>'Проверочная  таблица'!RF33</f>
        <v>0</v>
      </c>
      <c r="JC31" s="67">
        <f>'Проверочная  таблица'!RL33</f>
        <v>0</v>
      </c>
      <c r="JD31" s="72">
        <f>'Проверочная  таблица'!RR33</f>
        <v>0</v>
      </c>
      <c r="JE31" s="75">
        <f>'Федеральные  средства  по  МО'!BU32</f>
        <v>0</v>
      </c>
      <c r="JF31" s="72">
        <f>'Проверочная  таблица'!RC33</f>
        <v>0</v>
      </c>
      <c r="JG31" s="67">
        <f>'Проверочная  таблица'!RO33</f>
        <v>0</v>
      </c>
      <c r="JH31" s="72">
        <f>'Проверочная  таблица'!RU33</f>
        <v>0</v>
      </c>
      <c r="JI31" s="76">
        <f>'Федеральные  средства  по  МО'!BV32</f>
        <v>0</v>
      </c>
      <c r="JJ31" s="72">
        <f t="shared" si="133"/>
        <v>0</v>
      </c>
      <c r="JK31" s="67"/>
      <c r="JL31" s="72"/>
      <c r="JM31" s="77">
        <f>'Федеральные  средства  по  МО'!BW32</f>
        <v>0</v>
      </c>
      <c r="JN31" s="72">
        <f t="shared" si="134"/>
        <v>0</v>
      </c>
      <c r="JO31" s="67"/>
      <c r="JP31" s="72"/>
      <c r="JQ31" s="76">
        <f>'Федеральные  средства  по  МО'!BX32</f>
        <v>302186100</v>
      </c>
      <c r="JR31" s="72">
        <f t="shared" si="135"/>
        <v>302186100</v>
      </c>
      <c r="JS31" s="67"/>
      <c r="JT31" s="72"/>
      <c r="JU31" s="77">
        <f>'Федеральные  средства  по  МО'!BY32</f>
        <v>278380105.88999999</v>
      </c>
      <c r="JV31" s="72">
        <f t="shared" si="136"/>
        <v>278380105.88999999</v>
      </c>
      <c r="JW31" s="67"/>
      <c r="JX31" s="72"/>
      <c r="JY31" s="76">
        <f>'Федеральные  средства  по  МО'!BZ32</f>
        <v>0</v>
      </c>
      <c r="JZ31" s="72">
        <f t="shared" si="137"/>
        <v>0</v>
      </c>
      <c r="KA31" s="67"/>
      <c r="KB31" s="72"/>
      <c r="KC31" s="75">
        <f>'Федеральные  средства  по  МО'!CA32</f>
        <v>0</v>
      </c>
      <c r="KD31" s="72">
        <f t="shared" si="138"/>
        <v>0</v>
      </c>
      <c r="KE31" s="67"/>
      <c r="KF31" s="72"/>
      <c r="KG31" s="71">
        <f>'Федеральные  средства  по  МО'!CB32</f>
        <v>0</v>
      </c>
      <c r="KH31" s="72">
        <f>KG31</f>
        <v>0</v>
      </c>
      <c r="KI31" s="67"/>
      <c r="KJ31" s="72"/>
      <c r="KK31" s="71">
        <f>'Федеральные  средства  по  МО'!CC32</f>
        <v>0</v>
      </c>
      <c r="KL31" s="72">
        <f>KK31</f>
        <v>0</v>
      </c>
      <c r="KM31" s="72"/>
      <c r="KN31" s="73"/>
      <c r="KO31" s="76">
        <f>'Федеральные  средства  по  МО'!CD32</f>
        <v>0</v>
      </c>
      <c r="KP31" s="72">
        <f>'Проверочная  таблица'!ST33</f>
        <v>0</v>
      </c>
      <c r="KQ31" s="67">
        <f t="shared" si="139"/>
        <v>0</v>
      </c>
      <c r="KR31" s="72"/>
      <c r="KS31" s="75">
        <f>'Федеральные  средства  по  МО'!CE32</f>
        <v>0</v>
      </c>
      <c r="KT31" s="72">
        <f>'Проверочная  таблица'!TA33</f>
        <v>0</v>
      </c>
      <c r="KU31" s="67">
        <f t="shared" si="140"/>
        <v>0</v>
      </c>
      <c r="KV31" s="72"/>
      <c r="KW31" s="71">
        <f>'Федеральные  средства  по  МО'!CF32</f>
        <v>0</v>
      </c>
      <c r="KX31" s="72">
        <f>KW31</f>
        <v>0</v>
      </c>
      <c r="KY31" s="67"/>
      <c r="KZ31" s="72"/>
      <c r="LA31" s="71">
        <f>'Федеральные  средства  по  МО'!CG32</f>
        <v>0</v>
      </c>
      <c r="LB31" s="72">
        <f>LA31</f>
        <v>0</v>
      </c>
      <c r="LC31" s="72"/>
      <c r="LD31" s="72"/>
    </row>
    <row r="32" spans="1:316" ht="25.5" customHeight="1" thickBot="1" x14ac:dyDescent="0.3">
      <c r="A32" s="104" t="s">
        <v>338</v>
      </c>
      <c r="B32" s="105">
        <f t="shared" ref="B32" si="141">SUM(B30:B31)</f>
        <v>4042147311.8499994</v>
      </c>
      <c r="C32" s="106">
        <f>SUM(C30:C31)</f>
        <v>4039432595.8399992</v>
      </c>
      <c r="D32" s="106">
        <f>SUM(D30:D31)</f>
        <v>2714716.01</v>
      </c>
      <c r="E32" s="106">
        <f>SUM(E30:E31)</f>
        <v>0</v>
      </c>
      <c r="F32" s="105">
        <f t="shared" ref="F32" si="142">SUM(F30:F31)</f>
        <v>2534512435.5</v>
      </c>
      <c r="G32" s="106">
        <f>SUM(G30:G31)</f>
        <v>2534512435.5</v>
      </c>
      <c r="H32" s="106">
        <f>SUM(H30:H31)</f>
        <v>0</v>
      </c>
      <c r="I32" s="106">
        <f>SUM(I30:I31)</f>
        <v>0</v>
      </c>
      <c r="J32" s="52"/>
      <c r="K32" s="53">
        <f>M32-'Федеральные  средства  по  МО'!N33-'Федеральные  средства  по  МО'!D33</f>
        <v>-9.5367431640625E-7</v>
      </c>
      <c r="L32" s="53">
        <f>Q32-'Федеральные  средства  по  МО'!O33-'Федеральные  средства  по  МО'!E33</f>
        <v>0</v>
      </c>
      <c r="M32" s="105">
        <f t="shared" ref="M32" si="143">SUM(M30:M31)</f>
        <v>4079906311.8499994</v>
      </c>
      <c r="N32" s="106">
        <f t="shared" ref="N32:BP32" si="144">SUM(N30:N31)</f>
        <v>4077191595.8399992</v>
      </c>
      <c r="O32" s="106">
        <f t="shared" si="144"/>
        <v>2714716.01</v>
      </c>
      <c r="P32" s="106">
        <f t="shared" si="144"/>
        <v>0</v>
      </c>
      <c r="Q32" s="105">
        <f t="shared" si="144"/>
        <v>2534512435.5</v>
      </c>
      <c r="R32" s="106">
        <f t="shared" si="144"/>
        <v>2534512435.5</v>
      </c>
      <c r="S32" s="106">
        <f t="shared" si="144"/>
        <v>0</v>
      </c>
      <c r="T32" s="106">
        <f t="shared" si="144"/>
        <v>0</v>
      </c>
      <c r="U32" s="139">
        <f t="shared" si="144"/>
        <v>0</v>
      </c>
      <c r="V32" s="147">
        <f t="shared" si="144"/>
        <v>0</v>
      </c>
      <c r="W32" s="148">
        <f t="shared" si="144"/>
        <v>0</v>
      </c>
      <c r="X32" s="149">
        <f t="shared" si="144"/>
        <v>0</v>
      </c>
      <c r="Y32" s="132">
        <f t="shared" si="144"/>
        <v>0</v>
      </c>
      <c r="Z32" s="147">
        <f t="shared" si="144"/>
        <v>0</v>
      </c>
      <c r="AA32" s="148">
        <f t="shared" si="144"/>
        <v>0</v>
      </c>
      <c r="AB32" s="149">
        <f t="shared" si="144"/>
        <v>0</v>
      </c>
      <c r="AC32" s="1166">
        <f t="shared" ref="AC32:AJ32" si="145">SUM(AC30:AC31)</f>
        <v>37759000</v>
      </c>
      <c r="AD32" s="106">
        <f t="shared" si="145"/>
        <v>37759000</v>
      </c>
      <c r="AE32" s="150">
        <f t="shared" si="145"/>
        <v>0</v>
      </c>
      <c r="AF32" s="106">
        <f t="shared" si="145"/>
        <v>0</v>
      </c>
      <c r="AG32" s="1170">
        <f t="shared" si="145"/>
        <v>0</v>
      </c>
      <c r="AH32" s="106">
        <f t="shared" si="145"/>
        <v>0</v>
      </c>
      <c r="AI32" s="150">
        <f t="shared" si="145"/>
        <v>0</v>
      </c>
      <c r="AJ32" s="106">
        <f t="shared" si="145"/>
        <v>0</v>
      </c>
      <c r="AK32" s="139">
        <f t="shared" si="144"/>
        <v>0</v>
      </c>
      <c r="AL32" s="106">
        <f t="shared" si="144"/>
        <v>0</v>
      </c>
      <c r="AM32" s="150">
        <f t="shared" si="144"/>
        <v>0</v>
      </c>
      <c r="AN32" s="106">
        <f t="shared" si="144"/>
        <v>0</v>
      </c>
      <c r="AO32" s="134">
        <f t="shared" si="144"/>
        <v>0</v>
      </c>
      <c r="AP32" s="106">
        <f t="shared" si="144"/>
        <v>0</v>
      </c>
      <c r="AQ32" s="150">
        <f t="shared" si="144"/>
        <v>0</v>
      </c>
      <c r="AR32" s="106">
        <f t="shared" si="144"/>
        <v>0</v>
      </c>
      <c r="AS32" s="134">
        <f t="shared" si="144"/>
        <v>21770300</v>
      </c>
      <c r="AT32" s="147">
        <f t="shared" si="144"/>
        <v>21770300</v>
      </c>
      <c r="AU32" s="148">
        <f t="shared" si="144"/>
        <v>0</v>
      </c>
      <c r="AV32" s="149">
        <f t="shared" si="144"/>
        <v>0</v>
      </c>
      <c r="AW32" s="132">
        <f t="shared" si="144"/>
        <v>6326925.6400000006</v>
      </c>
      <c r="AX32" s="147">
        <f t="shared" si="144"/>
        <v>6326925.6400000006</v>
      </c>
      <c r="AY32" s="148">
        <f t="shared" si="144"/>
        <v>0</v>
      </c>
      <c r="AZ32" s="150">
        <f t="shared" si="144"/>
        <v>0</v>
      </c>
      <c r="BA32" s="139">
        <f t="shared" si="144"/>
        <v>720202200</v>
      </c>
      <c r="BB32" s="147">
        <f t="shared" si="144"/>
        <v>720202200</v>
      </c>
      <c r="BC32" s="148">
        <f t="shared" si="144"/>
        <v>0</v>
      </c>
      <c r="BD32" s="149">
        <f t="shared" si="144"/>
        <v>0</v>
      </c>
      <c r="BE32" s="132">
        <f t="shared" si="144"/>
        <v>233933281.38</v>
      </c>
      <c r="BF32" s="147">
        <f t="shared" si="144"/>
        <v>233933281.38</v>
      </c>
      <c r="BG32" s="148">
        <f t="shared" si="144"/>
        <v>0</v>
      </c>
      <c r="BH32" s="149">
        <f t="shared" si="144"/>
        <v>0</v>
      </c>
      <c r="BI32" s="139">
        <f t="shared" si="144"/>
        <v>75345743.200000003</v>
      </c>
      <c r="BJ32" s="148">
        <f t="shared" si="144"/>
        <v>75345743.200000003</v>
      </c>
      <c r="BK32" s="150">
        <f t="shared" si="144"/>
        <v>0</v>
      </c>
      <c r="BL32" s="106">
        <f t="shared" si="144"/>
        <v>0</v>
      </c>
      <c r="BM32" s="151">
        <f t="shared" si="144"/>
        <v>66279834.93</v>
      </c>
      <c r="BN32" s="148">
        <f t="shared" si="144"/>
        <v>66279834.93</v>
      </c>
      <c r="BO32" s="148">
        <f t="shared" si="144"/>
        <v>0</v>
      </c>
      <c r="BP32" s="149">
        <f t="shared" si="144"/>
        <v>0</v>
      </c>
      <c r="BQ32" s="105">
        <f>SUM(BQ30:BQ31)</f>
        <v>0</v>
      </c>
      <c r="BR32" s="148">
        <f t="shared" ref="BR32:BT32" si="146">SUM(BR30:BR31)</f>
        <v>0</v>
      </c>
      <c r="BS32" s="148">
        <f t="shared" si="146"/>
        <v>0</v>
      </c>
      <c r="BT32" s="149">
        <f t="shared" si="146"/>
        <v>0</v>
      </c>
      <c r="BU32" s="139">
        <f>SUM(BU30:BU31)</f>
        <v>0</v>
      </c>
      <c r="BV32" s="148">
        <f t="shared" ref="BV32:CV32" si="147">SUM(BV30:BV31)</f>
        <v>0</v>
      </c>
      <c r="BW32" s="148">
        <f t="shared" si="147"/>
        <v>0</v>
      </c>
      <c r="BX32" s="149">
        <f t="shared" si="147"/>
        <v>0</v>
      </c>
      <c r="BY32" s="152">
        <f t="shared" si="147"/>
        <v>0</v>
      </c>
      <c r="BZ32" s="148">
        <f t="shared" si="147"/>
        <v>0</v>
      </c>
      <c r="CA32" s="148">
        <f t="shared" si="147"/>
        <v>0</v>
      </c>
      <c r="CB32" s="149">
        <f t="shared" si="147"/>
        <v>0</v>
      </c>
      <c r="CC32" s="105">
        <f t="shared" si="147"/>
        <v>0</v>
      </c>
      <c r="CD32" s="148">
        <f t="shared" si="147"/>
        <v>0</v>
      </c>
      <c r="CE32" s="148">
        <f t="shared" si="147"/>
        <v>0</v>
      </c>
      <c r="CF32" s="149">
        <f t="shared" si="147"/>
        <v>0</v>
      </c>
      <c r="CG32" s="152">
        <f t="shared" si="147"/>
        <v>844127500</v>
      </c>
      <c r="CH32" s="147">
        <f t="shared" si="147"/>
        <v>844127500</v>
      </c>
      <c r="CI32" s="148">
        <f t="shared" si="147"/>
        <v>0</v>
      </c>
      <c r="CJ32" s="149">
        <f t="shared" si="147"/>
        <v>0</v>
      </c>
      <c r="CK32" s="132">
        <f t="shared" si="147"/>
        <v>721311012.22000003</v>
      </c>
      <c r="CL32" s="147">
        <f t="shared" si="147"/>
        <v>721311012.22000003</v>
      </c>
      <c r="CM32" s="148">
        <f t="shared" si="147"/>
        <v>0</v>
      </c>
      <c r="CN32" s="149">
        <f t="shared" si="147"/>
        <v>0</v>
      </c>
      <c r="CO32" s="152">
        <f t="shared" si="147"/>
        <v>115116800</v>
      </c>
      <c r="CP32" s="106">
        <f t="shared" si="147"/>
        <v>115116800</v>
      </c>
      <c r="CQ32" s="150">
        <f t="shared" si="147"/>
        <v>0</v>
      </c>
      <c r="CR32" s="106">
        <f t="shared" si="147"/>
        <v>0</v>
      </c>
      <c r="CS32" s="134">
        <f t="shared" si="147"/>
        <v>104137919.87</v>
      </c>
      <c r="CT32" s="106">
        <f t="shared" si="147"/>
        <v>104137919.87</v>
      </c>
      <c r="CU32" s="150">
        <f t="shared" si="147"/>
        <v>0</v>
      </c>
      <c r="CV32" s="106">
        <f t="shared" si="147"/>
        <v>0</v>
      </c>
      <c r="CW32" s="152">
        <f>SUM(CW30:CW31)</f>
        <v>14320379.789999999</v>
      </c>
      <c r="CX32" s="147">
        <f t="shared" ref="CX32:CZ32" si="148">SUM(CX30:CX31)</f>
        <v>14320379.789999999</v>
      </c>
      <c r="CY32" s="148">
        <f t="shared" si="148"/>
        <v>0</v>
      </c>
      <c r="CZ32" s="149">
        <f t="shared" si="148"/>
        <v>0</v>
      </c>
      <c r="DA32" s="132">
        <f>SUM(DA30:DA31)</f>
        <v>0</v>
      </c>
      <c r="DB32" s="147">
        <f t="shared" ref="DB32:FM32" si="149">SUM(DB30:DB31)</f>
        <v>0</v>
      </c>
      <c r="DC32" s="148">
        <f t="shared" si="149"/>
        <v>0</v>
      </c>
      <c r="DD32" s="149">
        <f t="shared" si="149"/>
        <v>0</v>
      </c>
      <c r="DE32" s="152">
        <f t="shared" si="149"/>
        <v>0</v>
      </c>
      <c r="DF32" s="148">
        <f t="shared" si="149"/>
        <v>0</v>
      </c>
      <c r="DG32" s="150">
        <f t="shared" si="149"/>
        <v>0</v>
      </c>
      <c r="DH32" s="148">
        <f t="shared" si="149"/>
        <v>0</v>
      </c>
      <c r="DI32" s="134">
        <f t="shared" si="149"/>
        <v>0</v>
      </c>
      <c r="DJ32" s="148">
        <f t="shared" si="149"/>
        <v>0</v>
      </c>
      <c r="DK32" s="150">
        <f t="shared" si="149"/>
        <v>0</v>
      </c>
      <c r="DL32" s="148">
        <f t="shared" si="149"/>
        <v>0</v>
      </c>
      <c r="DM32" s="152">
        <f t="shared" si="149"/>
        <v>0</v>
      </c>
      <c r="DN32" s="148">
        <f t="shared" si="149"/>
        <v>0</v>
      </c>
      <c r="DO32" s="150">
        <f t="shared" si="149"/>
        <v>0</v>
      </c>
      <c r="DP32" s="148">
        <f t="shared" si="149"/>
        <v>0</v>
      </c>
      <c r="DQ32" s="134">
        <f t="shared" si="149"/>
        <v>0</v>
      </c>
      <c r="DR32" s="148">
        <f t="shared" si="149"/>
        <v>0</v>
      </c>
      <c r="DS32" s="150">
        <f t="shared" si="149"/>
        <v>0</v>
      </c>
      <c r="DT32" s="148">
        <f t="shared" si="149"/>
        <v>0</v>
      </c>
      <c r="DU32" s="152">
        <f t="shared" si="149"/>
        <v>260033228.37</v>
      </c>
      <c r="DV32" s="148">
        <f t="shared" si="149"/>
        <v>260033228.37</v>
      </c>
      <c r="DW32" s="150">
        <f t="shared" si="149"/>
        <v>0</v>
      </c>
      <c r="DX32" s="148">
        <f t="shared" si="149"/>
        <v>0</v>
      </c>
      <c r="DY32" s="134">
        <f t="shared" si="149"/>
        <v>181521985.75</v>
      </c>
      <c r="DZ32" s="148">
        <f t="shared" si="149"/>
        <v>181521985.75</v>
      </c>
      <c r="EA32" s="150">
        <f t="shared" si="149"/>
        <v>0</v>
      </c>
      <c r="EB32" s="148">
        <f t="shared" si="149"/>
        <v>0</v>
      </c>
      <c r="EC32" s="152">
        <f t="shared" si="149"/>
        <v>1404739120.51</v>
      </c>
      <c r="ED32" s="148">
        <f t="shared" si="149"/>
        <v>1404739120.51</v>
      </c>
      <c r="EE32" s="150">
        <f t="shared" si="149"/>
        <v>0</v>
      </c>
      <c r="EF32" s="148">
        <f t="shared" si="149"/>
        <v>0</v>
      </c>
      <c r="EG32" s="134">
        <f t="shared" si="149"/>
        <v>715988056.25999999</v>
      </c>
      <c r="EH32" s="148">
        <f t="shared" si="149"/>
        <v>715988056.25999999</v>
      </c>
      <c r="EI32" s="150">
        <f t="shared" si="149"/>
        <v>0</v>
      </c>
      <c r="EJ32" s="148">
        <f t="shared" si="149"/>
        <v>0</v>
      </c>
      <c r="EK32" s="152">
        <f t="shared" si="149"/>
        <v>0</v>
      </c>
      <c r="EL32" s="148">
        <f t="shared" si="149"/>
        <v>0</v>
      </c>
      <c r="EM32" s="150">
        <f t="shared" si="149"/>
        <v>0</v>
      </c>
      <c r="EN32" s="148">
        <f t="shared" si="149"/>
        <v>0</v>
      </c>
      <c r="EO32" s="134">
        <f t="shared" si="149"/>
        <v>0</v>
      </c>
      <c r="EP32" s="148">
        <f t="shared" si="149"/>
        <v>0</v>
      </c>
      <c r="EQ32" s="150">
        <f t="shared" si="149"/>
        <v>0</v>
      </c>
      <c r="ER32" s="148">
        <f t="shared" si="149"/>
        <v>0</v>
      </c>
      <c r="ES32" s="152">
        <f t="shared" si="149"/>
        <v>0</v>
      </c>
      <c r="ET32" s="148">
        <f t="shared" si="149"/>
        <v>0</v>
      </c>
      <c r="EU32" s="149">
        <f t="shared" si="149"/>
        <v>0</v>
      </c>
      <c r="EV32" s="149">
        <f t="shared" si="149"/>
        <v>0</v>
      </c>
      <c r="EW32" s="105">
        <f t="shared" si="149"/>
        <v>0</v>
      </c>
      <c r="EX32" s="147">
        <f t="shared" si="149"/>
        <v>0</v>
      </c>
      <c r="EY32" s="148">
        <f t="shared" si="149"/>
        <v>0</v>
      </c>
      <c r="EZ32" s="148">
        <f t="shared" si="149"/>
        <v>0</v>
      </c>
      <c r="FA32" s="153">
        <f t="shared" si="149"/>
        <v>0</v>
      </c>
      <c r="FB32" s="148">
        <f t="shared" si="149"/>
        <v>0</v>
      </c>
      <c r="FC32" s="149">
        <f t="shared" si="149"/>
        <v>0</v>
      </c>
      <c r="FD32" s="149">
        <f t="shared" si="149"/>
        <v>0</v>
      </c>
      <c r="FE32" s="105">
        <f t="shared" si="149"/>
        <v>0</v>
      </c>
      <c r="FF32" s="148">
        <f t="shared" si="149"/>
        <v>0</v>
      </c>
      <c r="FG32" s="149">
        <f t="shared" si="149"/>
        <v>0</v>
      </c>
      <c r="FH32" s="149">
        <f t="shared" si="149"/>
        <v>0</v>
      </c>
      <c r="FI32" s="105">
        <f t="shared" si="149"/>
        <v>2488300</v>
      </c>
      <c r="FJ32" s="147">
        <f t="shared" si="149"/>
        <v>2488300</v>
      </c>
      <c r="FK32" s="148">
        <f t="shared" si="149"/>
        <v>0</v>
      </c>
      <c r="FL32" s="149">
        <f t="shared" si="149"/>
        <v>0</v>
      </c>
      <c r="FM32" s="105">
        <f t="shared" si="149"/>
        <v>2488300</v>
      </c>
      <c r="FN32" s="147">
        <f t="shared" ref="FN32:IL32" si="150">SUM(FN30:FN31)</f>
        <v>2488300</v>
      </c>
      <c r="FO32" s="148">
        <f t="shared" si="150"/>
        <v>0</v>
      </c>
      <c r="FP32" s="148">
        <f t="shared" si="150"/>
        <v>0</v>
      </c>
      <c r="FQ32" s="154">
        <f t="shared" si="150"/>
        <v>0</v>
      </c>
      <c r="FR32" s="147">
        <f t="shared" si="150"/>
        <v>0</v>
      </c>
      <c r="FS32" s="148">
        <f t="shared" si="150"/>
        <v>0</v>
      </c>
      <c r="FT32" s="149">
        <f t="shared" si="150"/>
        <v>0</v>
      </c>
      <c r="FU32" s="105">
        <f t="shared" si="150"/>
        <v>0</v>
      </c>
      <c r="FV32" s="147">
        <f t="shared" si="150"/>
        <v>0</v>
      </c>
      <c r="FW32" s="148">
        <f t="shared" si="150"/>
        <v>0</v>
      </c>
      <c r="FX32" s="150">
        <f t="shared" si="150"/>
        <v>0</v>
      </c>
      <c r="FY32" s="152">
        <f t="shared" si="150"/>
        <v>2714716.01</v>
      </c>
      <c r="FZ32" s="147">
        <f t="shared" si="150"/>
        <v>0</v>
      </c>
      <c r="GA32" s="148">
        <f t="shared" si="150"/>
        <v>2714716.01</v>
      </c>
      <c r="GB32" s="149">
        <f t="shared" si="150"/>
        <v>0</v>
      </c>
      <c r="GC32" s="105">
        <f t="shared" si="150"/>
        <v>0</v>
      </c>
      <c r="GD32" s="147">
        <f t="shared" si="150"/>
        <v>0</v>
      </c>
      <c r="GE32" s="148">
        <f t="shared" si="150"/>
        <v>0</v>
      </c>
      <c r="GF32" s="150">
        <f t="shared" si="150"/>
        <v>0</v>
      </c>
      <c r="GG32" s="105">
        <f t="shared" si="150"/>
        <v>2142343.06</v>
      </c>
      <c r="GH32" s="149">
        <f t="shared" si="150"/>
        <v>2142343.06</v>
      </c>
      <c r="GI32" s="150">
        <f t="shared" si="150"/>
        <v>0</v>
      </c>
      <c r="GJ32" s="148">
        <f t="shared" si="150"/>
        <v>0</v>
      </c>
      <c r="GK32" s="105">
        <f t="shared" si="150"/>
        <v>0</v>
      </c>
      <c r="GL32" s="148">
        <f t="shared" si="150"/>
        <v>0</v>
      </c>
      <c r="GM32" s="150">
        <f t="shared" si="150"/>
        <v>0</v>
      </c>
      <c r="GN32" s="148">
        <f t="shared" si="150"/>
        <v>0</v>
      </c>
      <c r="GO32" s="152">
        <f t="shared" si="150"/>
        <v>0</v>
      </c>
      <c r="GP32" s="147">
        <f t="shared" si="150"/>
        <v>0</v>
      </c>
      <c r="GQ32" s="148">
        <f t="shared" si="150"/>
        <v>0</v>
      </c>
      <c r="GR32" s="149">
        <f t="shared" si="150"/>
        <v>0</v>
      </c>
      <c r="GS32" s="105">
        <f t="shared" si="150"/>
        <v>0</v>
      </c>
      <c r="GT32" s="147">
        <f t="shared" si="150"/>
        <v>0</v>
      </c>
      <c r="GU32" s="148">
        <f t="shared" si="150"/>
        <v>0</v>
      </c>
      <c r="GV32" s="149">
        <f t="shared" si="150"/>
        <v>0</v>
      </c>
      <c r="GW32" s="152">
        <f>SUM(GW30:GW31)</f>
        <v>0</v>
      </c>
      <c r="GX32" s="147">
        <f t="shared" ref="GX32:GZ32" si="151">SUM(GX30:GX31)</f>
        <v>0</v>
      </c>
      <c r="GY32" s="148">
        <f t="shared" si="151"/>
        <v>0</v>
      </c>
      <c r="GZ32" s="149">
        <f t="shared" si="151"/>
        <v>0</v>
      </c>
      <c r="HA32" s="132">
        <f>SUM(HA30:HA31)</f>
        <v>0</v>
      </c>
      <c r="HB32" s="148">
        <f t="shared" ref="HB32" si="152">SUM(HB30:HB31)</f>
        <v>0</v>
      </c>
      <c r="HC32" s="149">
        <f>SUM(HC30:HC31)</f>
        <v>0</v>
      </c>
      <c r="HD32" s="150">
        <f>SUM(HD30:HD31)</f>
        <v>0</v>
      </c>
      <c r="HE32" s="105">
        <f t="shared" ref="HE32:HT32" si="153">SUM(HE30:HE31)</f>
        <v>0</v>
      </c>
      <c r="HF32" s="147">
        <f t="shared" si="153"/>
        <v>0</v>
      </c>
      <c r="HG32" s="148">
        <f t="shared" si="153"/>
        <v>0</v>
      </c>
      <c r="HH32" s="149">
        <f t="shared" si="153"/>
        <v>0</v>
      </c>
      <c r="HI32" s="105">
        <f t="shared" si="153"/>
        <v>0</v>
      </c>
      <c r="HJ32" s="147">
        <f t="shared" si="153"/>
        <v>0</v>
      </c>
      <c r="HK32" s="148">
        <f t="shared" si="153"/>
        <v>0</v>
      </c>
      <c r="HL32" s="149">
        <f t="shared" si="153"/>
        <v>0</v>
      </c>
      <c r="HM32" s="105">
        <f t="shared" si="153"/>
        <v>1221580.9100000001</v>
      </c>
      <c r="HN32" s="147">
        <f t="shared" si="153"/>
        <v>1221580.9100000001</v>
      </c>
      <c r="HO32" s="148">
        <f t="shared" si="153"/>
        <v>0</v>
      </c>
      <c r="HP32" s="149">
        <f t="shared" si="153"/>
        <v>0</v>
      </c>
      <c r="HQ32" s="132">
        <f t="shared" si="153"/>
        <v>1221580.8999999999</v>
      </c>
      <c r="HR32" s="147">
        <f t="shared" si="153"/>
        <v>1221580.8999999999</v>
      </c>
      <c r="HS32" s="148">
        <f t="shared" si="153"/>
        <v>0</v>
      </c>
      <c r="HT32" s="148">
        <f t="shared" si="153"/>
        <v>0</v>
      </c>
      <c r="HU32" s="152">
        <f t="shared" si="150"/>
        <v>0</v>
      </c>
      <c r="HV32" s="147">
        <f t="shared" si="150"/>
        <v>0</v>
      </c>
      <c r="HW32" s="148">
        <f t="shared" si="150"/>
        <v>0</v>
      </c>
      <c r="HX32" s="149">
        <f t="shared" si="150"/>
        <v>0</v>
      </c>
      <c r="HY32" s="139">
        <f t="shared" si="150"/>
        <v>0</v>
      </c>
      <c r="HZ32" s="106">
        <f t="shared" si="150"/>
        <v>0</v>
      </c>
      <c r="IA32" s="150">
        <f t="shared" si="150"/>
        <v>0</v>
      </c>
      <c r="IB32" s="106">
        <f t="shared" si="150"/>
        <v>0</v>
      </c>
      <c r="IC32" s="152">
        <f t="shared" si="150"/>
        <v>168384500</v>
      </c>
      <c r="ID32" s="147">
        <f t="shared" si="150"/>
        <v>168384500</v>
      </c>
      <c r="IE32" s="148">
        <f t="shared" si="150"/>
        <v>0</v>
      </c>
      <c r="IF32" s="149">
        <f t="shared" si="150"/>
        <v>0</v>
      </c>
      <c r="IG32" s="132">
        <f t="shared" si="150"/>
        <v>119076909.65000001</v>
      </c>
      <c r="IH32" s="147">
        <f t="shared" si="150"/>
        <v>119076909.65000001</v>
      </c>
      <c r="II32" s="148">
        <f t="shared" si="150"/>
        <v>0</v>
      </c>
      <c r="IJ32" s="150">
        <f t="shared" si="150"/>
        <v>0</v>
      </c>
      <c r="IK32" s="105">
        <f t="shared" si="150"/>
        <v>0</v>
      </c>
      <c r="IL32" s="147">
        <f t="shared" si="150"/>
        <v>0</v>
      </c>
      <c r="IM32" s="148">
        <f t="shared" ref="IM32:KX32" si="154">SUM(IM30:IM31)</f>
        <v>0</v>
      </c>
      <c r="IN32" s="149">
        <f t="shared" si="154"/>
        <v>0</v>
      </c>
      <c r="IO32" s="132">
        <f t="shared" si="154"/>
        <v>0</v>
      </c>
      <c r="IP32" s="147">
        <f t="shared" si="154"/>
        <v>0</v>
      </c>
      <c r="IQ32" s="148">
        <f t="shared" si="154"/>
        <v>0</v>
      </c>
      <c r="IR32" s="149">
        <f t="shared" si="154"/>
        <v>0</v>
      </c>
      <c r="IS32" s="152">
        <f t="shared" si="154"/>
        <v>6625800</v>
      </c>
      <c r="IT32" s="106">
        <f t="shared" si="154"/>
        <v>6625800</v>
      </c>
      <c r="IU32" s="150">
        <f t="shared" si="154"/>
        <v>0</v>
      </c>
      <c r="IV32" s="106">
        <f t="shared" si="154"/>
        <v>0</v>
      </c>
      <c r="IW32" s="154">
        <f t="shared" si="154"/>
        <v>3117823.01</v>
      </c>
      <c r="IX32" s="148">
        <f t="shared" si="154"/>
        <v>3117823.01</v>
      </c>
      <c r="IY32" s="106">
        <f t="shared" si="154"/>
        <v>0</v>
      </c>
      <c r="IZ32" s="148">
        <f t="shared" si="154"/>
        <v>0</v>
      </c>
      <c r="JA32" s="152">
        <f t="shared" si="154"/>
        <v>0</v>
      </c>
      <c r="JB32" s="106">
        <f t="shared" si="154"/>
        <v>0</v>
      </c>
      <c r="JC32" s="150">
        <f t="shared" si="154"/>
        <v>0</v>
      </c>
      <c r="JD32" s="106">
        <f t="shared" si="154"/>
        <v>0</v>
      </c>
      <c r="JE32" s="134">
        <f t="shared" si="154"/>
        <v>0</v>
      </c>
      <c r="JF32" s="148">
        <f t="shared" si="154"/>
        <v>0</v>
      </c>
      <c r="JG32" s="150">
        <f t="shared" si="154"/>
        <v>0</v>
      </c>
      <c r="JH32" s="148">
        <f t="shared" si="154"/>
        <v>0</v>
      </c>
      <c r="JI32" s="152">
        <f t="shared" si="154"/>
        <v>0</v>
      </c>
      <c r="JJ32" s="106">
        <f t="shared" si="154"/>
        <v>0</v>
      </c>
      <c r="JK32" s="150">
        <f t="shared" si="154"/>
        <v>0</v>
      </c>
      <c r="JL32" s="106">
        <f t="shared" si="154"/>
        <v>0</v>
      </c>
      <c r="JM32" s="134">
        <f t="shared" si="154"/>
        <v>0</v>
      </c>
      <c r="JN32" s="148">
        <f t="shared" si="154"/>
        <v>0</v>
      </c>
      <c r="JO32" s="150">
        <f t="shared" si="154"/>
        <v>0</v>
      </c>
      <c r="JP32" s="148">
        <f t="shared" si="154"/>
        <v>0</v>
      </c>
      <c r="JQ32" s="152">
        <f t="shared" si="154"/>
        <v>402914800</v>
      </c>
      <c r="JR32" s="106">
        <f t="shared" si="154"/>
        <v>402914800</v>
      </c>
      <c r="JS32" s="150">
        <f t="shared" si="154"/>
        <v>0</v>
      </c>
      <c r="JT32" s="106">
        <f t="shared" si="154"/>
        <v>0</v>
      </c>
      <c r="JU32" s="134">
        <f t="shared" si="154"/>
        <v>379108805.88999999</v>
      </c>
      <c r="JV32" s="148">
        <f t="shared" si="154"/>
        <v>379108805.88999999</v>
      </c>
      <c r="JW32" s="150">
        <f t="shared" si="154"/>
        <v>0</v>
      </c>
      <c r="JX32" s="148">
        <f t="shared" si="154"/>
        <v>0</v>
      </c>
      <c r="JY32" s="105">
        <f t="shared" si="154"/>
        <v>0</v>
      </c>
      <c r="JZ32" s="147">
        <f t="shared" si="154"/>
        <v>0</v>
      </c>
      <c r="KA32" s="147">
        <f t="shared" si="154"/>
        <v>0</v>
      </c>
      <c r="KB32" s="148">
        <f t="shared" si="154"/>
        <v>0</v>
      </c>
      <c r="KC32" s="134">
        <f t="shared" si="154"/>
        <v>0</v>
      </c>
      <c r="KD32" s="106">
        <f t="shared" si="154"/>
        <v>0</v>
      </c>
      <c r="KE32" s="150">
        <f t="shared" si="154"/>
        <v>0</v>
      </c>
      <c r="KF32" s="106">
        <f t="shared" si="154"/>
        <v>0</v>
      </c>
      <c r="KG32" s="152">
        <f t="shared" si="154"/>
        <v>0</v>
      </c>
      <c r="KH32" s="148">
        <f t="shared" si="154"/>
        <v>0</v>
      </c>
      <c r="KI32" s="150">
        <f t="shared" si="154"/>
        <v>0</v>
      </c>
      <c r="KJ32" s="148">
        <f t="shared" si="154"/>
        <v>0</v>
      </c>
      <c r="KK32" s="153">
        <f t="shared" si="154"/>
        <v>0</v>
      </c>
      <c r="KL32" s="147">
        <f t="shared" si="154"/>
        <v>0</v>
      </c>
      <c r="KM32" s="148">
        <f t="shared" si="154"/>
        <v>0</v>
      </c>
      <c r="KN32" s="149">
        <f t="shared" si="154"/>
        <v>0</v>
      </c>
      <c r="KO32" s="152">
        <f t="shared" si="154"/>
        <v>0</v>
      </c>
      <c r="KP32" s="148">
        <f t="shared" si="154"/>
        <v>0</v>
      </c>
      <c r="KQ32" s="150">
        <f t="shared" si="154"/>
        <v>0</v>
      </c>
      <c r="KR32" s="148">
        <f t="shared" si="154"/>
        <v>0</v>
      </c>
      <c r="KS32" s="154">
        <f t="shared" si="154"/>
        <v>0</v>
      </c>
      <c r="KT32" s="148">
        <f t="shared" si="154"/>
        <v>0</v>
      </c>
      <c r="KU32" s="150">
        <f t="shared" si="154"/>
        <v>0</v>
      </c>
      <c r="KV32" s="148">
        <f t="shared" si="154"/>
        <v>0</v>
      </c>
      <c r="KW32" s="152">
        <f t="shared" si="154"/>
        <v>0</v>
      </c>
      <c r="KX32" s="147">
        <f t="shared" si="154"/>
        <v>0</v>
      </c>
      <c r="KY32" s="148">
        <f t="shared" ref="KY32:LD32" si="155">SUM(KY30:KY31)</f>
        <v>0</v>
      </c>
      <c r="KZ32" s="149">
        <f t="shared" si="155"/>
        <v>0</v>
      </c>
      <c r="LA32" s="105">
        <f t="shared" si="155"/>
        <v>0</v>
      </c>
      <c r="LB32" s="147">
        <f t="shared" si="155"/>
        <v>0</v>
      </c>
      <c r="LC32" s="148">
        <f t="shared" si="155"/>
        <v>0</v>
      </c>
      <c r="LD32" s="148">
        <f t="shared" si="155"/>
        <v>0</v>
      </c>
    </row>
    <row r="33" spans="1:316" ht="25.5" customHeight="1" x14ac:dyDescent="0.25">
      <c r="A33" s="155"/>
      <c r="B33" s="156"/>
      <c r="C33" s="157"/>
      <c r="D33" s="157"/>
      <c r="E33" s="157"/>
      <c r="F33" s="156"/>
      <c r="G33" s="157"/>
      <c r="H33" s="157"/>
      <c r="I33" s="157"/>
      <c r="J33" s="52"/>
      <c r="K33" s="53">
        <f>M33-'Федеральные  средства  по  МО'!N34-'Федеральные  средства  по  МО'!D34</f>
        <v>0</v>
      </c>
      <c r="L33" s="53">
        <f>Q33-'Федеральные  средства  по  МО'!O34-'Федеральные  средства  по  МО'!E34</f>
        <v>0</v>
      </c>
      <c r="M33" s="156"/>
      <c r="N33" s="157"/>
      <c r="O33" s="157"/>
      <c r="P33" s="157"/>
      <c r="Q33" s="156"/>
      <c r="R33" s="157"/>
      <c r="S33" s="157"/>
      <c r="T33" s="157"/>
      <c r="U33" s="158"/>
      <c r="V33" s="159"/>
      <c r="W33" s="157"/>
      <c r="X33" s="160"/>
      <c r="Y33" s="156"/>
      <c r="Z33" s="159"/>
      <c r="AA33" s="157"/>
      <c r="AB33" s="160"/>
      <c r="AC33" s="158"/>
      <c r="AD33" s="159"/>
      <c r="AE33" s="157"/>
      <c r="AF33" s="160"/>
      <c r="AG33" s="1171"/>
      <c r="AH33" s="159"/>
      <c r="AI33" s="157"/>
      <c r="AJ33" s="157"/>
      <c r="AK33" s="158"/>
      <c r="AL33" s="159"/>
      <c r="AM33" s="157"/>
      <c r="AN33" s="160"/>
      <c r="AO33" s="156"/>
      <c r="AP33" s="159"/>
      <c r="AQ33" s="157"/>
      <c r="AR33" s="157"/>
      <c r="AS33" s="161"/>
      <c r="AT33" s="159"/>
      <c r="AU33" s="157"/>
      <c r="AV33" s="160"/>
      <c r="AW33" s="156"/>
      <c r="AX33" s="159"/>
      <c r="AY33" s="157"/>
      <c r="AZ33" s="162"/>
      <c r="BA33" s="158"/>
      <c r="BB33" s="159"/>
      <c r="BC33" s="157"/>
      <c r="BD33" s="160"/>
      <c r="BE33" s="156"/>
      <c r="BF33" s="159"/>
      <c r="BG33" s="157"/>
      <c r="BH33" s="160"/>
      <c r="BI33" s="158"/>
      <c r="BJ33" s="157"/>
      <c r="BK33" s="160"/>
      <c r="BL33" s="160"/>
      <c r="BM33" s="156"/>
      <c r="BN33" s="157"/>
      <c r="BO33" s="157"/>
      <c r="BP33" s="160"/>
      <c r="BQ33" s="163"/>
      <c r="BR33" s="157"/>
      <c r="BS33" s="157"/>
      <c r="BT33" s="160"/>
      <c r="BU33" s="164"/>
      <c r="BV33" s="157"/>
      <c r="BW33" s="157"/>
      <c r="BX33" s="160"/>
      <c r="BY33" s="165"/>
      <c r="BZ33" s="157"/>
      <c r="CA33" s="157"/>
      <c r="CB33" s="160"/>
      <c r="CC33" s="166"/>
      <c r="CD33" s="157"/>
      <c r="CE33" s="157"/>
      <c r="CF33" s="160"/>
      <c r="CG33" s="165"/>
      <c r="CH33" s="159"/>
      <c r="CI33" s="157"/>
      <c r="CJ33" s="160"/>
      <c r="CK33" s="166"/>
      <c r="CL33" s="159"/>
      <c r="CM33" s="157"/>
      <c r="CN33" s="160"/>
      <c r="CO33" s="165"/>
      <c r="CP33" s="159"/>
      <c r="CQ33" s="157"/>
      <c r="CR33" s="160"/>
      <c r="CS33" s="166"/>
      <c r="CT33" s="159"/>
      <c r="CU33" s="157"/>
      <c r="CV33" s="160"/>
      <c r="CW33" s="163"/>
      <c r="CX33" s="159"/>
      <c r="CY33" s="157"/>
      <c r="CZ33" s="160"/>
      <c r="DA33" s="166"/>
      <c r="DB33" s="159"/>
      <c r="DC33" s="157"/>
      <c r="DD33" s="160"/>
      <c r="DE33" s="165"/>
      <c r="DF33" s="157"/>
      <c r="DG33" s="162"/>
      <c r="DH33" s="157"/>
      <c r="DI33" s="167"/>
      <c r="DJ33" s="157"/>
      <c r="DK33" s="162"/>
      <c r="DL33" s="157"/>
      <c r="DM33" s="165"/>
      <c r="DN33" s="157"/>
      <c r="DO33" s="162"/>
      <c r="DP33" s="157"/>
      <c r="DQ33" s="167"/>
      <c r="DR33" s="157"/>
      <c r="DS33" s="162"/>
      <c r="DT33" s="157"/>
      <c r="DU33" s="165"/>
      <c r="DV33" s="157"/>
      <c r="DW33" s="162"/>
      <c r="DX33" s="157"/>
      <c r="DY33" s="167"/>
      <c r="DZ33" s="157"/>
      <c r="EA33" s="162"/>
      <c r="EB33" s="157"/>
      <c r="EC33" s="165"/>
      <c r="ED33" s="157"/>
      <c r="EE33" s="162"/>
      <c r="EF33" s="157"/>
      <c r="EG33" s="167"/>
      <c r="EH33" s="157"/>
      <c r="EI33" s="162"/>
      <c r="EJ33" s="157"/>
      <c r="EK33" s="165"/>
      <c r="EL33" s="157"/>
      <c r="EM33" s="162"/>
      <c r="EN33" s="157"/>
      <c r="EO33" s="167"/>
      <c r="EP33" s="157"/>
      <c r="EQ33" s="162"/>
      <c r="ER33" s="157"/>
      <c r="ES33" s="165"/>
      <c r="ET33" s="157"/>
      <c r="EU33" s="160"/>
      <c r="EV33" s="160"/>
      <c r="EW33" s="166"/>
      <c r="EX33" s="159"/>
      <c r="EY33" s="157"/>
      <c r="EZ33" s="157"/>
      <c r="FA33" s="163"/>
      <c r="FB33" s="157"/>
      <c r="FC33" s="160"/>
      <c r="FD33" s="160"/>
      <c r="FE33" s="166"/>
      <c r="FF33" s="157"/>
      <c r="FG33" s="160"/>
      <c r="FH33" s="160"/>
      <c r="FI33" s="165"/>
      <c r="FJ33" s="159"/>
      <c r="FK33" s="157"/>
      <c r="FL33" s="160"/>
      <c r="FM33" s="166"/>
      <c r="FN33" s="159"/>
      <c r="FO33" s="157"/>
      <c r="FP33" s="157"/>
      <c r="FQ33" s="163"/>
      <c r="FR33" s="159"/>
      <c r="FS33" s="157"/>
      <c r="FT33" s="160"/>
      <c r="FU33" s="166"/>
      <c r="FV33" s="159"/>
      <c r="FW33" s="157"/>
      <c r="FX33" s="162"/>
      <c r="FY33" s="165"/>
      <c r="FZ33" s="159"/>
      <c r="GA33" s="157"/>
      <c r="GB33" s="160"/>
      <c r="GC33" s="166"/>
      <c r="GD33" s="159"/>
      <c r="GE33" s="157"/>
      <c r="GF33" s="160"/>
      <c r="GG33" s="165"/>
      <c r="GH33" s="157"/>
      <c r="GI33" s="162"/>
      <c r="GJ33" s="157"/>
      <c r="GK33" s="167"/>
      <c r="GL33" s="157"/>
      <c r="GM33" s="162"/>
      <c r="GN33" s="157"/>
      <c r="GO33" s="165"/>
      <c r="GP33" s="159"/>
      <c r="GQ33" s="157"/>
      <c r="GR33" s="160"/>
      <c r="GS33" s="166"/>
      <c r="GT33" s="159"/>
      <c r="GU33" s="157"/>
      <c r="GV33" s="160"/>
      <c r="GW33" s="163"/>
      <c r="GX33" s="159"/>
      <c r="GY33" s="157"/>
      <c r="GZ33" s="160"/>
      <c r="HA33" s="166"/>
      <c r="HB33" s="157"/>
      <c r="HC33" s="160"/>
      <c r="HD33" s="162"/>
      <c r="HE33" s="168"/>
      <c r="HF33" s="159"/>
      <c r="HG33" s="157"/>
      <c r="HH33" s="160"/>
      <c r="HI33" s="166"/>
      <c r="HJ33" s="159"/>
      <c r="HK33" s="157"/>
      <c r="HL33" s="160"/>
      <c r="HM33" s="165"/>
      <c r="HN33" s="159"/>
      <c r="HO33" s="157"/>
      <c r="HP33" s="160"/>
      <c r="HQ33" s="166"/>
      <c r="HR33" s="159"/>
      <c r="HS33" s="157"/>
      <c r="HT33" s="157"/>
      <c r="HU33" s="165"/>
      <c r="HV33" s="159"/>
      <c r="HW33" s="157"/>
      <c r="HX33" s="160"/>
      <c r="HY33" s="166"/>
      <c r="HZ33" s="159"/>
      <c r="IA33" s="157"/>
      <c r="IB33" s="160"/>
      <c r="IC33" s="165"/>
      <c r="ID33" s="159"/>
      <c r="IE33" s="157"/>
      <c r="IF33" s="160"/>
      <c r="IG33" s="166"/>
      <c r="IH33" s="159"/>
      <c r="II33" s="157"/>
      <c r="IJ33" s="162"/>
      <c r="IK33" s="168"/>
      <c r="IL33" s="159"/>
      <c r="IM33" s="157"/>
      <c r="IN33" s="160"/>
      <c r="IO33" s="166"/>
      <c r="IP33" s="159"/>
      <c r="IQ33" s="157"/>
      <c r="IR33" s="160"/>
      <c r="IS33" s="165"/>
      <c r="IT33" s="157"/>
      <c r="IU33" s="162"/>
      <c r="IV33" s="157"/>
      <c r="IW33" s="167"/>
      <c r="IX33" s="157"/>
      <c r="IY33" s="162"/>
      <c r="IZ33" s="157"/>
      <c r="JA33" s="165"/>
      <c r="JB33" s="157"/>
      <c r="JC33" s="162"/>
      <c r="JD33" s="157"/>
      <c r="JE33" s="167"/>
      <c r="JF33" s="157"/>
      <c r="JG33" s="162"/>
      <c r="JH33" s="157"/>
      <c r="JI33" s="165"/>
      <c r="JJ33" s="157"/>
      <c r="JK33" s="162"/>
      <c r="JL33" s="157"/>
      <c r="JM33" s="167"/>
      <c r="JN33" s="157"/>
      <c r="JO33" s="162"/>
      <c r="JP33" s="157"/>
      <c r="JQ33" s="165"/>
      <c r="JR33" s="157"/>
      <c r="JS33" s="162"/>
      <c r="JT33" s="157"/>
      <c r="JU33" s="167"/>
      <c r="JV33" s="157"/>
      <c r="JW33" s="162"/>
      <c r="JX33" s="157"/>
      <c r="JY33" s="168"/>
      <c r="JZ33" s="159"/>
      <c r="KA33" s="159"/>
      <c r="KB33" s="157"/>
      <c r="KC33" s="169"/>
      <c r="KD33" s="159"/>
      <c r="KE33" s="157"/>
      <c r="KF33" s="160"/>
      <c r="KG33" s="165"/>
      <c r="KH33" s="157"/>
      <c r="KI33" s="162"/>
      <c r="KJ33" s="157"/>
      <c r="KK33" s="169"/>
      <c r="KL33" s="159"/>
      <c r="KM33" s="157"/>
      <c r="KN33" s="160"/>
      <c r="KO33" s="165"/>
      <c r="KP33" s="157"/>
      <c r="KQ33" s="162"/>
      <c r="KR33" s="157"/>
      <c r="KS33" s="167"/>
      <c r="KT33" s="157"/>
      <c r="KU33" s="162"/>
      <c r="KV33" s="157"/>
      <c r="KW33" s="165"/>
      <c r="KX33" s="159"/>
      <c r="KY33" s="157"/>
      <c r="KZ33" s="160"/>
      <c r="LA33" s="166"/>
      <c r="LB33" s="159"/>
      <c r="LC33" s="157"/>
      <c r="LD33" s="157"/>
    </row>
    <row r="34" spans="1:316" ht="25.5" customHeight="1" thickBot="1" x14ac:dyDescent="0.3">
      <c r="A34" s="88"/>
      <c r="B34" s="170"/>
      <c r="C34" s="171"/>
      <c r="D34" s="171"/>
      <c r="E34" s="171"/>
      <c r="F34" s="170"/>
      <c r="G34" s="171"/>
      <c r="H34" s="171"/>
      <c r="I34" s="171"/>
      <c r="J34" s="52"/>
      <c r="K34" s="53">
        <f>M34-'Федеральные  средства  по  МО'!N35-'Федеральные  средства  по  МО'!D35</f>
        <v>0</v>
      </c>
      <c r="L34" s="53">
        <f>Q34-'Федеральные  средства  по  МО'!O35-'Федеральные  средства  по  МО'!E35</f>
        <v>0</v>
      </c>
      <c r="M34" s="170"/>
      <c r="N34" s="171"/>
      <c r="O34" s="171"/>
      <c r="P34" s="171"/>
      <c r="Q34" s="170"/>
      <c r="R34" s="171"/>
      <c r="S34" s="171"/>
      <c r="T34" s="171"/>
      <c r="U34" s="172"/>
      <c r="V34" s="173"/>
      <c r="W34" s="171"/>
      <c r="X34" s="174"/>
      <c r="Y34" s="170"/>
      <c r="Z34" s="173"/>
      <c r="AA34" s="171"/>
      <c r="AB34" s="174"/>
      <c r="AC34" s="172"/>
      <c r="AD34" s="173"/>
      <c r="AE34" s="171"/>
      <c r="AF34" s="174"/>
      <c r="AG34" s="170"/>
      <c r="AH34" s="173"/>
      <c r="AI34" s="171"/>
      <c r="AJ34" s="171"/>
      <c r="AK34" s="172"/>
      <c r="AL34" s="173"/>
      <c r="AM34" s="171"/>
      <c r="AN34" s="174"/>
      <c r="AO34" s="170"/>
      <c r="AP34" s="173"/>
      <c r="AQ34" s="171"/>
      <c r="AR34" s="171"/>
      <c r="AS34" s="175"/>
      <c r="AT34" s="173"/>
      <c r="AU34" s="171"/>
      <c r="AV34" s="174"/>
      <c r="AW34" s="170"/>
      <c r="AX34" s="173"/>
      <c r="AY34" s="171"/>
      <c r="AZ34" s="176"/>
      <c r="BA34" s="172"/>
      <c r="BB34" s="173"/>
      <c r="BC34" s="171"/>
      <c r="BD34" s="174"/>
      <c r="BE34" s="170"/>
      <c r="BF34" s="173"/>
      <c r="BG34" s="171"/>
      <c r="BH34" s="174"/>
      <c r="BI34" s="172"/>
      <c r="BJ34" s="171"/>
      <c r="BK34" s="174"/>
      <c r="BL34" s="174"/>
      <c r="BM34" s="170"/>
      <c r="BN34" s="171"/>
      <c r="BO34" s="171"/>
      <c r="BP34" s="174"/>
      <c r="BQ34" s="177"/>
      <c r="BR34" s="171"/>
      <c r="BS34" s="171"/>
      <c r="BT34" s="174"/>
      <c r="BU34" s="178"/>
      <c r="BV34" s="171"/>
      <c r="BW34" s="171"/>
      <c r="BX34" s="174"/>
      <c r="BY34" s="178"/>
      <c r="BZ34" s="171"/>
      <c r="CA34" s="171"/>
      <c r="CB34" s="174"/>
      <c r="CC34" s="179"/>
      <c r="CD34" s="171"/>
      <c r="CE34" s="171"/>
      <c r="CF34" s="174"/>
      <c r="CG34" s="178"/>
      <c r="CH34" s="173"/>
      <c r="CI34" s="171"/>
      <c r="CJ34" s="174"/>
      <c r="CK34" s="179"/>
      <c r="CL34" s="173"/>
      <c r="CM34" s="171"/>
      <c r="CN34" s="174"/>
      <c r="CO34" s="178"/>
      <c r="CP34" s="173"/>
      <c r="CQ34" s="171"/>
      <c r="CR34" s="174"/>
      <c r="CS34" s="179"/>
      <c r="CT34" s="173"/>
      <c r="CU34" s="171"/>
      <c r="CV34" s="174"/>
      <c r="CW34" s="177"/>
      <c r="CX34" s="173"/>
      <c r="CY34" s="171"/>
      <c r="CZ34" s="174"/>
      <c r="DA34" s="179"/>
      <c r="DB34" s="173"/>
      <c r="DC34" s="171"/>
      <c r="DD34" s="174"/>
      <c r="DE34" s="178"/>
      <c r="DF34" s="171"/>
      <c r="DG34" s="176"/>
      <c r="DH34" s="171"/>
      <c r="DI34" s="177"/>
      <c r="DJ34" s="171"/>
      <c r="DK34" s="176"/>
      <c r="DL34" s="171"/>
      <c r="DM34" s="178"/>
      <c r="DN34" s="171"/>
      <c r="DO34" s="176"/>
      <c r="DP34" s="171"/>
      <c r="DQ34" s="177"/>
      <c r="DR34" s="171"/>
      <c r="DS34" s="176"/>
      <c r="DT34" s="171"/>
      <c r="DU34" s="178"/>
      <c r="DV34" s="171"/>
      <c r="DW34" s="176"/>
      <c r="DX34" s="171"/>
      <c r="DY34" s="177"/>
      <c r="DZ34" s="171"/>
      <c r="EA34" s="176"/>
      <c r="EB34" s="171"/>
      <c r="EC34" s="178"/>
      <c r="ED34" s="171"/>
      <c r="EE34" s="176"/>
      <c r="EF34" s="171"/>
      <c r="EG34" s="177"/>
      <c r="EH34" s="171"/>
      <c r="EI34" s="176"/>
      <c r="EJ34" s="171"/>
      <c r="EK34" s="178"/>
      <c r="EL34" s="171"/>
      <c r="EM34" s="176"/>
      <c r="EN34" s="171"/>
      <c r="EO34" s="177"/>
      <c r="EP34" s="171"/>
      <c r="EQ34" s="176"/>
      <c r="ER34" s="171"/>
      <c r="ES34" s="178"/>
      <c r="ET34" s="171"/>
      <c r="EU34" s="174"/>
      <c r="EV34" s="174"/>
      <c r="EW34" s="179"/>
      <c r="EX34" s="173"/>
      <c r="EY34" s="171"/>
      <c r="EZ34" s="171"/>
      <c r="FA34" s="177"/>
      <c r="FB34" s="171"/>
      <c r="FC34" s="174"/>
      <c r="FD34" s="174"/>
      <c r="FE34" s="179"/>
      <c r="FF34" s="171"/>
      <c r="FG34" s="174"/>
      <c r="FH34" s="174"/>
      <c r="FI34" s="178"/>
      <c r="FJ34" s="173"/>
      <c r="FK34" s="171"/>
      <c r="FL34" s="174"/>
      <c r="FM34" s="179"/>
      <c r="FN34" s="173"/>
      <c r="FO34" s="171"/>
      <c r="FP34" s="171"/>
      <c r="FQ34" s="177"/>
      <c r="FR34" s="173"/>
      <c r="FS34" s="171"/>
      <c r="FT34" s="174"/>
      <c r="FU34" s="179"/>
      <c r="FV34" s="173"/>
      <c r="FW34" s="171"/>
      <c r="FX34" s="176"/>
      <c r="FY34" s="178"/>
      <c r="FZ34" s="173"/>
      <c r="GA34" s="171"/>
      <c r="GB34" s="174"/>
      <c r="GC34" s="179"/>
      <c r="GD34" s="173"/>
      <c r="GE34" s="171"/>
      <c r="GF34" s="174"/>
      <c r="GG34" s="178"/>
      <c r="GH34" s="171"/>
      <c r="GI34" s="176"/>
      <c r="GJ34" s="171"/>
      <c r="GK34" s="177"/>
      <c r="GL34" s="171"/>
      <c r="GM34" s="176"/>
      <c r="GN34" s="171"/>
      <c r="GO34" s="178"/>
      <c r="GP34" s="173"/>
      <c r="GQ34" s="171"/>
      <c r="GR34" s="174"/>
      <c r="GS34" s="179"/>
      <c r="GT34" s="173"/>
      <c r="GU34" s="171"/>
      <c r="GV34" s="174"/>
      <c r="GW34" s="177"/>
      <c r="GX34" s="173"/>
      <c r="GY34" s="171"/>
      <c r="GZ34" s="174"/>
      <c r="HA34" s="179"/>
      <c r="HB34" s="171"/>
      <c r="HC34" s="174"/>
      <c r="HD34" s="176"/>
      <c r="HE34" s="179"/>
      <c r="HF34" s="173"/>
      <c r="HG34" s="171"/>
      <c r="HH34" s="174"/>
      <c r="HI34" s="179"/>
      <c r="HJ34" s="173"/>
      <c r="HK34" s="171"/>
      <c r="HL34" s="174"/>
      <c r="HM34" s="178"/>
      <c r="HN34" s="173"/>
      <c r="HO34" s="171"/>
      <c r="HP34" s="174"/>
      <c r="HQ34" s="179"/>
      <c r="HR34" s="173"/>
      <c r="HS34" s="171"/>
      <c r="HT34" s="171"/>
      <c r="HU34" s="178"/>
      <c r="HV34" s="173"/>
      <c r="HW34" s="171"/>
      <c r="HX34" s="174"/>
      <c r="HY34" s="179"/>
      <c r="HZ34" s="173"/>
      <c r="IA34" s="171"/>
      <c r="IB34" s="174"/>
      <c r="IC34" s="178"/>
      <c r="ID34" s="173"/>
      <c r="IE34" s="171"/>
      <c r="IF34" s="174"/>
      <c r="IG34" s="179"/>
      <c r="IH34" s="173"/>
      <c r="II34" s="171"/>
      <c r="IJ34" s="176"/>
      <c r="IK34" s="179"/>
      <c r="IL34" s="173"/>
      <c r="IM34" s="171"/>
      <c r="IN34" s="174"/>
      <c r="IO34" s="179"/>
      <c r="IP34" s="173"/>
      <c r="IQ34" s="171"/>
      <c r="IR34" s="174"/>
      <c r="IS34" s="178"/>
      <c r="IT34" s="171"/>
      <c r="IU34" s="176"/>
      <c r="IV34" s="171"/>
      <c r="IW34" s="177"/>
      <c r="IX34" s="171"/>
      <c r="IY34" s="176"/>
      <c r="IZ34" s="171"/>
      <c r="JA34" s="178"/>
      <c r="JB34" s="171"/>
      <c r="JC34" s="176"/>
      <c r="JD34" s="171"/>
      <c r="JE34" s="177"/>
      <c r="JF34" s="171"/>
      <c r="JG34" s="176"/>
      <c r="JH34" s="171"/>
      <c r="JI34" s="178"/>
      <c r="JJ34" s="171"/>
      <c r="JK34" s="176"/>
      <c r="JL34" s="171"/>
      <c r="JM34" s="177"/>
      <c r="JN34" s="171"/>
      <c r="JO34" s="176"/>
      <c r="JP34" s="171"/>
      <c r="JQ34" s="178"/>
      <c r="JR34" s="171"/>
      <c r="JS34" s="176"/>
      <c r="JT34" s="171"/>
      <c r="JU34" s="177"/>
      <c r="JV34" s="171"/>
      <c r="JW34" s="176"/>
      <c r="JX34" s="171"/>
      <c r="JY34" s="179"/>
      <c r="JZ34" s="173"/>
      <c r="KA34" s="173"/>
      <c r="KB34" s="171"/>
      <c r="KC34" s="180"/>
      <c r="KD34" s="173"/>
      <c r="KE34" s="171"/>
      <c r="KF34" s="174"/>
      <c r="KG34" s="178"/>
      <c r="KH34" s="171"/>
      <c r="KI34" s="176"/>
      <c r="KJ34" s="171"/>
      <c r="KK34" s="180"/>
      <c r="KL34" s="173"/>
      <c r="KM34" s="171"/>
      <c r="KN34" s="174"/>
      <c r="KO34" s="178"/>
      <c r="KP34" s="171"/>
      <c r="KQ34" s="176"/>
      <c r="KR34" s="171"/>
      <c r="KS34" s="177"/>
      <c r="KT34" s="171"/>
      <c r="KU34" s="176"/>
      <c r="KV34" s="171"/>
      <c r="KW34" s="178"/>
      <c r="KX34" s="173"/>
      <c r="KY34" s="171"/>
      <c r="KZ34" s="174"/>
      <c r="LA34" s="179"/>
      <c r="LB34" s="173"/>
      <c r="LC34" s="171"/>
      <c r="LD34" s="171"/>
    </row>
    <row r="35" spans="1:316" ht="25.5" customHeight="1" thickBot="1" x14ac:dyDescent="0.3">
      <c r="A35" s="104" t="s">
        <v>339</v>
      </c>
      <c r="B35" s="181">
        <f t="shared" ref="B35:F35" si="156">B28+B32</f>
        <v>6938390768.6499996</v>
      </c>
      <c r="C35" s="182">
        <f t="shared" si="156"/>
        <v>6342910862.499999</v>
      </c>
      <c r="D35" s="182">
        <f t="shared" si="156"/>
        <v>119415984.25000001</v>
      </c>
      <c r="E35" s="182">
        <f t="shared" si="156"/>
        <v>476063921.89999998</v>
      </c>
      <c r="F35" s="181">
        <f t="shared" si="156"/>
        <v>4290292373.6899996</v>
      </c>
      <c r="G35" s="182">
        <f t="shared" ref="G35:I35" si="157">G28+G32</f>
        <v>3953792852.2799997</v>
      </c>
      <c r="H35" s="182">
        <f t="shared" si="157"/>
        <v>57107010.840000011</v>
      </c>
      <c r="I35" s="182">
        <f t="shared" si="157"/>
        <v>279392510.56999999</v>
      </c>
      <c r="J35" s="52"/>
      <c r="K35" s="53">
        <f>M35-'Федеральные  средства  по  МО'!N36-'Федеральные  средства  по  МО'!D36</f>
        <v>0</v>
      </c>
      <c r="L35" s="53">
        <f>Q35-'Федеральные  средства  по  МО'!O36-'Федеральные  средства  по  МО'!E36</f>
        <v>5.3644180297851563E-7</v>
      </c>
      <c r="M35" s="181">
        <f t="shared" ref="M35:BP35" si="158">M28+M32</f>
        <v>8302061912.539999</v>
      </c>
      <c r="N35" s="182">
        <f t="shared" si="158"/>
        <v>7562021592.2799988</v>
      </c>
      <c r="O35" s="182">
        <f t="shared" si="158"/>
        <v>119415984.25000001</v>
      </c>
      <c r="P35" s="182">
        <f t="shared" si="158"/>
        <v>476063921.89999998</v>
      </c>
      <c r="Q35" s="181">
        <f t="shared" si="158"/>
        <v>4327866705.3800001</v>
      </c>
      <c r="R35" s="182">
        <f t="shared" si="158"/>
        <v>3991367183.9700003</v>
      </c>
      <c r="S35" s="182">
        <f t="shared" si="158"/>
        <v>57107010.840000011</v>
      </c>
      <c r="T35" s="182">
        <f t="shared" si="158"/>
        <v>279392510.56999999</v>
      </c>
      <c r="U35" s="183">
        <f t="shared" si="158"/>
        <v>0</v>
      </c>
      <c r="V35" s="184">
        <f t="shared" si="158"/>
        <v>0</v>
      </c>
      <c r="W35" s="185">
        <f t="shared" si="158"/>
        <v>0</v>
      </c>
      <c r="X35" s="186">
        <f t="shared" si="158"/>
        <v>0</v>
      </c>
      <c r="Y35" s="187">
        <f t="shared" si="158"/>
        <v>0</v>
      </c>
      <c r="Z35" s="184">
        <f t="shared" si="158"/>
        <v>0</v>
      </c>
      <c r="AA35" s="185">
        <f t="shared" si="158"/>
        <v>0</v>
      </c>
      <c r="AB35" s="186">
        <f t="shared" si="158"/>
        <v>0</v>
      </c>
      <c r="AC35" s="183">
        <f t="shared" ref="AC35:AJ35" si="159">AC28+AC32</f>
        <v>903434729.78000021</v>
      </c>
      <c r="AD35" s="184">
        <f t="shared" si="159"/>
        <v>903434729.78000021</v>
      </c>
      <c r="AE35" s="185">
        <f t="shared" si="159"/>
        <v>0</v>
      </c>
      <c r="AF35" s="186">
        <f t="shared" si="159"/>
        <v>0</v>
      </c>
      <c r="AG35" s="187">
        <f t="shared" si="159"/>
        <v>0</v>
      </c>
      <c r="AH35" s="184">
        <f t="shared" si="159"/>
        <v>0</v>
      </c>
      <c r="AI35" s="185">
        <f t="shared" si="159"/>
        <v>0</v>
      </c>
      <c r="AJ35" s="185">
        <f t="shared" si="159"/>
        <v>0</v>
      </c>
      <c r="AK35" s="183">
        <f t="shared" si="158"/>
        <v>315676000</v>
      </c>
      <c r="AL35" s="184">
        <f t="shared" si="158"/>
        <v>315676000</v>
      </c>
      <c r="AM35" s="185">
        <f t="shared" si="158"/>
        <v>0</v>
      </c>
      <c r="AN35" s="186">
        <f t="shared" si="158"/>
        <v>0</v>
      </c>
      <c r="AO35" s="187">
        <f t="shared" si="158"/>
        <v>37574331.689999998</v>
      </c>
      <c r="AP35" s="184">
        <f t="shared" si="158"/>
        <v>37574331.689999998</v>
      </c>
      <c r="AQ35" s="185">
        <f t="shared" si="158"/>
        <v>0</v>
      </c>
      <c r="AR35" s="185">
        <f t="shared" si="158"/>
        <v>0</v>
      </c>
      <c r="AS35" s="188">
        <f t="shared" si="158"/>
        <v>22014164.57</v>
      </c>
      <c r="AT35" s="184">
        <f t="shared" si="158"/>
        <v>22014164.57</v>
      </c>
      <c r="AU35" s="185">
        <f t="shared" si="158"/>
        <v>0</v>
      </c>
      <c r="AV35" s="186">
        <f t="shared" si="158"/>
        <v>0</v>
      </c>
      <c r="AW35" s="187">
        <f t="shared" si="158"/>
        <v>6326925.6400000006</v>
      </c>
      <c r="AX35" s="184">
        <f t="shared" si="158"/>
        <v>6326925.6400000006</v>
      </c>
      <c r="AY35" s="185">
        <f t="shared" si="158"/>
        <v>0</v>
      </c>
      <c r="AZ35" s="189">
        <f t="shared" si="158"/>
        <v>0</v>
      </c>
      <c r="BA35" s="183">
        <f t="shared" si="158"/>
        <v>1011540300</v>
      </c>
      <c r="BB35" s="184">
        <f t="shared" si="158"/>
        <v>995702200</v>
      </c>
      <c r="BC35" s="185">
        <f t="shared" si="158"/>
        <v>0</v>
      </c>
      <c r="BD35" s="186">
        <f t="shared" si="158"/>
        <v>15838100</v>
      </c>
      <c r="BE35" s="187">
        <f t="shared" si="158"/>
        <v>377606898.44999999</v>
      </c>
      <c r="BF35" s="184">
        <f t="shared" si="158"/>
        <v>373893568.56999999</v>
      </c>
      <c r="BG35" s="185">
        <f t="shared" si="158"/>
        <v>0</v>
      </c>
      <c r="BH35" s="186">
        <f t="shared" si="158"/>
        <v>3713329.88</v>
      </c>
      <c r="BI35" s="183">
        <f t="shared" si="158"/>
        <v>75345743.200000003</v>
      </c>
      <c r="BJ35" s="185">
        <f t="shared" si="158"/>
        <v>75345743.200000003</v>
      </c>
      <c r="BK35" s="186">
        <f t="shared" si="158"/>
        <v>0</v>
      </c>
      <c r="BL35" s="186">
        <f t="shared" si="158"/>
        <v>0</v>
      </c>
      <c r="BM35" s="187">
        <f t="shared" si="158"/>
        <v>66279834.93</v>
      </c>
      <c r="BN35" s="185">
        <f t="shared" si="158"/>
        <v>66279834.93</v>
      </c>
      <c r="BO35" s="185">
        <f t="shared" si="158"/>
        <v>0</v>
      </c>
      <c r="BP35" s="186">
        <f t="shared" si="158"/>
        <v>0</v>
      </c>
      <c r="BQ35" s="190">
        <f>BQ28+BQ32</f>
        <v>5982800</v>
      </c>
      <c r="BR35" s="185">
        <f t="shared" ref="BR35:BT35" si="160">BR28+BR32</f>
        <v>5982800</v>
      </c>
      <c r="BS35" s="185">
        <f t="shared" si="160"/>
        <v>0</v>
      </c>
      <c r="BT35" s="186">
        <f t="shared" si="160"/>
        <v>0</v>
      </c>
      <c r="BU35" s="191">
        <f>BU28+BU32</f>
        <v>4526356.16</v>
      </c>
      <c r="BV35" s="185">
        <f t="shared" ref="BV35:CV35" si="161">BV28+BV32</f>
        <v>4526356.16</v>
      </c>
      <c r="BW35" s="185">
        <f t="shared" si="161"/>
        <v>0</v>
      </c>
      <c r="BX35" s="186">
        <f t="shared" si="161"/>
        <v>0</v>
      </c>
      <c r="BY35" s="191">
        <f t="shared" si="161"/>
        <v>0</v>
      </c>
      <c r="BZ35" s="185">
        <f t="shared" si="161"/>
        <v>0</v>
      </c>
      <c r="CA35" s="185">
        <f t="shared" si="161"/>
        <v>0</v>
      </c>
      <c r="CB35" s="186">
        <f t="shared" si="161"/>
        <v>0</v>
      </c>
      <c r="CC35" s="192">
        <f t="shared" si="161"/>
        <v>0</v>
      </c>
      <c r="CD35" s="185">
        <f t="shared" si="161"/>
        <v>0</v>
      </c>
      <c r="CE35" s="185">
        <f t="shared" si="161"/>
        <v>0</v>
      </c>
      <c r="CF35" s="186">
        <f t="shared" si="161"/>
        <v>0</v>
      </c>
      <c r="CG35" s="191">
        <f t="shared" si="161"/>
        <v>844127500</v>
      </c>
      <c r="CH35" s="184">
        <f t="shared" si="161"/>
        <v>844127500</v>
      </c>
      <c r="CI35" s="185">
        <f t="shared" si="161"/>
        <v>0</v>
      </c>
      <c r="CJ35" s="186">
        <f t="shared" si="161"/>
        <v>0</v>
      </c>
      <c r="CK35" s="192">
        <f t="shared" si="161"/>
        <v>721311012.22000003</v>
      </c>
      <c r="CL35" s="184">
        <f t="shared" si="161"/>
        <v>721311012.22000003</v>
      </c>
      <c r="CM35" s="185">
        <f t="shared" si="161"/>
        <v>0</v>
      </c>
      <c r="CN35" s="186">
        <f t="shared" si="161"/>
        <v>0</v>
      </c>
      <c r="CO35" s="191">
        <f t="shared" si="161"/>
        <v>197611636.71000001</v>
      </c>
      <c r="CP35" s="184">
        <f t="shared" si="161"/>
        <v>197611636.71000001</v>
      </c>
      <c r="CQ35" s="185">
        <f t="shared" si="161"/>
        <v>0</v>
      </c>
      <c r="CR35" s="186">
        <f t="shared" si="161"/>
        <v>0</v>
      </c>
      <c r="CS35" s="192">
        <f t="shared" si="161"/>
        <v>104137919.87</v>
      </c>
      <c r="CT35" s="184">
        <f t="shared" si="161"/>
        <v>104137919.87</v>
      </c>
      <c r="CU35" s="185">
        <f t="shared" si="161"/>
        <v>0</v>
      </c>
      <c r="CV35" s="186">
        <f t="shared" si="161"/>
        <v>0</v>
      </c>
      <c r="CW35" s="190">
        <f>CW28+CW32</f>
        <v>18686100</v>
      </c>
      <c r="CX35" s="184">
        <f t="shared" ref="CX35:CZ35" si="162">CX28+CX32</f>
        <v>15818325.819999998</v>
      </c>
      <c r="CY35" s="185">
        <f t="shared" si="162"/>
        <v>2867774.1799999997</v>
      </c>
      <c r="CZ35" s="186">
        <f t="shared" si="162"/>
        <v>0</v>
      </c>
      <c r="DA35" s="192">
        <f>DA28+DA32</f>
        <v>2547532.0500000003</v>
      </c>
      <c r="DB35" s="184">
        <f t="shared" ref="DB35:ER35" si="163">DB28+DB32</f>
        <v>0</v>
      </c>
      <c r="DC35" s="185">
        <f t="shared" si="163"/>
        <v>2547532.0500000003</v>
      </c>
      <c r="DD35" s="186">
        <f t="shared" si="163"/>
        <v>0</v>
      </c>
      <c r="DE35" s="191">
        <f t="shared" si="163"/>
        <v>0</v>
      </c>
      <c r="DF35" s="185">
        <f t="shared" si="163"/>
        <v>0</v>
      </c>
      <c r="DG35" s="189">
        <f t="shared" si="163"/>
        <v>0</v>
      </c>
      <c r="DH35" s="185">
        <f t="shared" si="163"/>
        <v>0</v>
      </c>
      <c r="DI35" s="190">
        <f t="shared" si="163"/>
        <v>0</v>
      </c>
      <c r="DJ35" s="185">
        <f t="shared" si="163"/>
        <v>0</v>
      </c>
      <c r="DK35" s="189">
        <f t="shared" si="163"/>
        <v>0</v>
      </c>
      <c r="DL35" s="185">
        <f t="shared" si="163"/>
        <v>0</v>
      </c>
      <c r="DM35" s="191">
        <f t="shared" si="163"/>
        <v>234131380.22999999</v>
      </c>
      <c r="DN35" s="185">
        <f t="shared" si="163"/>
        <v>234131380.22999999</v>
      </c>
      <c r="DO35" s="189">
        <f t="shared" si="163"/>
        <v>0</v>
      </c>
      <c r="DP35" s="185">
        <f t="shared" si="163"/>
        <v>0</v>
      </c>
      <c r="DQ35" s="190">
        <f t="shared" si="163"/>
        <v>225612167.53</v>
      </c>
      <c r="DR35" s="185">
        <f t="shared" si="163"/>
        <v>225612167.53</v>
      </c>
      <c r="DS35" s="189">
        <f t="shared" si="163"/>
        <v>0</v>
      </c>
      <c r="DT35" s="185">
        <f t="shared" si="163"/>
        <v>0</v>
      </c>
      <c r="DU35" s="191">
        <f t="shared" si="163"/>
        <v>335298439.97000003</v>
      </c>
      <c r="DV35" s="185">
        <f t="shared" si="163"/>
        <v>335298439.97000003</v>
      </c>
      <c r="DW35" s="189">
        <f t="shared" si="163"/>
        <v>0</v>
      </c>
      <c r="DX35" s="185">
        <f t="shared" si="163"/>
        <v>0</v>
      </c>
      <c r="DY35" s="190">
        <f t="shared" si="163"/>
        <v>181521985.75</v>
      </c>
      <c r="DZ35" s="185">
        <f t="shared" si="163"/>
        <v>181521985.75</v>
      </c>
      <c r="EA35" s="189">
        <f t="shared" si="163"/>
        <v>0</v>
      </c>
      <c r="EB35" s="185">
        <f t="shared" si="163"/>
        <v>0</v>
      </c>
      <c r="EC35" s="191">
        <f t="shared" si="163"/>
        <v>1404739120.51</v>
      </c>
      <c r="ED35" s="185">
        <f t="shared" si="163"/>
        <v>1404739120.51</v>
      </c>
      <c r="EE35" s="189">
        <f t="shared" si="163"/>
        <v>0</v>
      </c>
      <c r="EF35" s="185">
        <f t="shared" si="163"/>
        <v>0</v>
      </c>
      <c r="EG35" s="190">
        <f t="shared" si="163"/>
        <v>715988056.25999999</v>
      </c>
      <c r="EH35" s="185">
        <f t="shared" si="163"/>
        <v>715988056.25999999</v>
      </c>
      <c r="EI35" s="189">
        <f t="shared" si="163"/>
        <v>0</v>
      </c>
      <c r="EJ35" s="185">
        <f t="shared" si="163"/>
        <v>0</v>
      </c>
      <c r="EK35" s="191">
        <f t="shared" si="163"/>
        <v>167793311.36000001</v>
      </c>
      <c r="EL35" s="185">
        <f t="shared" si="163"/>
        <v>0</v>
      </c>
      <c r="EM35" s="189">
        <f t="shared" si="163"/>
        <v>0</v>
      </c>
      <c r="EN35" s="185">
        <f t="shared" si="163"/>
        <v>167793311.36000001</v>
      </c>
      <c r="EO35" s="190">
        <f t="shared" si="163"/>
        <v>164509100</v>
      </c>
      <c r="EP35" s="185">
        <f t="shared" si="163"/>
        <v>0</v>
      </c>
      <c r="EQ35" s="189">
        <f t="shared" si="163"/>
        <v>0</v>
      </c>
      <c r="ER35" s="185">
        <f t="shared" si="163"/>
        <v>164509100</v>
      </c>
      <c r="ES35" s="191">
        <f>ES28+ES32</f>
        <v>2500000</v>
      </c>
      <c r="ET35" s="185">
        <f t="shared" ref="ET35:EV35" si="164">ET28+ET32</f>
        <v>0</v>
      </c>
      <c r="EU35" s="186">
        <f t="shared" si="164"/>
        <v>0</v>
      </c>
      <c r="EV35" s="186">
        <f t="shared" si="164"/>
        <v>2500000</v>
      </c>
      <c r="EW35" s="192">
        <f>EW28+EW32</f>
        <v>2500000</v>
      </c>
      <c r="EX35" s="184">
        <f t="shared" ref="EX35:EZ35" si="165">EX28+EX32</f>
        <v>0</v>
      </c>
      <c r="EY35" s="185">
        <f t="shared" si="165"/>
        <v>0</v>
      </c>
      <c r="EZ35" s="185">
        <f t="shared" si="165"/>
        <v>2500000</v>
      </c>
      <c r="FA35" s="190">
        <f>FA28+FA32</f>
        <v>21850000</v>
      </c>
      <c r="FB35" s="185">
        <f t="shared" ref="FB35:FD35" si="166">FB28+FB32</f>
        <v>21850000</v>
      </c>
      <c r="FC35" s="186">
        <f t="shared" si="166"/>
        <v>0</v>
      </c>
      <c r="FD35" s="186">
        <f t="shared" si="166"/>
        <v>0</v>
      </c>
      <c r="FE35" s="192">
        <f>FE28+FE32</f>
        <v>19409351.73</v>
      </c>
      <c r="FF35" s="185">
        <f t="shared" ref="FF35:FH35" si="167">FF28+FF32</f>
        <v>19409351.73</v>
      </c>
      <c r="FG35" s="186">
        <f t="shared" si="167"/>
        <v>0</v>
      </c>
      <c r="FH35" s="186">
        <f t="shared" si="167"/>
        <v>0</v>
      </c>
      <c r="FI35" s="191">
        <f>FI28+FI32</f>
        <v>2488300</v>
      </c>
      <c r="FJ35" s="184">
        <f t="shared" ref="FJ35:FL35" si="168">FJ28+FJ32</f>
        <v>2488300</v>
      </c>
      <c r="FK35" s="185">
        <f t="shared" si="168"/>
        <v>0</v>
      </c>
      <c r="FL35" s="186">
        <f t="shared" si="168"/>
        <v>0</v>
      </c>
      <c r="FM35" s="192">
        <f>FM28+FM32</f>
        <v>2488300</v>
      </c>
      <c r="FN35" s="184">
        <f t="shared" ref="FN35:FP35" si="169">FN28+FN32</f>
        <v>2488300</v>
      </c>
      <c r="FO35" s="185">
        <f t="shared" si="169"/>
        <v>0</v>
      </c>
      <c r="FP35" s="185">
        <f t="shared" si="169"/>
        <v>0</v>
      </c>
      <c r="FQ35" s="190">
        <f>FQ28+FQ32</f>
        <v>36716.63999999997</v>
      </c>
      <c r="FR35" s="184">
        <f t="shared" ref="FR35:FT35" si="170">FR28+FR32</f>
        <v>18358.319999999985</v>
      </c>
      <c r="FS35" s="185">
        <f t="shared" si="170"/>
        <v>-2391110.16</v>
      </c>
      <c r="FT35" s="186">
        <f t="shared" si="170"/>
        <v>2409468.4799999995</v>
      </c>
      <c r="FU35" s="192">
        <f>FU28+FU32</f>
        <v>0</v>
      </c>
      <c r="FV35" s="184">
        <f t="shared" ref="FV35:FX35" si="171">FV28+FV32</f>
        <v>0</v>
      </c>
      <c r="FW35" s="185">
        <f t="shared" si="171"/>
        <v>0</v>
      </c>
      <c r="FX35" s="189">
        <f t="shared" si="171"/>
        <v>0</v>
      </c>
      <c r="FY35" s="191">
        <f>FY28+FY32</f>
        <v>9055887.7100000009</v>
      </c>
      <c r="FZ35" s="184">
        <f t="shared" ref="FZ35:GB35" si="172">FZ28+FZ32</f>
        <v>0</v>
      </c>
      <c r="GA35" s="185">
        <f t="shared" si="172"/>
        <v>9055887.7100000009</v>
      </c>
      <c r="GB35" s="186">
        <f t="shared" si="172"/>
        <v>0</v>
      </c>
      <c r="GC35" s="192">
        <f>GC28+GC32</f>
        <v>0</v>
      </c>
      <c r="GD35" s="184">
        <f>GD28+GD32</f>
        <v>0</v>
      </c>
      <c r="GE35" s="185">
        <f>GE28+GE32</f>
        <v>0</v>
      </c>
      <c r="GF35" s="186">
        <f>GF28+GF32</f>
        <v>0</v>
      </c>
      <c r="GG35" s="191">
        <f t="shared" ref="GG35:GN35" si="173">GG28+GG32</f>
        <v>6524400</v>
      </c>
      <c r="GH35" s="185">
        <f t="shared" si="173"/>
        <v>6524400</v>
      </c>
      <c r="GI35" s="189">
        <f t="shared" si="173"/>
        <v>0</v>
      </c>
      <c r="GJ35" s="185">
        <f t="shared" si="173"/>
        <v>0</v>
      </c>
      <c r="GK35" s="190">
        <f t="shared" si="173"/>
        <v>117858.24000000001</v>
      </c>
      <c r="GL35" s="185">
        <f t="shared" si="173"/>
        <v>117858.24000000001</v>
      </c>
      <c r="GM35" s="189">
        <f t="shared" si="173"/>
        <v>0</v>
      </c>
      <c r="GN35" s="185">
        <f t="shared" si="173"/>
        <v>0</v>
      </c>
      <c r="GO35" s="191">
        <f>GO28+GO32</f>
        <v>29785800</v>
      </c>
      <c r="GP35" s="184">
        <f t="shared" ref="GP35:GR35" si="174">GP28+GP32</f>
        <v>5900400</v>
      </c>
      <c r="GQ35" s="185">
        <f t="shared" si="174"/>
        <v>23885400</v>
      </c>
      <c r="GR35" s="186">
        <f t="shared" si="174"/>
        <v>0</v>
      </c>
      <c r="GS35" s="192">
        <f>GS28+GS32</f>
        <v>18671574.310000002</v>
      </c>
      <c r="GT35" s="184">
        <f>GT28+GT32</f>
        <v>0</v>
      </c>
      <c r="GU35" s="185">
        <f>GU28+GU32</f>
        <v>18671574.310000002</v>
      </c>
      <c r="GV35" s="186">
        <f>GV28+GV32</f>
        <v>0</v>
      </c>
      <c r="GW35" s="190">
        <f>GW28+GW32</f>
        <v>4757600</v>
      </c>
      <c r="GX35" s="184">
        <f t="shared" ref="GX35:GZ35" si="175">GX28+GX32</f>
        <v>4757600</v>
      </c>
      <c r="GY35" s="185">
        <f t="shared" si="175"/>
        <v>0</v>
      </c>
      <c r="GZ35" s="186">
        <f t="shared" si="175"/>
        <v>0</v>
      </c>
      <c r="HA35" s="192">
        <f>HA28+HA32</f>
        <v>484797.61</v>
      </c>
      <c r="HB35" s="185">
        <f t="shared" ref="HB35:HD35" si="176">HB28+HB32</f>
        <v>484797.61</v>
      </c>
      <c r="HC35" s="186">
        <f t="shared" si="176"/>
        <v>0</v>
      </c>
      <c r="HD35" s="189">
        <f t="shared" si="176"/>
        <v>0</v>
      </c>
      <c r="HE35" s="192">
        <f>HE28+HE32</f>
        <v>0</v>
      </c>
      <c r="HF35" s="184">
        <f t="shared" ref="HF35:HH35" si="177">HF28+HF32</f>
        <v>0</v>
      </c>
      <c r="HG35" s="185">
        <f t="shared" si="177"/>
        <v>0</v>
      </c>
      <c r="HH35" s="186">
        <f t="shared" si="177"/>
        <v>0</v>
      </c>
      <c r="HI35" s="192">
        <f>HI28+HI32</f>
        <v>0</v>
      </c>
      <c r="HJ35" s="184">
        <f t="shared" ref="HJ35:JU35" si="178">HJ28+HJ32</f>
        <v>0</v>
      </c>
      <c r="HK35" s="185">
        <f t="shared" si="178"/>
        <v>0</v>
      </c>
      <c r="HL35" s="186">
        <f t="shared" si="178"/>
        <v>0</v>
      </c>
      <c r="HM35" s="191">
        <f t="shared" si="178"/>
        <v>168192399.98999995</v>
      </c>
      <c r="HN35" s="184">
        <f t="shared" si="178"/>
        <v>3631049.3899999978</v>
      </c>
      <c r="HO35" s="185">
        <f t="shared" si="178"/>
        <v>0</v>
      </c>
      <c r="HP35" s="186">
        <f t="shared" si="178"/>
        <v>164561350.59999999</v>
      </c>
      <c r="HQ35" s="192">
        <f t="shared" si="178"/>
        <v>3683299.9699999993</v>
      </c>
      <c r="HR35" s="184">
        <f t="shared" si="178"/>
        <v>3631049.3699999996</v>
      </c>
      <c r="HS35" s="185">
        <f t="shared" si="178"/>
        <v>0</v>
      </c>
      <c r="HT35" s="186">
        <f t="shared" si="178"/>
        <v>52250.6</v>
      </c>
      <c r="HU35" s="191">
        <f t="shared" si="178"/>
        <v>0</v>
      </c>
      <c r="HV35" s="184">
        <f t="shared" si="178"/>
        <v>0</v>
      </c>
      <c r="HW35" s="185">
        <f t="shared" si="178"/>
        <v>0</v>
      </c>
      <c r="HX35" s="186">
        <f t="shared" si="178"/>
        <v>0</v>
      </c>
      <c r="HY35" s="192">
        <f t="shared" si="178"/>
        <v>0</v>
      </c>
      <c r="HZ35" s="184">
        <f t="shared" si="178"/>
        <v>0</v>
      </c>
      <c r="IA35" s="185">
        <f t="shared" si="178"/>
        <v>0</v>
      </c>
      <c r="IB35" s="186">
        <f t="shared" si="178"/>
        <v>0</v>
      </c>
      <c r="IC35" s="191">
        <f t="shared" si="178"/>
        <v>416944914.11000001</v>
      </c>
      <c r="ID35" s="184">
        <f t="shared" si="178"/>
        <v>168384500</v>
      </c>
      <c r="IE35" s="185">
        <f t="shared" si="178"/>
        <v>0</v>
      </c>
      <c r="IF35" s="186">
        <f t="shared" si="178"/>
        <v>104000000</v>
      </c>
      <c r="IG35" s="192">
        <f t="shared" si="178"/>
        <v>221400172.02000001</v>
      </c>
      <c r="IH35" s="184">
        <f t="shared" si="178"/>
        <v>119076909.65000001</v>
      </c>
      <c r="II35" s="185">
        <f t="shared" si="178"/>
        <v>0</v>
      </c>
      <c r="IJ35" s="189">
        <f t="shared" si="178"/>
        <v>102323262.37</v>
      </c>
      <c r="IK35" s="192">
        <f t="shared" si="178"/>
        <v>10309200</v>
      </c>
      <c r="IL35" s="184">
        <f t="shared" si="178"/>
        <v>2889951.19</v>
      </c>
      <c r="IM35" s="185">
        <f t="shared" si="178"/>
        <v>7419248.8100000005</v>
      </c>
      <c r="IN35" s="186">
        <f t="shared" si="178"/>
        <v>0</v>
      </c>
      <c r="IO35" s="192">
        <f t="shared" si="178"/>
        <v>7182782.2999999998</v>
      </c>
      <c r="IP35" s="184">
        <f t="shared" si="178"/>
        <v>1343428.44</v>
      </c>
      <c r="IQ35" s="185">
        <f t="shared" si="178"/>
        <v>5839353.8600000003</v>
      </c>
      <c r="IR35" s="186">
        <f t="shared" si="178"/>
        <v>0</v>
      </c>
      <c r="IS35" s="191">
        <f t="shared" si="178"/>
        <v>6625800</v>
      </c>
      <c r="IT35" s="185">
        <f t="shared" si="178"/>
        <v>6625800</v>
      </c>
      <c r="IU35" s="189">
        <f t="shared" si="178"/>
        <v>0</v>
      </c>
      <c r="IV35" s="185">
        <f t="shared" si="178"/>
        <v>0</v>
      </c>
      <c r="IW35" s="190">
        <f t="shared" si="178"/>
        <v>3117823.01</v>
      </c>
      <c r="IX35" s="185">
        <f t="shared" si="178"/>
        <v>3117823.01</v>
      </c>
      <c r="IY35" s="189">
        <f t="shared" si="178"/>
        <v>0</v>
      </c>
      <c r="IZ35" s="185">
        <f t="shared" si="178"/>
        <v>0</v>
      </c>
      <c r="JA35" s="191">
        <f t="shared" si="178"/>
        <v>0</v>
      </c>
      <c r="JB35" s="185">
        <f t="shared" si="178"/>
        <v>0</v>
      </c>
      <c r="JC35" s="189">
        <f t="shared" si="178"/>
        <v>0</v>
      </c>
      <c r="JD35" s="185">
        <f t="shared" si="178"/>
        <v>0</v>
      </c>
      <c r="JE35" s="190">
        <f t="shared" si="178"/>
        <v>0</v>
      </c>
      <c r="JF35" s="185">
        <f t="shared" si="178"/>
        <v>0</v>
      </c>
      <c r="JG35" s="189">
        <f t="shared" si="178"/>
        <v>0</v>
      </c>
      <c r="JH35" s="185">
        <f t="shared" si="178"/>
        <v>0</v>
      </c>
      <c r="JI35" s="191">
        <f t="shared" si="178"/>
        <v>0</v>
      </c>
      <c r="JJ35" s="185">
        <f t="shared" si="178"/>
        <v>0</v>
      </c>
      <c r="JK35" s="189">
        <f t="shared" si="178"/>
        <v>0</v>
      </c>
      <c r="JL35" s="185">
        <f t="shared" si="178"/>
        <v>0</v>
      </c>
      <c r="JM35" s="190">
        <f t="shared" si="178"/>
        <v>0</v>
      </c>
      <c r="JN35" s="185">
        <f t="shared" si="178"/>
        <v>0</v>
      </c>
      <c r="JO35" s="189">
        <f t="shared" si="178"/>
        <v>0</v>
      </c>
      <c r="JP35" s="185">
        <f t="shared" si="178"/>
        <v>0</v>
      </c>
      <c r="JQ35" s="191">
        <f t="shared" si="178"/>
        <v>478133400</v>
      </c>
      <c r="JR35" s="185">
        <f t="shared" si="178"/>
        <v>478133400</v>
      </c>
      <c r="JS35" s="189">
        <f t="shared" si="178"/>
        <v>0</v>
      </c>
      <c r="JT35" s="185">
        <f t="shared" si="178"/>
        <v>0</v>
      </c>
      <c r="JU35" s="190">
        <f t="shared" si="178"/>
        <v>386368595.75999999</v>
      </c>
      <c r="JV35" s="185">
        <f t="shared" ref="JV35:LD35" si="179">JV28+JV32</f>
        <v>386368595.75999999</v>
      </c>
      <c r="JW35" s="189">
        <f t="shared" si="179"/>
        <v>0</v>
      </c>
      <c r="JX35" s="185">
        <f t="shared" si="179"/>
        <v>0</v>
      </c>
      <c r="JY35" s="192">
        <f t="shared" si="179"/>
        <v>0</v>
      </c>
      <c r="JZ35" s="184">
        <f t="shared" si="179"/>
        <v>0</v>
      </c>
      <c r="KA35" s="184">
        <f t="shared" si="179"/>
        <v>0</v>
      </c>
      <c r="KB35" s="185">
        <f t="shared" si="179"/>
        <v>0</v>
      </c>
      <c r="KC35" s="193">
        <f t="shared" si="179"/>
        <v>0</v>
      </c>
      <c r="KD35" s="184">
        <f t="shared" si="179"/>
        <v>0</v>
      </c>
      <c r="KE35" s="185">
        <f t="shared" si="179"/>
        <v>0</v>
      </c>
      <c r="KF35" s="186">
        <f t="shared" si="179"/>
        <v>0</v>
      </c>
      <c r="KG35" s="191">
        <f t="shared" si="179"/>
        <v>211966499.99999997</v>
      </c>
      <c r="KH35" s="185">
        <f t="shared" si="179"/>
        <v>117669358.27000001</v>
      </c>
      <c r="KI35" s="189">
        <f t="shared" si="179"/>
        <v>75335450.269999996</v>
      </c>
      <c r="KJ35" s="185">
        <f t="shared" si="179"/>
        <v>18961691.460000001</v>
      </c>
      <c r="KK35" s="193">
        <f t="shared" si="179"/>
        <v>109364503.24999999</v>
      </c>
      <c r="KL35" s="184">
        <f t="shared" si="179"/>
        <v>73021384.909999996</v>
      </c>
      <c r="KM35" s="185">
        <f t="shared" si="179"/>
        <v>30048550.620000001</v>
      </c>
      <c r="KN35" s="186">
        <f t="shared" si="179"/>
        <v>6294567.7199999997</v>
      </c>
      <c r="KO35" s="191">
        <f t="shared" si="179"/>
        <v>3243333.44</v>
      </c>
      <c r="KP35" s="185">
        <f t="shared" si="179"/>
        <v>0</v>
      </c>
      <c r="KQ35" s="189">
        <f t="shared" si="179"/>
        <v>3243333.44</v>
      </c>
      <c r="KR35" s="185">
        <f t="shared" si="179"/>
        <v>0</v>
      </c>
      <c r="KS35" s="190">
        <f t="shared" si="179"/>
        <v>0</v>
      </c>
      <c r="KT35" s="185">
        <f t="shared" si="179"/>
        <v>0</v>
      </c>
      <c r="KU35" s="189">
        <f t="shared" si="179"/>
        <v>0</v>
      </c>
      <c r="KV35" s="185">
        <f t="shared" si="179"/>
        <v>0</v>
      </c>
      <c r="KW35" s="191">
        <f t="shared" si="179"/>
        <v>1393266434.3200002</v>
      </c>
      <c r="KX35" s="184">
        <f t="shared" si="179"/>
        <v>1393266434.3200002</v>
      </c>
      <c r="KY35" s="185">
        <f t="shared" si="179"/>
        <v>0</v>
      </c>
      <c r="KZ35" s="186">
        <f t="shared" si="179"/>
        <v>0</v>
      </c>
      <c r="LA35" s="192">
        <f t="shared" si="179"/>
        <v>945135526.62999988</v>
      </c>
      <c r="LB35" s="184">
        <f t="shared" si="179"/>
        <v>945135526.62999988</v>
      </c>
      <c r="LC35" s="185">
        <f t="shared" si="179"/>
        <v>0</v>
      </c>
      <c r="LD35" s="185">
        <f t="shared" si="179"/>
        <v>0</v>
      </c>
    </row>
    <row r="36" spans="1:316" s="200" customFormat="1" ht="16.5" x14ac:dyDescent="0.25">
      <c r="A36" s="194"/>
      <c r="B36" s="195">
        <f>M35-U35-AK35-B35-AC35</f>
        <v>144560414.10999918</v>
      </c>
      <c r="C36" s="196"/>
      <c r="D36" s="196"/>
      <c r="E36" s="196"/>
      <c r="F36" s="195">
        <f>Q35-Y35-AO35-F35-AG35</f>
        <v>4.76837158203125E-7</v>
      </c>
      <c r="G36" s="194"/>
      <c r="H36" s="194"/>
      <c r="I36" s="194"/>
      <c r="J36" s="194"/>
      <c r="K36" s="194"/>
      <c r="L36" s="194"/>
      <c r="M36" s="197">
        <f>M35-N35-O35-P35</f>
        <v>144560414.11000025</v>
      </c>
      <c r="N36" s="198"/>
      <c r="O36" s="198"/>
      <c r="P36" s="198"/>
      <c r="Q36" s="197">
        <f>Q35-R35-S35-T35</f>
        <v>0</v>
      </c>
      <c r="R36" s="198"/>
      <c r="S36" s="198"/>
      <c r="T36" s="198"/>
      <c r="U36" s="197">
        <f>U35-V35-W35-X35</f>
        <v>0</v>
      </c>
      <c r="V36" s="197"/>
      <c r="W36" s="197"/>
      <c r="X36" s="197"/>
      <c r="Y36" s="197">
        <f>Y35-Z35-AA35-AB35</f>
        <v>0</v>
      </c>
      <c r="Z36" s="197"/>
      <c r="AA36" s="197"/>
      <c r="AB36" s="197"/>
      <c r="AC36" s="197">
        <f>AC35-AD35-AE35-AF35</f>
        <v>0</v>
      </c>
      <c r="AD36" s="197"/>
      <c r="AE36" s="197"/>
      <c r="AF36" s="197"/>
      <c r="AG36" s="197">
        <f>AG35-AH35-AI35-AJ35</f>
        <v>0</v>
      </c>
      <c r="AH36" s="197"/>
      <c r="AI36" s="197"/>
      <c r="AJ36" s="197"/>
      <c r="AK36" s="197">
        <f>AK35-AL35-AM35-AN35</f>
        <v>0</v>
      </c>
      <c r="AL36" s="197"/>
      <c r="AM36" s="197"/>
      <c r="AN36" s="197"/>
      <c r="AO36" s="197">
        <f>AO35-AP35-AQ35-AR35</f>
        <v>0</v>
      </c>
      <c r="AP36" s="197"/>
      <c r="AQ36" s="197"/>
      <c r="AR36" s="197"/>
      <c r="AS36" s="197">
        <f>AS35-AT35-AU35-AV35</f>
        <v>0</v>
      </c>
      <c r="AT36" s="197"/>
      <c r="AU36" s="197"/>
      <c r="AV36" s="197"/>
      <c r="AW36" s="197">
        <f>AW35-AX35-AY35-AZ35</f>
        <v>0</v>
      </c>
      <c r="AX36" s="197"/>
      <c r="AY36" s="197"/>
      <c r="AZ36" s="197"/>
      <c r="BA36" s="197">
        <f>BA35-BB35-BC35-BD35</f>
        <v>0</v>
      </c>
      <c r="BB36" s="197"/>
      <c r="BC36" s="197"/>
      <c r="BD36" s="197"/>
      <c r="BE36" s="197">
        <f>BE35-BF35-BG35-BH35</f>
        <v>-4.6566128730773926E-9</v>
      </c>
      <c r="BF36" s="197"/>
      <c r="BG36" s="197"/>
      <c r="BH36" s="197"/>
      <c r="BI36" s="197">
        <f>BI35-BJ35-BK35-BL35</f>
        <v>0</v>
      </c>
      <c r="BJ36" s="197"/>
      <c r="BK36" s="197"/>
      <c r="BL36" s="197"/>
      <c r="BM36" s="197">
        <f>BM35-BN35-BO35-BP35</f>
        <v>0</v>
      </c>
      <c r="BN36" s="197"/>
      <c r="BO36" s="197"/>
      <c r="BP36" s="197"/>
      <c r="BQ36" s="197">
        <f>BQ35-BR35-BS35-BT35</f>
        <v>0</v>
      </c>
      <c r="BR36" s="199"/>
      <c r="BS36" s="199"/>
      <c r="BT36" s="199"/>
      <c r="BU36" s="197">
        <f>BU35-BV35-BW35-BX35</f>
        <v>0</v>
      </c>
      <c r="BV36" s="199"/>
      <c r="BW36" s="199"/>
      <c r="BX36" s="199"/>
      <c r="BY36" s="197">
        <f>BY35-BZ35-CA35-CB35</f>
        <v>0</v>
      </c>
      <c r="BZ36" s="199"/>
      <c r="CA36" s="199"/>
      <c r="CB36" s="199"/>
      <c r="CC36" s="197">
        <f>CC35-CD35-CE35-CF35</f>
        <v>0</v>
      </c>
      <c r="CD36" s="199"/>
      <c r="CE36" s="199"/>
      <c r="CF36" s="199"/>
      <c r="CG36" s="197">
        <f>CG35-CH35-CI35-CJ35</f>
        <v>0</v>
      </c>
      <c r="CH36" s="199"/>
      <c r="CI36" s="199"/>
      <c r="CJ36" s="199"/>
      <c r="CK36" s="197">
        <f>CK35-CL35-CM35-CN35</f>
        <v>0</v>
      </c>
      <c r="CL36" s="199"/>
      <c r="CM36" s="199"/>
      <c r="CN36" s="199"/>
      <c r="CO36" s="197">
        <f>CO35-CP35-CQ35-CR35</f>
        <v>0</v>
      </c>
      <c r="CP36" s="199"/>
      <c r="CQ36" s="199"/>
      <c r="CR36" s="199"/>
      <c r="CS36" s="197">
        <f>CS35-CT35-CU35-CV35</f>
        <v>0</v>
      </c>
      <c r="CT36" s="199"/>
      <c r="CU36" s="199"/>
      <c r="CV36" s="199"/>
      <c r="CW36" s="197">
        <f>CW35-CX35-CY35-CZ35</f>
        <v>1.862645149230957E-9</v>
      </c>
      <c r="CX36" s="199"/>
      <c r="CY36" s="199"/>
      <c r="CZ36" s="199"/>
      <c r="DA36" s="197">
        <f>DA35-DB35-DC35-DD35</f>
        <v>0</v>
      </c>
      <c r="DB36" s="199"/>
      <c r="DC36" s="199"/>
      <c r="DD36" s="199"/>
      <c r="DE36" s="197">
        <f>DE35-DF35-DG35-DH35</f>
        <v>0</v>
      </c>
      <c r="DF36" s="199"/>
      <c r="DG36" s="199"/>
      <c r="DH36" s="199"/>
      <c r="DI36" s="197">
        <f>DI35-DJ35-DK35-DL35</f>
        <v>0</v>
      </c>
      <c r="DJ36" s="199"/>
      <c r="DK36" s="199"/>
      <c r="DL36" s="199"/>
      <c r="DM36" s="197">
        <f>DM35-DN35-DO35-DP35</f>
        <v>0</v>
      </c>
      <c r="DN36" s="199"/>
      <c r="DO36" s="199"/>
      <c r="DP36" s="199"/>
      <c r="DQ36" s="197">
        <f>DQ35-DR35-DS35-DT35</f>
        <v>0</v>
      </c>
      <c r="DR36" s="199"/>
      <c r="DS36" s="199"/>
      <c r="DT36" s="199"/>
      <c r="DU36" s="197">
        <f>DU35-DV35-DW35-DX35</f>
        <v>0</v>
      </c>
      <c r="DV36" s="199"/>
      <c r="DW36" s="199"/>
      <c r="DX36" s="199"/>
      <c r="DY36" s="197">
        <f>DY35-DZ35-EA35-EB35</f>
        <v>0</v>
      </c>
      <c r="DZ36" s="199"/>
      <c r="EA36" s="199"/>
      <c r="EB36" s="199"/>
      <c r="EC36" s="197">
        <f>EC35-ED35-EE35-EF35</f>
        <v>0</v>
      </c>
      <c r="ED36" s="199"/>
      <c r="EE36" s="199"/>
      <c r="EF36" s="199"/>
      <c r="EG36" s="197">
        <f>EG35-EH35-EI35-EJ35</f>
        <v>0</v>
      </c>
      <c r="EH36" s="199"/>
      <c r="EI36" s="199"/>
      <c r="EJ36" s="199"/>
      <c r="EK36" s="197">
        <f>EK35-EL35-EM35-EN35</f>
        <v>0</v>
      </c>
      <c r="EL36" s="199"/>
      <c r="EM36" s="199"/>
      <c r="EN36" s="199"/>
      <c r="EO36" s="197">
        <f>EO35-EP35-EQ35-ER35</f>
        <v>0</v>
      </c>
      <c r="EP36" s="199"/>
      <c r="EQ36" s="199"/>
      <c r="ER36" s="199"/>
      <c r="ES36" s="197">
        <f>ES35-ET35-EU35-EV35</f>
        <v>0</v>
      </c>
      <c r="ET36" s="199"/>
      <c r="EU36" s="199"/>
      <c r="EV36" s="199"/>
      <c r="EW36" s="197">
        <f>EW35-EX35-EY35-EZ35</f>
        <v>0</v>
      </c>
      <c r="EX36" s="199"/>
      <c r="EY36" s="199"/>
      <c r="EZ36" s="199"/>
      <c r="FA36" s="197">
        <f>FA35-FB35-FC35-FD35</f>
        <v>0</v>
      </c>
      <c r="FB36" s="199"/>
      <c r="FC36" s="199"/>
      <c r="FD36" s="199"/>
      <c r="FE36" s="197">
        <f>FE35-FF35-FG35-FH35</f>
        <v>0</v>
      </c>
      <c r="FF36" s="199"/>
      <c r="FG36" s="199"/>
      <c r="FH36" s="199"/>
      <c r="FI36" s="197">
        <f>FI35-FJ35-FK35-FL35</f>
        <v>0</v>
      </c>
      <c r="FJ36" s="199"/>
      <c r="FK36" s="199"/>
      <c r="FL36" s="199"/>
      <c r="FM36" s="197">
        <f>FM35-FN35-FO35-FP35</f>
        <v>0</v>
      </c>
      <c r="FN36" s="199"/>
      <c r="FO36" s="199"/>
      <c r="FP36" s="199"/>
      <c r="FQ36" s="197">
        <f>FQ35-FR35-FS35-FT35</f>
        <v>0</v>
      </c>
      <c r="FR36" s="199"/>
      <c r="FS36" s="199"/>
      <c r="FT36" s="199"/>
      <c r="FU36" s="197">
        <f>FU35-FV35-FW35-FX35</f>
        <v>0</v>
      </c>
      <c r="FV36" s="199"/>
      <c r="FW36" s="199"/>
      <c r="FX36" s="199"/>
      <c r="FY36" s="197">
        <f>FY35-FZ35-GA35-GB35</f>
        <v>0</v>
      </c>
      <c r="FZ36" s="199"/>
      <c r="GA36" s="199"/>
      <c r="GB36" s="199"/>
      <c r="GC36" s="197">
        <f>GC35-GD35-GE35-GF35</f>
        <v>0</v>
      </c>
      <c r="GD36" s="199"/>
      <c r="GE36" s="199"/>
      <c r="GF36" s="199"/>
      <c r="GG36" s="197">
        <f>GG35-GH35-GI35-GJ35</f>
        <v>0</v>
      </c>
      <c r="GH36" s="199"/>
      <c r="GI36" s="199"/>
      <c r="GJ36" s="199"/>
      <c r="GK36" s="197">
        <f>GK35-GL35-GM35-GN35</f>
        <v>0</v>
      </c>
      <c r="GL36" s="199"/>
      <c r="GM36" s="199"/>
      <c r="GN36" s="199"/>
      <c r="GO36" s="197">
        <f>GO35-GP35-GQ35-GR35</f>
        <v>0</v>
      </c>
      <c r="GP36" s="199"/>
      <c r="GQ36" s="199"/>
      <c r="GR36" s="199"/>
      <c r="GS36" s="197">
        <f>GS35-GT35-GU35-GV35</f>
        <v>0</v>
      </c>
      <c r="GT36" s="199"/>
      <c r="GU36" s="199"/>
      <c r="GV36" s="199"/>
      <c r="GW36" s="197">
        <f>GW35-GX35-GY35-GZ35</f>
        <v>0</v>
      </c>
      <c r="GX36" s="199"/>
      <c r="GY36" s="199"/>
      <c r="GZ36" s="199"/>
      <c r="HA36" s="197">
        <f>HA35-HB35-HC35-HD35</f>
        <v>0</v>
      </c>
      <c r="HB36" s="199"/>
      <c r="HC36" s="199"/>
      <c r="HD36" s="199"/>
      <c r="HE36" s="197">
        <f>HE35-HF35-HG35-HH35</f>
        <v>0</v>
      </c>
      <c r="HF36" s="199"/>
      <c r="HG36" s="199"/>
      <c r="HH36" s="199"/>
      <c r="HI36" s="197">
        <f>HI35-HJ35-HK35-HL35</f>
        <v>0</v>
      </c>
      <c r="HJ36" s="199"/>
      <c r="HK36" s="199"/>
      <c r="HL36" s="199"/>
      <c r="HM36" s="197">
        <f>HM35-HN35-HO35-HP35</f>
        <v>0</v>
      </c>
      <c r="HN36" s="199"/>
      <c r="HO36" s="199"/>
      <c r="HP36" s="199"/>
      <c r="HQ36" s="197">
        <f>HQ35-HR35-HS35-HT35</f>
        <v>-3.7107383832335472E-10</v>
      </c>
      <c r="HR36" s="199"/>
      <c r="HS36" s="199"/>
      <c r="HT36" s="199"/>
      <c r="HU36" s="197">
        <f>HU35-HV35-HW35-HX35</f>
        <v>0</v>
      </c>
      <c r="HV36" s="199"/>
      <c r="HW36" s="199"/>
      <c r="HX36" s="199"/>
      <c r="HY36" s="197">
        <f>HY35-HZ35-IA35-IB35</f>
        <v>0</v>
      </c>
      <c r="HZ36" s="199"/>
      <c r="IA36" s="199"/>
      <c r="IB36" s="199"/>
      <c r="IC36" s="197">
        <f>IC35-ID35-IE35-IF35</f>
        <v>144560414.11000001</v>
      </c>
      <c r="ID36" s="199"/>
      <c r="IE36" s="199"/>
      <c r="IF36" s="199"/>
      <c r="IG36" s="197">
        <f>IG35-IH35-II35-IJ35</f>
        <v>0</v>
      </c>
      <c r="IH36" s="199"/>
      <c r="II36" s="199"/>
      <c r="IJ36" s="199"/>
      <c r="IK36" s="197">
        <f>IK35-IL35-IM35-IN35</f>
        <v>0</v>
      </c>
      <c r="IL36" s="199"/>
      <c r="IM36" s="199"/>
      <c r="IN36" s="199"/>
      <c r="IO36" s="197">
        <f>IO35-IP35-IQ35-IR35</f>
        <v>-9.3132257461547852E-10</v>
      </c>
      <c r="IP36" s="199"/>
      <c r="IQ36" s="199"/>
      <c r="IR36" s="199"/>
      <c r="IS36" s="197">
        <f>IS35-IT35-IU35-IV35</f>
        <v>0</v>
      </c>
      <c r="IT36" s="199"/>
      <c r="IU36" s="199"/>
      <c r="IV36" s="199"/>
      <c r="IW36" s="197">
        <f>IW35-IX35-IY35-IZ35</f>
        <v>0</v>
      </c>
      <c r="IX36" s="199"/>
      <c r="IY36" s="199"/>
      <c r="IZ36" s="199"/>
      <c r="JA36" s="197">
        <f>JA35-JB35-JC35-JD35</f>
        <v>0</v>
      </c>
      <c r="JB36" s="199"/>
      <c r="JC36" s="199"/>
      <c r="JD36" s="199"/>
      <c r="JE36" s="197">
        <f>JE35-JF35-JG35-JH35</f>
        <v>0</v>
      </c>
      <c r="JF36" s="199"/>
      <c r="JG36" s="199"/>
      <c r="JH36" s="199"/>
      <c r="JI36" s="197">
        <f>JI35-JJ35-JK35-JL35</f>
        <v>0</v>
      </c>
      <c r="JJ36" s="199"/>
      <c r="JK36" s="199"/>
      <c r="JL36" s="199"/>
      <c r="JM36" s="197">
        <f>JM35-JN35-JO35-JP35</f>
        <v>0</v>
      </c>
      <c r="JN36" s="199"/>
      <c r="JO36" s="199"/>
      <c r="JP36" s="199"/>
      <c r="JQ36" s="197">
        <f>JQ35-JR35-JS35-JT35</f>
        <v>0</v>
      </c>
      <c r="JR36" s="199"/>
      <c r="JS36" s="199"/>
      <c r="JT36" s="199"/>
      <c r="JU36" s="197">
        <f>JU35-JV35-JW35-JX35</f>
        <v>0</v>
      </c>
      <c r="JV36" s="199"/>
      <c r="JW36" s="199"/>
      <c r="JX36" s="199"/>
      <c r="JY36" s="197">
        <f>JY35-JZ35-KA35-KB35</f>
        <v>0</v>
      </c>
      <c r="JZ36" s="199"/>
      <c r="KA36" s="199"/>
      <c r="KB36" s="199"/>
      <c r="KC36" s="197">
        <f>KC35-KD35-KE35-KF35</f>
        <v>0</v>
      </c>
      <c r="KD36" s="199"/>
      <c r="KE36" s="199"/>
      <c r="KF36" s="199"/>
      <c r="KG36" s="197">
        <f>KG35-KH35-KI35-KJ35</f>
        <v>-3.7252902984619141E-8</v>
      </c>
      <c r="KH36" s="199"/>
      <c r="KI36" s="199"/>
      <c r="KJ36" s="199"/>
      <c r="KK36" s="197">
        <f>KK35-KL35-KM35-KN35</f>
        <v>-1.2107193470001221E-8</v>
      </c>
      <c r="KL36" s="199"/>
      <c r="KM36" s="199"/>
      <c r="KN36" s="199"/>
      <c r="KO36" s="197">
        <f>KO35-KP35-KQ35-KR35</f>
        <v>0</v>
      </c>
      <c r="KP36" s="199"/>
      <c r="KQ36" s="199"/>
      <c r="KR36" s="199"/>
      <c r="KS36" s="197">
        <f>KS35-KT35-KU35-KV35</f>
        <v>0</v>
      </c>
      <c r="KT36" s="199"/>
      <c r="KU36" s="199"/>
      <c r="KV36" s="199"/>
      <c r="KW36" s="197">
        <f>KW35-KX35-KY35-KZ35</f>
        <v>0</v>
      </c>
      <c r="KX36" s="199"/>
      <c r="KY36" s="199"/>
      <c r="KZ36" s="199"/>
      <c r="LA36" s="197">
        <f>LA35-LB35-LC35-LD35</f>
        <v>0</v>
      </c>
      <c r="LB36" s="199"/>
      <c r="LC36" s="199"/>
      <c r="LD36" s="199"/>
    </row>
    <row r="37" spans="1:316" s="205" customFormat="1" ht="36" customHeight="1" x14ac:dyDescent="0.25">
      <c r="A37" s="201"/>
      <c r="B37" s="202">
        <f>B35-'Федеральные  средства  по  МО'!N36</f>
        <v>-144560414.11000061</v>
      </c>
      <c r="C37" s="201"/>
      <c r="D37" s="201"/>
      <c r="E37" s="201"/>
      <c r="F37" s="202">
        <f>F35-'Федеральные  средства  по  МО'!O36</f>
        <v>0</v>
      </c>
      <c r="G37" s="201"/>
      <c r="H37" s="201"/>
      <c r="I37" s="201"/>
      <c r="J37" s="201"/>
      <c r="K37" s="201"/>
      <c r="L37" s="201"/>
      <c r="M37" s="203">
        <f>M35-'Федеральные  средства  по  МО'!N36-'Федеральные  средства  по  МО'!D36</f>
        <v>0</v>
      </c>
      <c r="N37" s="204"/>
      <c r="O37" s="204"/>
      <c r="P37" s="204"/>
      <c r="Q37" s="203">
        <f>Q35-'Федеральные  средства  по  МО'!O36-'Федеральные  средства  по  МО'!E36</f>
        <v>5.3644180297851563E-7</v>
      </c>
      <c r="R37" s="204"/>
      <c r="S37" s="204"/>
      <c r="T37" s="204"/>
      <c r="U37" s="1866" t="str">
        <f>'Федеральные  средства  по  МО'!F43</f>
        <v>Целевая  статья  06 1 F3 67483</v>
      </c>
      <c r="V37" s="1867"/>
      <c r="W37" s="1867"/>
      <c r="X37" s="1867"/>
      <c r="Y37" s="1867"/>
      <c r="Z37" s="1867"/>
      <c r="AA37" s="1867"/>
      <c r="AB37" s="1868"/>
      <c r="AC37" s="1869" t="str">
        <f>'Федеральные  средства  по  МО'!H43</f>
        <v>Целевая  статья  06 2 01 09506</v>
      </c>
      <c r="AD37" s="1870"/>
      <c r="AE37" s="1870"/>
      <c r="AF37" s="1870"/>
      <c r="AG37" s="1870"/>
      <c r="AH37" s="1870"/>
      <c r="AI37" s="1870"/>
      <c r="AJ37" s="1871"/>
      <c r="AK37" s="1869" t="str">
        <f>'Федеральные  средства  по  МО'!J43</f>
        <v>Целевая  статья  06 2 01 09507</v>
      </c>
      <c r="AL37" s="1870"/>
      <c r="AM37" s="1870"/>
      <c r="AN37" s="1870"/>
      <c r="AO37" s="1870"/>
      <c r="AP37" s="1870"/>
      <c r="AQ37" s="1870"/>
      <c r="AR37" s="1871"/>
      <c r="AS37" s="1866" t="str">
        <f>'Федеральные  средства  по  МО'!P43</f>
        <v>Целевая  статья  09 1 F1 50212</v>
      </c>
      <c r="AT37" s="1867"/>
      <c r="AU37" s="1867"/>
      <c r="AV37" s="1867"/>
      <c r="AW37" s="1867"/>
      <c r="AX37" s="1867"/>
      <c r="AY37" s="1867"/>
      <c r="AZ37" s="1868"/>
      <c r="BA37" s="1866" t="str">
        <f>'Федеральные  средства  по  МО'!R43</f>
        <v>Целевая  статья  09 1 F1 50213</v>
      </c>
      <c r="BB37" s="1867"/>
      <c r="BC37" s="1867"/>
      <c r="BD37" s="1867"/>
      <c r="BE37" s="1867"/>
      <c r="BF37" s="1867"/>
      <c r="BG37" s="1867"/>
      <c r="BH37" s="1868"/>
      <c r="BI37" s="1866" t="str">
        <f>'Федеральные  средства  по  МО'!T43</f>
        <v>Целевая  статья  09 1 F1 50214</v>
      </c>
      <c r="BJ37" s="1867"/>
      <c r="BK37" s="1867"/>
      <c r="BL37" s="1867"/>
      <c r="BM37" s="1867"/>
      <c r="BN37" s="1867"/>
      <c r="BO37" s="1867"/>
      <c r="BP37" s="1868"/>
      <c r="BQ37" s="1866" t="str">
        <f>'Федеральные  средства  по  МО'!V43</f>
        <v xml:space="preserve">Целевая  статья  04 1 Е2 50980  </v>
      </c>
      <c r="BR37" s="1867"/>
      <c r="BS37" s="1867"/>
      <c r="BT37" s="1867"/>
      <c r="BU37" s="1867"/>
      <c r="BV37" s="1867"/>
      <c r="BW37" s="1867"/>
      <c r="BX37" s="1868"/>
      <c r="BY37" s="1866" t="str">
        <f>'Федеральные  средства  по  МО'!X43</f>
        <v xml:space="preserve">Целевая  статья  03 1 Р5 52281 </v>
      </c>
      <c r="BZ37" s="1867"/>
      <c r="CA37" s="1867"/>
      <c r="CB37" s="1867"/>
      <c r="CC37" s="1867"/>
      <c r="CD37" s="1867"/>
      <c r="CE37" s="1867"/>
      <c r="CF37" s="1868"/>
      <c r="CG37" s="1866" t="str">
        <f>'Федеральные  средства  по  МО'!Z43</f>
        <v>Целевая  статья  04 1 Е1 52390</v>
      </c>
      <c r="CH37" s="1867"/>
      <c r="CI37" s="1867"/>
      <c r="CJ37" s="1867"/>
      <c r="CK37" s="1867"/>
      <c r="CL37" s="1867"/>
      <c r="CM37" s="1867"/>
      <c r="CN37" s="1868"/>
      <c r="CO37" s="1866" t="str">
        <f>'Федеральные  средства  по  МО'!AB43</f>
        <v>Целевая  статья  06 1 F5 52432</v>
      </c>
      <c r="CP37" s="1867"/>
      <c r="CQ37" s="1867"/>
      <c r="CR37" s="1867"/>
      <c r="CS37" s="1867"/>
      <c r="CT37" s="1867"/>
      <c r="CU37" s="1867"/>
      <c r="CV37" s="1868"/>
      <c r="CW37" s="1866" t="str">
        <f>'Федеральные  средства  по  МО'!AD43</f>
        <v>Целевая  статья  20 4 02 R2991</v>
      </c>
      <c r="CX37" s="1867"/>
      <c r="CY37" s="1867"/>
      <c r="CZ37" s="1867"/>
      <c r="DA37" s="1867"/>
      <c r="DB37" s="1867"/>
      <c r="DC37" s="1867"/>
      <c r="DD37" s="1868"/>
      <c r="DE37" s="1866" t="str">
        <f>'Федеральные  средства  по  МО'!AF43</f>
        <v>Целевая  статья  05 4 02 R3530</v>
      </c>
      <c r="DF37" s="1867"/>
      <c r="DG37" s="1867"/>
      <c r="DH37" s="1867"/>
      <c r="DI37" s="1867"/>
      <c r="DJ37" s="1867"/>
      <c r="DK37" s="1867"/>
      <c r="DL37" s="1868"/>
      <c r="DM37" s="1866" t="str">
        <f>'Федеральные  средства  по  МО'!AH43</f>
        <v>Целевая  статья  07 2 03 R3722</v>
      </c>
      <c r="DN37" s="1867"/>
      <c r="DO37" s="1867"/>
      <c r="DP37" s="1867"/>
      <c r="DQ37" s="1867"/>
      <c r="DR37" s="1867"/>
      <c r="DS37" s="1867"/>
      <c r="DT37" s="1868"/>
      <c r="DU37" s="1866" t="str">
        <f>'Федеральные  средства  по  МО'!AJ43</f>
        <v>Целевая  статья  08 1 R1 53940</v>
      </c>
      <c r="DV37" s="1867"/>
      <c r="DW37" s="1867"/>
      <c r="DX37" s="1867"/>
      <c r="DY37" s="1867"/>
      <c r="DZ37" s="1867"/>
      <c r="EA37" s="1867"/>
      <c r="EB37" s="1868"/>
      <c r="EC37" s="1866" t="str">
        <f>'Федеральные  средства  по  МО'!AL43</f>
        <v>Целевая  статья  08 1 R7 54010</v>
      </c>
      <c r="ED37" s="1867"/>
      <c r="EE37" s="1867"/>
      <c r="EF37" s="1867"/>
      <c r="EG37" s="1867"/>
      <c r="EH37" s="1867"/>
      <c r="EI37" s="1867"/>
      <c r="EJ37" s="1868"/>
      <c r="EK37" s="1866" t="str">
        <f>'Федеральные  средства  по  МО'!AN43</f>
        <v>Целевая  статья  06 1 F2 54240</v>
      </c>
      <c r="EL37" s="1867"/>
      <c r="EM37" s="1867"/>
      <c r="EN37" s="1867"/>
      <c r="EO37" s="1867"/>
      <c r="EP37" s="1867"/>
      <c r="EQ37" s="1867"/>
      <c r="ER37" s="1868"/>
      <c r="ES37" s="1866" t="str">
        <f>'Федеральные  средства  по  МО'!AP43</f>
        <v>Целевая  статья  05 1 A3 54530</v>
      </c>
      <c r="ET37" s="1867"/>
      <c r="EU37" s="1867"/>
      <c r="EV37" s="1867"/>
      <c r="EW37" s="1867"/>
      <c r="EX37" s="1867"/>
      <c r="EY37" s="1867"/>
      <c r="EZ37" s="1868"/>
      <c r="FA37" s="1866" t="str">
        <f>'Федеральные  средства  по  МО'!AR43</f>
        <v>Целевая  статья  05 1 A1 54540</v>
      </c>
      <c r="FB37" s="1867"/>
      <c r="FC37" s="1867"/>
      <c r="FD37" s="1867"/>
      <c r="FE37" s="1867"/>
      <c r="FF37" s="1867"/>
      <c r="FG37" s="1867"/>
      <c r="FH37" s="1868"/>
      <c r="FI37" s="1866" t="str">
        <f>'Федеральные  средства  по  МО'!AT43</f>
        <v xml:space="preserve">Целевая  статья  05 4 02 R4660  </v>
      </c>
      <c r="FJ37" s="1867"/>
      <c r="FK37" s="1867"/>
      <c r="FL37" s="1867"/>
      <c r="FM37" s="1867"/>
      <c r="FN37" s="1867"/>
      <c r="FO37" s="1867"/>
      <c r="FP37" s="1868"/>
      <c r="FQ37" s="1866" t="str">
        <f>'Федеральные  средства  по  МО'!AV43</f>
        <v xml:space="preserve">Целевая  статья  05 4 02 R4670  </v>
      </c>
      <c r="FR37" s="1867"/>
      <c r="FS37" s="1867"/>
      <c r="FT37" s="1867"/>
      <c r="FU37" s="1867"/>
      <c r="FV37" s="1867"/>
      <c r="FW37" s="1867"/>
      <c r="FX37" s="1868"/>
      <c r="FY37" s="1866" t="str">
        <f>'Федеральные  средства  по  МО'!AX43</f>
        <v>Целевая  статья  17 2 05 R5990</v>
      </c>
      <c r="FZ37" s="1867"/>
      <c r="GA37" s="1867"/>
      <c r="GB37" s="1867"/>
      <c r="GC37" s="1867"/>
      <c r="GD37" s="1867"/>
      <c r="GE37" s="1867"/>
      <c r="GF37" s="1868"/>
      <c r="GG37" s="1866" t="str">
        <f>'Федеральные  средства  по  МО'!AZ43</f>
        <v xml:space="preserve">Целевая  статья  19 4 01 R5110 </v>
      </c>
      <c r="GH37" s="1867"/>
      <c r="GI37" s="1867"/>
      <c r="GJ37" s="1867"/>
      <c r="GK37" s="1867"/>
      <c r="GL37" s="1867"/>
      <c r="GM37" s="1867"/>
      <c r="GN37" s="1868"/>
      <c r="GO37" s="1866" t="str">
        <f>'Федеральные  средства  по  МО'!BB43</f>
        <v>Целевая  статья  05 1 A1 55131</v>
      </c>
      <c r="GP37" s="1867"/>
      <c r="GQ37" s="1867"/>
      <c r="GR37" s="1867"/>
      <c r="GS37" s="1867"/>
      <c r="GT37" s="1867"/>
      <c r="GU37" s="1867"/>
      <c r="GV37" s="1868"/>
      <c r="GW37" s="1866" t="str">
        <f>'Федеральные  средства  по  МО'!BD43</f>
        <v>Целевая  статья 05 1 A1 5519Б</v>
      </c>
      <c r="GX37" s="1867"/>
      <c r="GY37" s="1867"/>
      <c r="GZ37" s="1867"/>
      <c r="HA37" s="1867"/>
      <c r="HB37" s="1867"/>
      <c r="HC37" s="1867"/>
      <c r="HD37" s="1868"/>
      <c r="HE37" s="1866" t="str">
        <f>'Федеральные  средства  по  МО'!BF43</f>
        <v>Целевая  статья  05 1 A1 55198</v>
      </c>
      <c r="HF37" s="1867"/>
      <c r="HG37" s="1867"/>
      <c r="HH37" s="1867"/>
      <c r="HI37" s="1867"/>
      <c r="HJ37" s="1867"/>
      <c r="HK37" s="1867"/>
      <c r="HL37" s="1868"/>
      <c r="HM37" s="1866" t="str">
        <f>'Федеральные  средства  по  МО'!BH43</f>
        <v xml:space="preserve">Целевая  статья  05 4 02 R5191 </v>
      </c>
      <c r="HN37" s="1867"/>
      <c r="HO37" s="1867"/>
      <c r="HP37" s="1867"/>
      <c r="HQ37" s="1867"/>
      <c r="HR37" s="1867"/>
      <c r="HS37" s="1867"/>
      <c r="HT37" s="1868"/>
      <c r="HU37" s="1866" t="str">
        <f>'Федеральные  средства  по  МО'!BJ43</f>
        <v xml:space="preserve">Целевая  статья  04 1 E1 55200  </v>
      </c>
      <c r="HV37" s="1867"/>
      <c r="HW37" s="1867"/>
      <c r="HX37" s="1867"/>
      <c r="HY37" s="1867"/>
      <c r="HZ37" s="1867"/>
      <c r="IA37" s="1867"/>
      <c r="IB37" s="1868"/>
      <c r="IC37" s="1866" t="str">
        <f>'Федеральные  средства  по  МО'!BL43</f>
        <v>Целевая  статья  06 1 F2 55550</v>
      </c>
      <c r="ID37" s="1867"/>
      <c r="IE37" s="1867"/>
      <c r="IF37" s="1867"/>
      <c r="IG37" s="1867"/>
      <c r="IH37" s="1867"/>
      <c r="II37" s="1867"/>
      <c r="IJ37" s="1868"/>
      <c r="IK37" s="1866" t="str">
        <f>'Федеральные  средства  по  МО'!BN43</f>
        <v>Целевая  статья  07 2 02 R5763</v>
      </c>
      <c r="IL37" s="1867"/>
      <c r="IM37" s="1867"/>
      <c r="IN37" s="1867"/>
      <c r="IO37" s="1867"/>
      <c r="IP37" s="1867"/>
      <c r="IQ37" s="1867"/>
      <c r="IR37" s="1868"/>
      <c r="IS37" s="1866" t="str">
        <f>'Федеральные  средства  по  МО'!BR43</f>
        <v>Целевая  статья  05 1 А1 55840</v>
      </c>
      <c r="IT37" s="1867"/>
      <c r="IU37" s="1867"/>
      <c r="IV37" s="1867"/>
      <c r="IW37" s="1867"/>
      <c r="IX37" s="1867"/>
      <c r="IY37" s="1867"/>
      <c r="IZ37" s="1868"/>
      <c r="JA37" s="1866" t="str">
        <f>'Федеральные  средства  по  МО'!BT43</f>
        <v>Целевая  статья  05 1 A1 55900</v>
      </c>
      <c r="JB37" s="1867"/>
      <c r="JC37" s="1867"/>
      <c r="JD37" s="1867"/>
      <c r="JE37" s="1867"/>
      <c r="JF37" s="1867"/>
      <c r="JG37" s="1867"/>
      <c r="JH37" s="1868"/>
      <c r="JI37" s="1866" t="str">
        <f>'Федеральные  средства  по  МО'!BV43</f>
        <v>Целевая  статья  05 1 A1 55970</v>
      </c>
      <c r="JJ37" s="1867"/>
      <c r="JK37" s="1867"/>
      <c r="JL37" s="1867"/>
      <c r="JM37" s="1867"/>
      <c r="JN37" s="1867"/>
      <c r="JO37" s="1867"/>
      <c r="JP37" s="1868"/>
      <c r="JQ37" s="1866" t="str">
        <f>'Федеральные  средства  по  МО'!BX43</f>
        <v>Целевая  статья  04 2 01 R7501</v>
      </c>
      <c r="JR37" s="1867"/>
      <c r="JS37" s="1867"/>
      <c r="JT37" s="1867"/>
      <c r="JU37" s="1867"/>
      <c r="JV37" s="1867"/>
      <c r="JW37" s="1867"/>
      <c r="JX37" s="1868"/>
      <c r="JY37" s="1866" t="str">
        <f>'Федеральные  средства  по  МО'!BZ43</f>
        <v>Целевая  статья  03 2 01 R7530</v>
      </c>
      <c r="JZ37" s="1867"/>
      <c r="KA37" s="1867"/>
      <c r="KB37" s="1867"/>
      <c r="KC37" s="1867"/>
      <c r="KD37" s="1867"/>
      <c r="KE37" s="1867"/>
      <c r="KF37" s="1868"/>
      <c r="KG37" s="1866" t="str">
        <f>'Федеральные  средства  по  МО'!CB43</f>
        <v>Целевая  статья  07 2 01 R5762</v>
      </c>
      <c r="KH37" s="1867"/>
      <c r="KI37" s="1867"/>
      <c r="KJ37" s="1867"/>
      <c r="KK37" s="1867"/>
      <c r="KL37" s="1867"/>
      <c r="KM37" s="1867"/>
      <c r="KN37" s="1868"/>
      <c r="KO37" s="1866" t="str">
        <f>'Федеральные  средства  по  МО'!CD43</f>
        <v>Целевая  статья  07 2 01 R5764</v>
      </c>
      <c r="KP37" s="1867"/>
      <c r="KQ37" s="1867"/>
      <c r="KR37" s="1867"/>
      <c r="KS37" s="1867"/>
      <c r="KT37" s="1867"/>
      <c r="KU37" s="1867"/>
      <c r="KV37" s="1868"/>
      <c r="KW37" s="1866" t="str">
        <f>'Федеральные  средства  по  МО'!CF43</f>
        <v>Целевая  статья  07 2 04 R5766</v>
      </c>
      <c r="KX37" s="1867"/>
      <c r="KY37" s="1867"/>
      <c r="KZ37" s="1867"/>
      <c r="LA37" s="1867"/>
      <c r="LB37" s="1867"/>
      <c r="LC37" s="1867"/>
      <c r="LD37" s="1868"/>
    </row>
    <row r="38" spans="1:316" s="206" customFormat="1" ht="31.5" x14ac:dyDescent="0.2">
      <c r="B38" s="207" t="s">
        <v>340</v>
      </c>
      <c r="C38" s="207" t="s">
        <v>341</v>
      </c>
      <c r="D38" s="208" t="s">
        <v>342</v>
      </c>
      <c r="E38" s="208" t="s">
        <v>343</v>
      </c>
      <c r="F38" s="208" t="s">
        <v>344</v>
      </c>
      <c r="G38" s="208" t="s">
        <v>345</v>
      </c>
      <c r="H38" s="208" t="s">
        <v>346</v>
      </c>
      <c r="I38" s="208" t="s">
        <v>347</v>
      </c>
      <c r="J38" s="208" t="s">
        <v>348</v>
      </c>
      <c r="K38" s="208" t="s">
        <v>349</v>
      </c>
      <c r="L38" s="208" t="s">
        <v>350</v>
      </c>
      <c r="M38" s="208" t="s">
        <v>351</v>
      </c>
      <c r="AC38" s="1"/>
      <c r="AD38" s="1"/>
      <c r="AE38" s="1"/>
      <c r="AF38" s="1"/>
      <c r="AG38" s="1"/>
      <c r="AH38" s="1"/>
      <c r="AI38" s="1"/>
      <c r="AJ38" s="1"/>
      <c r="AK38" s="1"/>
      <c r="AL38" s="1"/>
      <c r="AM38" s="1"/>
      <c r="AN38" s="1"/>
      <c r="AO38" s="1"/>
      <c r="AP38" s="1"/>
      <c r="AQ38" s="1"/>
      <c r="AR38" s="1"/>
    </row>
    <row r="39" spans="1:316" ht="15.75" x14ac:dyDescent="0.25">
      <c r="B39" s="209">
        <f>D39+F39+H39+J39+L39</f>
        <v>6935676.0526399994</v>
      </c>
      <c r="C39" s="209">
        <f>E39+G39+I39+K39+M39</f>
        <v>4290292.3736900007</v>
      </c>
      <c r="D39" s="210">
        <f>C32/1000</f>
        <v>4039432.5958399992</v>
      </c>
      <c r="E39" s="210">
        <f>G32/1000</f>
        <v>2534512.4355000001</v>
      </c>
      <c r="F39" s="210">
        <f>C28/1000-L39</f>
        <v>1199057.3728499997</v>
      </c>
      <c r="G39" s="210">
        <f>G28/1000-M39</f>
        <v>635211.77637999994</v>
      </c>
      <c r="H39" s="210">
        <f>E28/1000</f>
        <v>476063.92189999996</v>
      </c>
      <c r="I39" s="210">
        <f>I28/1000</f>
        <v>279392.51056999998</v>
      </c>
      <c r="J39" s="210">
        <f>D28/1000</f>
        <v>116701.26824</v>
      </c>
      <c r="K39" s="210">
        <f>H28/1000</f>
        <v>57107.01084000001</v>
      </c>
      <c r="L39" s="210">
        <f>(C10+C14+C18+C23)/1000</f>
        <v>1104420.89381</v>
      </c>
      <c r="M39" s="210">
        <f>(G10+G14+G18+G23)/1000</f>
        <v>784068.64040000015</v>
      </c>
    </row>
    <row r="40" spans="1:316" ht="30.95" customHeight="1" x14ac:dyDescent="0.2">
      <c r="B40" s="207" t="s">
        <v>352</v>
      </c>
      <c r="C40" s="207" t="s">
        <v>353</v>
      </c>
      <c r="D40" s="208" t="s">
        <v>342</v>
      </c>
      <c r="E40" s="208" t="s">
        <v>343</v>
      </c>
      <c r="F40" s="208" t="s">
        <v>344</v>
      </c>
      <c r="G40" s="208" t="s">
        <v>345</v>
      </c>
      <c r="H40" s="208" t="s">
        <v>346</v>
      </c>
      <c r="I40" s="208" t="s">
        <v>347</v>
      </c>
      <c r="J40" s="208" t="s">
        <v>348</v>
      </c>
      <c r="K40" s="208" t="s">
        <v>349</v>
      </c>
      <c r="L40" s="208" t="s">
        <v>350</v>
      </c>
      <c r="M40" s="208" t="s">
        <v>351</v>
      </c>
    </row>
    <row r="41" spans="1:316" ht="15.75" x14ac:dyDescent="0.25">
      <c r="B41" s="209">
        <f>D41+F41+H41+J41+L41</f>
        <v>353435</v>
      </c>
      <c r="C41" s="209">
        <f>E41+G41+I41+K41+M41</f>
        <v>37574.331689999999</v>
      </c>
      <c r="D41" s="210">
        <f>(V32+AD32)/1000</f>
        <v>37759</v>
      </c>
      <c r="E41" s="210">
        <f>(Z32+AP32)/1000</f>
        <v>0</v>
      </c>
      <c r="F41" s="210">
        <f>(V28+AL28)/1000-L41</f>
        <v>106924.33905000001</v>
      </c>
      <c r="G41" s="210">
        <f>(Z28+AP28)/1000-M41</f>
        <v>28264.331689999999</v>
      </c>
      <c r="H41" s="210">
        <f>(X28+AN28)/1000</f>
        <v>0</v>
      </c>
      <c r="I41" s="210">
        <f>(AB28+AR28)/1000</f>
        <v>0</v>
      </c>
      <c r="J41" s="210">
        <f>(W28+AM28)/1000</f>
        <v>0</v>
      </c>
      <c r="K41" s="210">
        <f>(AA28+AQ28)/1000</f>
        <v>0</v>
      </c>
      <c r="L41" s="210">
        <f>(V10+V14+V18+V23+AL10+AL14+AL18+AL23+AD10+AD14+AD18+AD23)/1000</f>
        <v>208751.66094999999</v>
      </c>
      <c r="M41" s="210">
        <f>(Z10+Z14+Z18+Z23+AP10+AP14+AP18+AP23+AH10+AH14+AH18+AH23)/1000</f>
        <v>9310</v>
      </c>
    </row>
    <row r="43" spans="1:316" ht="18" x14ac:dyDescent="0.25">
      <c r="B43" s="211">
        <f>B39+B41-M35/1000</f>
        <v>-1012950.8598999996</v>
      </c>
      <c r="C43" s="211">
        <f>C39+C41-Q35/1000</f>
        <v>0</v>
      </c>
    </row>
  </sheetData>
  <mergeCells count="105">
    <mergeCell ref="AC37:AJ37"/>
    <mergeCell ref="AC7:AR7"/>
    <mergeCell ref="AK8:AR8"/>
    <mergeCell ref="AC8:AJ8"/>
    <mergeCell ref="I7:I9"/>
    <mergeCell ref="M7:M9"/>
    <mergeCell ref="N7:N9"/>
    <mergeCell ref="O7:O9"/>
    <mergeCell ref="P7:P9"/>
    <mergeCell ref="Q7:Q9"/>
    <mergeCell ref="A6:A8"/>
    <mergeCell ref="B6:I6"/>
    <mergeCell ref="M6:T6"/>
    <mergeCell ref="B7:B9"/>
    <mergeCell ref="C7:C9"/>
    <mergeCell ref="D7:D9"/>
    <mergeCell ref="E7:E9"/>
    <mergeCell ref="F7:F9"/>
    <mergeCell ref="G7:G9"/>
    <mergeCell ref="H7:H9"/>
    <mergeCell ref="ES7:EZ8"/>
    <mergeCell ref="FA7:FH8"/>
    <mergeCell ref="BQ7:BX8"/>
    <mergeCell ref="BY7:CF7"/>
    <mergeCell ref="CG7:CN8"/>
    <mergeCell ref="CO7:CV8"/>
    <mergeCell ref="CW7:DD7"/>
    <mergeCell ref="DE7:DL8"/>
    <mergeCell ref="R7:R9"/>
    <mergeCell ref="S7:S9"/>
    <mergeCell ref="T7:T9"/>
    <mergeCell ref="U7:AB8"/>
    <mergeCell ref="AS7:BP7"/>
    <mergeCell ref="KW8:LD8"/>
    <mergeCell ref="U37:AB37"/>
    <mergeCell ref="AK37:AR37"/>
    <mergeCell ref="AS37:AZ37"/>
    <mergeCell ref="BA37:BH37"/>
    <mergeCell ref="BI37:BP37"/>
    <mergeCell ref="BQ37:BX37"/>
    <mergeCell ref="JY7:KF7"/>
    <mergeCell ref="KG7:LD7"/>
    <mergeCell ref="AS8:AZ8"/>
    <mergeCell ref="BA8:BH8"/>
    <mergeCell ref="BI8:BP8"/>
    <mergeCell ref="BY8:CF8"/>
    <mergeCell ref="CW8:DD8"/>
    <mergeCell ref="FY8:GF8"/>
    <mergeCell ref="GG8:GN8"/>
    <mergeCell ref="GO8:GV8"/>
    <mergeCell ref="IC7:IJ7"/>
    <mergeCell ref="IK7:IR7"/>
    <mergeCell ref="IS7:IZ8"/>
    <mergeCell ref="JA7:JH8"/>
    <mergeCell ref="JI7:JP8"/>
    <mergeCell ref="JQ7:JX8"/>
    <mergeCell ref="IC8:IJ8"/>
    <mergeCell ref="BY37:CF37"/>
    <mergeCell ref="CG37:CN37"/>
    <mergeCell ref="CO37:CV37"/>
    <mergeCell ref="CW37:DD37"/>
    <mergeCell ref="DE37:DL37"/>
    <mergeCell ref="DM37:DT37"/>
    <mergeCell ref="JY8:KF8"/>
    <mergeCell ref="KG8:KN8"/>
    <mergeCell ref="KO8:KV8"/>
    <mergeCell ref="IK8:IR8"/>
    <mergeCell ref="FI7:FP8"/>
    <mergeCell ref="FQ7:FX8"/>
    <mergeCell ref="FY7:GN7"/>
    <mergeCell ref="GO7:GV7"/>
    <mergeCell ref="GW7:HT7"/>
    <mergeCell ref="HU7:IB7"/>
    <mergeCell ref="GW8:HD8"/>
    <mergeCell ref="HE8:HL8"/>
    <mergeCell ref="HM8:HT8"/>
    <mergeCell ref="HU8:IB8"/>
    <mergeCell ref="DM7:DT8"/>
    <mergeCell ref="DU7:EB8"/>
    <mergeCell ref="EC7:EJ8"/>
    <mergeCell ref="EK7:ER8"/>
    <mergeCell ref="FQ37:FX37"/>
    <mergeCell ref="FY37:GF37"/>
    <mergeCell ref="GG37:GN37"/>
    <mergeCell ref="GO37:GV37"/>
    <mergeCell ref="GW37:HD37"/>
    <mergeCell ref="HE37:HL37"/>
    <mergeCell ref="DU37:EB37"/>
    <mergeCell ref="EC37:EJ37"/>
    <mergeCell ref="EK37:ER37"/>
    <mergeCell ref="ES37:EZ37"/>
    <mergeCell ref="FA37:FH37"/>
    <mergeCell ref="FI37:FP37"/>
    <mergeCell ref="JI37:JP37"/>
    <mergeCell ref="JQ37:JX37"/>
    <mergeCell ref="JY37:KF37"/>
    <mergeCell ref="KG37:KN37"/>
    <mergeCell ref="KO37:KV37"/>
    <mergeCell ref="KW37:LD37"/>
    <mergeCell ref="HM37:HT37"/>
    <mergeCell ref="HU37:IB37"/>
    <mergeCell ref="IC37:IJ37"/>
    <mergeCell ref="IK37:IR37"/>
    <mergeCell ref="IS37:IZ37"/>
    <mergeCell ref="JA37:JH37"/>
  </mergeCells>
  <pageMargins left="0.78740157480314965" right="0.39370078740157483" top="0.59055118110236227" bottom="0.59055118110236227" header="0.51181102362204722" footer="0.51181102362204722"/>
  <pageSetup paperSize="9" scale="46" fitToWidth="50" orientation="landscape" horizontalDpi="300" verticalDpi="300" r:id="rId1"/>
  <headerFooter alignWithMargins="0">
    <oddFooter>&amp;L&amp;P&amp;R&amp;Z&amp;F&amp;A</oddFooter>
  </headerFooter>
  <colBreaks count="6" manualBreakCount="6">
    <brk id="12" max="1048575" man="1"/>
    <brk id="44" max="1048575" man="1"/>
    <brk id="68" max="1048575" man="1"/>
    <brk id="80" max="1048575" man="1"/>
    <brk id="168" max="1048575" man="1"/>
    <brk id="22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E250"/>
  <sheetViews>
    <sheetView zoomScale="80" zoomScaleNormal="80" workbookViewId="0">
      <pane xSplit="2" ySplit="5" topLeftCell="C6" activePane="bottomRight" state="frozen"/>
      <selection pane="topRight" activeCell="C1" sqref="C1"/>
      <selection pane="bottomLeft" activeCell="A6" sqref="A6"/>
      <selection pane="bottomRight" activeCell="E5" sqref="E5"/>
    </sheetView>
  </sheetViews>
  <sheetFormatPr defaultColWidth="8.7109375" defaultRowHeight="15.75" x14ac:dyDescent="0.2"/>
  <cols>
    <col min="1" max="1" width="34.140625" style="21" customWidth="1"/>
    <col min="2" max="2" width="40.5703125" style="21" customWidth="1"/>
    <col min="3" max="3" width="16.5703125" style="1" customWidth="1"/>
    <col min="4" max="4" width="16" style="1" customWidth="1"/>
    <col min="5" max="5" width="23.140625" style="7" bestFit="1" customWidth="1"/>
    <col min="6" max="16384" width="8.7109375" style="1"/>
  </cols>
  <sheetData>
    <row r="2" spans="1:5" ht="15.6" customHeight="1" x14ac:dyDescent="0.25">
      <c r="A2" s="1889" t="s">
        <v>32</v>
      </c>
      <c r="B2" s="1889"/>
      <c r="C2" s="1889"/>
      <c r="D2" s="1889"/>
      <c r="E2" s="1889"/>
    </row>
    <row r="4" spans="1:5" ht="47.25" x14ac:dyDescent="0.2">
      <c r="A4" s="4" t="s">
        <v>1</v>
      </c>
      <c r="B4" s="5" t="s">
        <v>33</v>
      </c>
      <c r="C4" s="6" t="s">
        <v>6</v>
      </c>
      <c r="D4" s="6" t="s">
        <v>7</v>
      </c>
    </row>
    <row r="5" spans="1:5" x14ac:dyDescent="0.2">
      <c r="A5" s="8"/>
      <c r="B5" s="9"/>
      <c r="C5" s="374">
        <v>46507300</v>
      </c>
      <c r="D5" s="374">
        <v>21188105.82</v>
      </c>
      <c r="E5" s="7">
        <f>SUM(E6:E227)-D5</f>
        <v>2997227.5300000012</v>
      </c>
    </row>
    <row r="6" spans="1:5" ht="25.5" x14ac:dyDescent="0.2">
      <c r="A6" s="1187" t="s">
        <v>34</v>
      </c>
      <c r="B6" s="12" t="s">
        <v>35</v>
      </c>
      <c r="C6" s="1102">
        <v>2362800</v>
      </c>
      <c r="D6" s="1102">
        <v>408936.11</v>
      </c>
      <c r="E6" s="13">
        <f>D6</f>
        <v>408936.11</v>
      </c>
    </row>
    <row r="7" spans="1:5" ht="25.5" x14ac:dyDescent="0.2">
      <c r="A7" s="1187" t="s">
        <v>82</v>
      </c>
      <c r="B7" s="12" t="s">
        <v>83</v>
      </c>
      <c r="C7" s="1102">
        <v>2743300</v>
      </c>
      <c r="D7" s="1102">
        <v>636619.31000000006</v>
      </c>
      <c r="E7" s="13">
        <f>D7</f>
        <v>636619.31000000006</v>
      </c>
    </row>
    <row r="8" spans="1:5" ht="25.5" x14ac:dyDescent="0.2">
      <c r="A8" s="1187" t="s">
        <v>1301</v>
      </c>
      <c r="B8" s="12" t="s">
        <v>129</v>
      </c>
      <c r="C8" s="1102">
        <v>2029300</v>
      </c>
      <c r="D8" s="1102">
        <v>349666.1</v>
      </c>
      <c r="E8" s="13">
        <f>D8</f>
        <v>349666.1</v>
      </c>
    </row>
    <row r="9" spans="1:5" ht="25.5" x14ac:dyDescent="0.2">
      <c r="A9" s="1187" t="s">
        <v>184</v>
      </c>
      <c r="B9" s="12" t="s">
        <v>185</v>
      </c>
      <c r="C9" s="1102">
        <v>2348100</v>
      </c>
      <c r="D9" s="1102">
        <v>94937.04</v>
      </c>
      <c r="E9" s="13">
        <f>D9</f>
        <v>94937.04</v>
      </c>
    </row>
    <row r="10" spans="1:5" ht="38.25" x14ac:dyDescent="0.2">
      <c r="A10" s="14" t="s">
        <v>11</v>
      </c>
      <c r="B10" s="12" t="s">
        <v>36</v>
      </c>
      <c r="C10" s="1102">
        <v>327400</v>
      </c>
      <c r="D10" s="1102">
        <v>233678.69</v>
      </c>
      <c r="E10" s="13">
        <f>SUM(D10:D25)</f>
        <v>1943794.7000000002</v>
      </c>
    </row>
    <row r="11" spans="1:5" ht="38.25" x14ac:dyDescent="0.2">
      <c r="A11" s="15" t="s">
        <v>11</v>
      </c>
      <c r="B11" s="12" t="s">
        <v>37</v>
      </c>
      <c r="C11" s="1102">
        <v>138100</v>
      </c>
      <c r="D11" s="1102">
        <v>83249.84</v>
      </c>
    </row>
    <row r="12" spans="1:5" ht="38.25" x14ac:dyDescent="0.2">
      <c r="A12" s="15" t="s">
        <v>11</v>
      </c>
      <c r="B12" s="12" t="s">
        <v>38</v>
      </c>
      <c r="C12" s="1102">
        <v>136800</v>
      </c>
      <c r="D12" s="1102">
        <v>86051.59</v>
      </c>
    </row>
    <row r="13" spans="1:5" ht="38.25" x14ac:dyDescent="0.2">
      <c r="A13" s="15" t="s">
        <v>11</v>
      </c>
      <c r="B13" s="12" t="s">
        <v>39</v>
      </c>
      <c r="C13" s="1102">
        <v>135500</v>
      </c>
      <c r="D13" s="1102">
        <v>86796.32</v>
      </c>
    </row>
    <row r="14" spans="1:5" ht="38.25" x14ac:dyDescent="0.2">
      <c r="A14" s="15" t="s">
        <v>11</v>
      </c>
      <c r="B14" s="12" t="s">
        <v>40</v>
      </c>
      <c r="C14" s="1102">
        <v>136900</v>
      </c>
      <c r="D14" s="1102">
        <v>71582.070000000007</v>
      </c>
    </row>
    <row r="15" spans="1:5" ht="38.25" x14ac:dyDescent="0.2">
      <c r="A15" s="15" t="s">
        <v>11</v>
      </c>
      <c r="B15" s="12" t="s">
        <v>41</v>
      </c>
      <c r="C15" s="1102">
        <v>326800</v>
      </c>
      <c r="D15" s="1102">
        <v>195431.15</v>
      </c>
    </row>
    <row r="16" spans="1:5" ht="38.25" x14ac:dyDescent="0.2">
      <c r="A16" s="15" t="s">
        <v>11</v>
      </c>
      <c r="B16" s="12" t="s">
        <v>42</v>
      </c>
      <c r="C16" s="1102">
        <v>135800</v>
      </c>
      <c r="D16" s="1102">
        <v>93456.71</v>
      </c>
    </row>
    <row r="17" spans="1:5" ht="38.25" x14ac:dyDescent="0.2">
      <c r="A17" s="15" t="s">
        <v>11</v>
      </c>
      <c r="B17" s="12" t="s">
        <v>43</v>
      </c>
      <c r="C17" s="1102">
        <v>136800</v>
      </c>
      <c r="D17" s="1102">
        <v>100377.8</v>
      </c>
    </row>
    <row r="18" spans="1:5" ht="38.25" x14ac:dyDescent="0.2">
      <c r="A18" s="15" t="s">
        <v>11</v>
      </c>
      <c r="B18" s="12" t="s">
        <v>44</v>
      </c>
      <c r="C18" s="1102">
        <v>137300</v>
      </c>
      <c r="D18" s="1102">
        <v>101915.54</v>
      </c>
    </row>
    <row r="19" spans="1:5" ht="38.25" x14ac:dyDescent="0.2">
      <c r="A19" s="15" t="s">
        <v>11</v>
      </c>
      <c r="B19" s="12" t="s">
        <v>45</v>
      </c>
      <c r="C19" s="1102">
        <v>137200</v>
      </c>
      <c r="D19" s="1102">
        <v>70259.12</v>
      </c>
    </row>
    <row r="20" spans="1:5" ht="38.25" x14ac:dyDescent="0.2">
      <c r="A20" s="15" t="s">
        <v>11</v>
      </c>
      <c r="B20" s="12" t="s">
        <v>46</v>
      </c>
      <c r="C20" s="1102">
        <v>327200</v>
      </c>
      <c r="D20" s="1102">
        <v>221169.61</v>
      </c>
    </row>
    <row r="21" spans="1:5" ht="38.25" x14ac:dyDescent="0.2">
      <c r="A21" s="15" t="s">
        <v>11</v>
      </c>
      <c r="B21" s="12" t="s">
        <v>47</v>
      </c>
      <c r="C21" s="1102">
        <v>327800</v>
      </c>
      <c r="D21" s="1102">
        <v>156247.06</v>
      </c>
    </row>
    <row r="22" spans="1:5" ht="38.25" x14ac:dyDescent="0.2">
      <c r="A22" s="15" t="s">
        <v>11</v>
      </c>
      <c r="B22" s="12" t="s">
        <v>48</v>
      </c>
      <c r="C22" s="1102">
        <v>138900</v>
      </c>
      <c r="D22" s="1102">
        <v>94969.91</v>
      </c>
    </row>
    <row r="23" spans="1:5" ht="38.25" x14ac:dyDescent="0.2">
      <c r="A23" s="15" t="s">
        <v>11</v>
      </c>
      <c r="B23" s="12" t="s">
        <v>49</v>
      </c>
      <c r="C23" s="1102">
        <v>135900</v>
      </c>
      <c r="D23" s="1102">
        <v>73935.839999999997</v>
      </c>
    </row>
    <row r="24" spans="1:5" ht="38.25" x14ac:dyDescent="0.2">
      <c r="A24" s="15" t="s">
        <v>11</v>
      </c>
      <c r="B24" s="12" t="s">
        <v>50</v>
      </c>
      <c r="C24" s="1102">
        <v>327700</v>
      </c>
      <c r="D24" s="1102">
        <v>188534.87</v>
      </c>
    </row>
    <row r="25" spans="1:5" ht="38.25" x14ac:dyDescent="0.2">
      <c r="A25" s="15" t="s">
        <v>11</v>
      </c>
      <c r="B25" s="12" t="s">
        <v>51</v>
      </c>
      <c r="C25" s="1102">
        <v>136000</v>
      </c>
      <c r="D25" s="1102">
        <v>86138.58</v>
      </c>
    </row>
    <row r="26" spans="1:5" ht="38.25" x14ac:dyDescent="0.2">
      <c r="A26" s="14" t="s">
        <v>13</v>
      </c>
      <c r="B26" s="12" t="s">
        <v>52</v>
      </c>
      <c r="C26" s="1102">
        <v>137300</v>
      </c>
      <c r="D26" s="1102">
        <v>80169.88</v>
      </c>
      <c r="E26" s="13">
        <f>SUM(D26:D39)</f>
        <v>1118343.45</v>
      </c>
    </row>
    <row r="27" spans="1:5" ht="38.25" x14ac:dyDescent="0.2">
      <c r="A27" s="15" t="s">
        <v>13</v>
      </c>
      <c r="B27" s="12" t="s">
        <v>53</v>
      </c>
      <c r="C27" s="1102">
        <v>137300</v>
      </c>
      <c r="D27" s="1102">
        <v>83766.98</v>
      </c>
    </row>
    <row r="28" spans="1:5" ht="38.25" x14ac:dyDescent="0.2">
      <c r="A28" s="15" t="s">
        <v>13</v>
      </c>
      <c r="B28" s="12" t="s">
        <v>54</v>
      </c>
      <c r="C28" s="1102">
        <v>135300</v>
      </c>
      <c r="D28" s="1102">
        <v>78042.09</v>
      </c>
    </row>
    <row r="29" spans="1:5" ht="38.25" x14ac:dyDescent="0.2">
      <c r="A29" s="15" t="s">
        <v>13</v>
      </c>
      <c r="B29" s="12" t="s">
        <v>55</v>
      </c>
      <c r="C29" s="1102">
        <v>137200</v>
      </c>
      <c r="D29" s="1102">
        <v>83210.66</v>
      </c>
    </row>
    <row r="30" spans="1:5" ht="38.25" x14ac:dyDescent="0.2">
      <c r="A30" s="15" t="s">
        <v>13</v>
      </c>
      <c r="B30" s="12" t="s">
        <v>56</v>
      </c>
      <c r="C30" s="1102">
        <v>136000</v>
      </c>
      <c r="D30" s="1102">
        <v>94286.76</v>
      </c>
    </row>
    <row r="31" spans="1:5" ht="38.25" x14ac:dyDescent="0.2">
      <c r="A31" s="15" t="s">
        <v>13</v>
      </c>
      <c r="B31" s="12" t="s">
        <v>57</v>
      </c>
      <c r="C31" s="1102">
        <v>135800</v>
      </c>
      <c r="D31" s="1102">
        <v>76138.67</v>
      </c>
    </row>
    <row r="32" spans="1:5" ht="38.25" x14ac:dyDescent="0.2">
      <c r="A32" s="15" t="s">
        <v>13</v>
      </c>
      <c r="B32" s="12" t="s">
        <v>58</v>
      </c>
      <c r="C32" s="1102">
        <v>134800</v>
      </c>
      <c r="D32" s="1102">
        <v>75395.490000000005</v>
      </c>
    </row>
    <row r="33" spans="1:5" ht="38.25" x14ac:dyDescent="0.2">
      <c r="A33" s="15" t="s">
        <v>13</v>
      </c>
      <c r="B33" s="12" t="s">
        <v>59</v>
      </c>
      <c r="C33" s="1102">
        <v>138300</v>
      </c>
      <c r="D33" s="1102">
        <v>82152.600000000006</v>
      </c>
    </row>
    <row r="34" spans="1:5" ht="38.25" x14ac:dyDescent="0.2">
      <c r="A34" s="15" t="s">
        <v>13</v>
      </c>
      <c r="B34" s="12" t="s">
        <v>60</v>
      </c>
      <c r="C34" s="1102">
        <v>134200</v>
      </c>
      <c r="D34" s="1102">
        <v>79750.66</v>
      </c>
    </row>
    <row r="35" spans="1:5" ht="38.25" x14ac:dyDescent="0.2">
      <c r="A35" s="15" t="s">
        <v>13</v>
      </c>
      <c r="B35" s="12" t="s">
        <v>61</v>
      </c>
      <c r="C35" s="1102">
        <v>137900</v>
      </c>
      <c r="D35" s="1102">
        <v>80115.199999999997</v>
      </c>
    </row>
    <row r="36" spans="1:5" ht="38.25" x14ac:dyDescent="0.2">
      <c r="A36" s="15" t="s">
        <v>13</v>
      </c>
      <c r="B36" s="12" t="s">
        <v>62</v>
      </c>
      <c r="C36" s="1102">
        <v>328200</v>
      </c>
      <c r="D36" s="1102">
        <v>80512.88</v>
      </c>
    </row>
    <row r="37" spans="1:5" ht="38.25" x14ac:dyDescent="0.2">
      <c r="A37" s="15" t="s">
        <v>13</v>
      </c>
      <c r="B37" s="12" t="s">
        <v>63</v>
      </c>
      <c r="C37" s="1102">
        <v>135800</v>
      </c>
      <c r="D37" s="1102">
        <v>72211.95</v>
      </c>
    </row>
    <row r="38" spans="1:5" ht="38.25" x14ac:dyDescent="0.2">
      <c r="A38" s="15" t="s">
        <v>13</v>
      </c>
      <c r="B38" s="12" t="s">
        <v>64</v>
      </c>
      <c r="C38" s="1102">
        <v>137300</v>
      </c>
      <c r="D38" s="1102">
        <v>80169.919999999998</v>
      </c>
    </row>
    <row r="39" spans="1:5" ht="38.25" x14ac:dyDescent="0.2">
      <c r="A39" s="15" t="s">
        <v>13</v>
      </c>
      <c r="B39" s="12" t="s">
        <v>65</v>
      </c>
      <c r="C39" s="1102">
        <v>135300</v>
      </c>
      <c r="D39" s="1102">
        <v>72419.710000000006</v>
      </c>
    </row>
    <row r="40" spans="1:5" ht="38.25" x14ac:dyDescent="0.2">
      <c r="A40" s="14" t="s">
        <v>16</v>
      </c>
      <c r="B40" s="12" t="s">
        <v>66</v>
      </c>
      <c r="C40" s="1102">
        <v>135500</v>
      </c>
      <c r="D40" s="1102">
        <v>83669.84</v>
      </c>
      <c r="E40" s="13">
        <f>SUM(D40:D55)</f>
        <v>1802896.5099999998</v>
      </c>
    </row>
    <row r="41" spans="1:5" ht="38.25" x14ac:dyDescent="0.2">
      <c r="A41" s="15" t="s">
        <v>16</v>
      </c>
      <c r="B41" s="12" t="s">
        <v>67</v>
      </c>
      <c r="C41" s="1102">
        <v>326300</v>
      </c>
      <c r="D41" s="1102">
        <v>224159.84</v>
      </c>
    </row>
    <row r="42" spans="1:5" ht="38.25" x14ac:dyDescent="0.2">
      <c r="A42" s="15" t="s">
        <v>16</v>
      </c>
      <c r="B42" s="12" t="s">
        <v>68</v>
      </c>
      <c r="C42" s="1102">
        <v>135500</v>
      </c>
      <c r="D42" s="1102">
        <v>80171.92</v>
      </c>
    </row>
    <row r="43" spans="1:5" ht="38.25" x14ac:dyDescent="0.2">
      <c r="A43" s="15" t="s">
        <v>16</v>
      </c>
      <c r="B43" s="12" t="s">
        <v>69</v>
      </c>
      <c r="C43" s="1102">
        <v>134800</v>
      </c>
      <c r="D43" s="1102">
        <v>62571.49</v>
      </c>
    </row>
    <row r="44" spans="1:5" ht="38.25" x14ac:dyDescent="0.2">
      <c r="A44" s="15" t="s">
        <v>16</v>
      </c>
      <c r="B44" s="12" t="s">
        <v>70</v>
      </c>
      <c r="C44" s="1102">
        <v>139500</v>
      </c>
      <c r="D44" s="1102">
        <v>81046.289999999994</v>
      </c>
    </row>
    <row r="45" spans="1:5" ht="38.25" x14ac:dyDescent="0.2">
      <c r="A45" s="15" t="s">
        <v>16</v>
      </c>
      <c r="B45" s="12" t="s">
        <v>71</v>
      </c>
      <c r="C45" s="1102">
        <v>137500</v>
      </c>
      <c r="D45" s="1102">
        <v>87607.8</v>
      </c>
    </row>
    <row r="46" spans="1:5" ht="38.25" x14ac:dyDescent="0.2">
      <c r="A46" s="15" t="s">
        <v>16</v>
      </c>
      <c r="B46" s="12" t="s">
        <v>72</v>
      </c>
      <c r="C46" s="1102">
        <v>137500</v>
      </c>
      <c r="D46" s="1102">
        <v>80168</v>
      </c>
    </row>
    <row r="47" spans="1:5" ht="38.25" x14ac:dyDescent="0.2">
      <c r="A47" s="15" t="s">
        <v>16</v>
      </c>
      <c r="B47" s="12" t="s">
        <v>73</v>
      </c>
      <c r="C47" s="1102">
        <v>135000</v>
      </c>
      <c r="D47" s="1102">
        <v>83618</v>
      </c>
    </row>
    <row r="48" spans="1:5" ht="38.25" x14ac:dyDescent="0.2">
      <c r="A48" s="15" t="s">
        <v>16</v>
      </c>
      <c r="B48" s="12" t="s">
        <v>74</v>
      </c>
      <c r="C48" s="1102">
        <v>139500</v>
      </c>
      <c r="D48" s="1102">
        <v>80168</v>
      </c>
    </row>
    <row r="49" spans="1:5" ht="38.25" x14ac:dyDescent="0.2">
      <c r="A49" s="15" t="s">
        <v>16</v>
      </c>
      <c r="B49" s="12" t="s">
        <v>75</v>
      </c>
      <c r="C49" s="1102">
        <v>326400</v>
      </c>
      <c r="D49" s="1102">
        <v>199312.16</v>
      </c>
    </row>
    <row r="50" spans="1:5" ht="38.25" x14ac:dyDescent="0.2">
      <c r="A50" s="15" t="s">
        <v>16</v>
      </c>
      <c r="B50" s="12" t="s">
        <v>76</v>
      </c>
      <c r="C50" s="1102">
        <v>326100</v>
      </c>
      <c r="D50" s="1102">
        <v>202419.77</v>
      </c>
    </row>
    <row r="51" spans="1:5" ht="38.25" x14ac:dyDescent="0.2">
      <c r="A51" s="15" t="s">
        <v>16</v>
      </c>
      <c r="B51" s="12" t="s">
        <v>77</v>
      </c>
      <c r="C51" s="1102">
        <v>136200</v>
      </c>
      <c r="D51" s="1102">
        <v>83705.37</v>
      </c>
    </row>
    <row r="52" spans="1:5" ht="38.25" x14ac:dyDescent="0.2">
      <c r="A52" s="15" t="s">
        <v>16</v>
      </c>
      <c r="B52" s="12" t="s">
        <v>78</v>
      </c>
      <c r="C52" s="1102">
        <v>136200</v>
      </c>
      <c r="D52" s="1102">
        <v>79415.73</v>
      </c>
    </row>
    <row r="53" spans="1:5" ht="38.25" x14ac:dyDescent="0.2">
      <c r="A53" s="15" t="s">
        <v>16</v>
      </c>
      <c r="B53" s="12" t="s">
        <v>79</v>
      </c>
      <c r="C53" s="1102">
        <v>326200</v>
      </c>
      <c r="D53" s="1102">
        <v>212324.67</v>
      </c>
    </row>
    <row r="54" spans="1:5" ht="38.25" x14ac:dyDescent="0.2">
      <c r="A54" s="15" t="s">
        <v>16</v>
      </c>
      <c r="B54" s="12" t="s">
        <v>80</v>
      </c>
      <c r="C54" s="1102">
        <v>135100</v>
      </c>
      <c r="D54" s="1102">
        <v>80168</v>
      </c>
    </row>
    <row r="55" spans="1:5" ht="38.25" x14ac:dyDescent="0.2">
      <c r="A55" s="15" t="s">
        <v>16</v>
      </c>
      <c r="B55" s="12" t="s">
        <v>81</v>
      </c>
      <c r="C55" s="1102">
        <v>137000</v>
      </c>
      <c r="D55" s="1102">
        <v>82369.63</v>
      </c>
    </row>
    <row r="56" spans="1:5" ht="25.5" x14ac:dyDescent="0.2">
      <c r="A56" s="14" t="s">
        <v>17</v>
      </c>
      <c r="B56" s="12" t="s">
        <v>84</v>
      </c>
      <c r="C56" s="1102">
        <v>135200</v>
      </c>
      <c r="D56" s="1102">
        <v>93461.21</v>
      </c>
      <c r="E56" s="13">
        <f>SUM(D56:D68)</f>
        <v>1116015.6000000001</v>
      </c>
    </row>
    <row r="57" spans="1:5" ht="25.5" x14ac:dyDescent="0.2">
      <c r="A57" s="15" t="s">
        <v>17</v>
      </c>
      <c r="B57" s="12" t="s">
        <v>85</v>
      </c>
      <c r="C57" s="1102">
        <v>136800</v>
      </c>
      <c r="D57" s="1102">
        <v>79099.64</v>
      </c>
    </row>
    <row r="58" spans="1:5" ht="25.5" x14ac:dyDescent="0.2">
      <c r="A58" s="15" t="s">
        <v>17</v>
      </c>
      <c r="B58" s="12" t="s">
        <v>86</v>
      </c>
      <c r="C58" s="1102">
        <v>136900</v>
      </c>
      <c r="D58" s="1102">
        <v>78891.66</v>
      </c>
    </row>
    <row r="59" spans="1:5" ht="38.25" x14ac:dyDescent="0.2">
      <c r="A59" s="15" t="s">
        <v>17</v>
      </c>
      <c r="B59" s="12" t="s">
        <v>87</v>
      </c>
      <c r="C59" s="1102">
        <v>138100</v>
      </c>
      <c r="D59" s="1102">
        <v>82401.399999999994</v>
      </c>
    </row>
    <row r="60" spans="1:5" ht="25.5" x14ac:dyDescent="0.2">
      <c r="A60" s="15" t="s">
        <v>17</v>
      </c>
      <c r="B60" s="12" t="s">
        <v>88</v>
      </c>
      <c r="C60" s="1102">
        <v>136100</v>
      </c>
      <c r="D60" s="1102">
        <v>101916.56</v>
      </c>
    </row>
    <row r="61" spans="1:5" ht="25.5" x14ac:dyDescent="0.2">
      <c r="A61" s="15" t="s">
        <v>17</v>
      </c>
      <c r="B61" s="12" t="s">
        <v>89</v>
      </c>
      <c r="C61" s="1102">
        <v>136600</v>
      </c>
      <c r="D61" s="1102">
        <v>93108.66</v>
      </c>
    </row>
    <row r="62" spans="1:5" ht="25.5" x14ac:dyDescent="0.2">
      <c r="A62" s="15" t="s">
        <v>17</v>
      </c>
      <c r="B62" s="12" t="s">
        <v>90</v>
      </c>
      <c r="C62" s="1102">
        <v>136900</v>
      </c>
      <c r="D62" s="1102">
        <v>88227.64</v>
      </c>
    </row>
    <row r="63" spans="1:5" ht="25.5" x14ac:dyDescent="0.2">
      <c r="A63" s="15" t="s">
        <v>17</v>
      </c>
      <c r="B63" s="12" t="s">
        <v>91</v>
      </c>
      <c r="C63" s="1102">
        <v>135300</v>
      </c>
      <c r="D63" s="1102">
        <v>92794.87</v>
      </c>
    </row>
    <row r="64" spans="1:5" ht="25.5" x14ac:dyDescent="0.2">
      <c r="A64" s="15" t="s">
        <v>17</v>
      </c>
      <c r="B64" s="12" t="s">
        <v>92</v>
      </c>
      <c r="C64" s="1102">
        <v>134800</v>
      </c>
      <c r="D64" s="1102">
        <v>72456.08</v>
      </c>
    </row>
    <row r="65" spans="1:5" ht="25.5" x14ac:dyDescent="0.2">
      <c r="A65" s="15" t="s">
        <v>17</v>
      </c>
      <c r="B65" s="12" t="s">
        <v>93</v>
      </c>
      <c r="C65" s="1102">
        <v>134400</v>
      </c>
      <c r="D65" s="1102">
        <v>81686.16</v>
      </c>
    </row>
    <row r="66" spans="1:5" ht="25.5" x14ac:dyDescent="0.2">
      <c r="A66" s="15" t="s">
        <v>17</v>
      </c>
      <c r="B66" s="12" t="s">
        <v>94</v>
      </c>
      <c r="C66" s="1102">
        <v>136200</v>
      </c>
      <c r="D66" s="1102">
        <v>75636.02</v>
      </c>
    </row>
    <row r="67" spans="1:5" ht="25.5" x14ac:dyDescent="0.2">
      <c r="A67" s="15" t="s">
        <v>17</v>
      </c>
      <c r="B67" s="12" t="s">
        <v>95</v>
      </c>
      <c r="C67" s="1102">
        <v>137200</v>
      </c>
      <c r="D67" s="1102">
        <v>83669.72</v>
      </c>
    </row>
    <row r="68" spans="1:5" ht="25.5" x14ac:dyDescent="0.2">
      <c r="A68" s="15" t="s">
        <v>17</v>
      </c>
      <c r="B68" s="12" t="s">
        <v>96</v>
      </c>
      <c r="C68" s="1102">
        <v>134800</v>
      </c>
      <c r="D68" s="1102">
        <v>92665.98</v>
      </c>
    </row>
    <row r="69" spans="1:5" ht="38.25" x14ac:dyDescent="0.2">
      <c r="A69" s="11" t="s">
        <v>18</v>
      </c>
      <c r="B69" s="12" t="s">
        <v>97</v>
      </c>
      <c r="C69" s="1102">
        <v>325700</v>
      </c>
      <c r="D69" s="1102">
        <v>240490.66</v>
      </c>
      <c r="E69" s="16">
        <f>SUM(D69:D83)</f>
        <v>1862579.49</v>
      </c>
    </row>
    <row r="70" spans="1:5" ht="38.25" x14ac:dyDescent="0.2">
      <c r="A70" s="17" t="s">
        <v>18</v>
      </c>
      <c r="B70" s="12" t="s">
        <v>98</v>
      </c>
      <c r="C70" s="1102">
        <v>134200</v>
      </c>
      <c r="D70" s="1102">
        <v>87144.52</v>
      </c>
    </row>
    <row r="71" spans="1:5" ht="38.25" x14ac:dyDescent="0.2">
      <c r="A71" s="17" t="s">
        <v>18</v>
      </c>
      <c r="B71" s="12" t="s">
        <v>99</v>
      </c>
      <c r="C71" s="1102">
        <v>133400</v>
      </c>
      <c r="D71" s="1102">
        <v>84469.84</v>
      </c>
    </row>
    <row r="72" spans="1:5" ht="38.25" x14ac:dyDescent="0.2">
      <c r="A72" s="17" t="s">
        <v>18</v>
      </c>
      <c r="B72" s="12" t="s">
        <v>100</v>
      </c>
      <c r="C72" s="1102">
        <v>135100</v>
      </c>
      <c r="D72" s="1102">
        <v>101325</v>
      </c>
    </row>
    <row r="73" spans="1:5" ht="38.25" x14ac:dyDescent="0.2">
      <c r="A73" s="17" t="s">
        <v>18</v>
      </c>
      <c r="B73" s="12" t="s">
        <v>101</v>
      </c>
      <c r="C73" s="1102">
        <v>137200</v>
      </c>
      <c r="D73" s="1102">
        <v>80894.41</v>
      </c>
    </row>
    <row r="74" spans="1:5" ht="38.25" x14ac:dyDescent="0.2">
      <c r="A74" s="17" t="s">
        <v>18</v>
      </c>
      <c r="B74" s="12" t="s">
        <v>102</v>
      </c>
      <c r="C74" s="1102">
        <v>134800</v>
      </c>
      <c r="D74" s="1102">
        <v>75823.27</v>
      </c>
    </row>
    <row r="75" spans="1:5" ht="38.25" x14ac:dyDescent="0.2">
      <c r="A75" s="17" t="s">
        <v>18</v>
      </c>
      <c r="B75" s="12" t="s">
        <v>103</v>
      </c>
      <c r="C75" s="1102">
        <v>325200</v>
      </c>
      <c r="D75" s="1102">
        <v>179442.79</v>
      </c>
    </row>
    <row r="76" spans="1:5" ht="38.25" x14ac:dyDescent="0.2">
      <c r="A76" s="17" t="s">
        <v>18</v>
      </c>
      <c r="B76" s="12" t="s">
        <v>104</v>
      </c>
      <c r="C76" s="1102">
        <v>134300</v>
      </c>
      <c r="D76" s="1102">
        <v>80169.84</v>
      </c>
    </row>
    <row r="77" spans="1:5" ht="38.25" x14ac:dyDescent="0.2">
      <c r="A77" s="17" t="s">
        <v>18</v>
      </c>
      <c r="B77" s="12" t="s">
        <v>105</v>
      </c>
      <c r="C77" s="1102">
        <v>325000</v>
      </c>
      <c r="D77" s="1102">
        <v>243750</v>
      </c>
    </row>
    <row r="78" spans="1:5" ht="38.25" x14ac:dyDescent="0.2">
      <c r="A78" s="17" t="s">
        <v>18</v>
      </c>
      <c r="B78" s="12" t="s">
        <v>106</v>
      </c>
      <c r="C78" s="1102">
        <v>136300</v>
      </c>
      <c r="D78" s="1102">
        <v>102225</v>
      </c>
    </row>
    <row r="79" spans="1:5" ht="38.25" x14ac:dyDescent="0.2">
      <c r="A79" s="17" t="s">
        <v>18</v>
      </c>
      <c r="B79" s="12" t="s">
        <v>107</v>
      </c>
      <c r="C79" s="1102">
        <v>324300</v>
      </c>
      <c r="D79" s="1102">
        <v>243225</v>
      </c>
    </row>
    <row r="80" spans="1:5" ht="38.25" x14ac:dyDescent="0.2">
      <c r="A80" s="17" t="s">
        <v>18</v>
      </c>
      <c r="B80" s="12" t="s">
        <v>108</v>
      </c>
      <c r="C80" s="1102">
        <v>133800</v>
      </c>
      <c r="D80" s="1102">
        <v>90484.66</v>
      </c>
    </row>
    <row r="81" spans="1:5" ht="38.25" x14ac:dyDescent="0.2">
      <c r="A81" s="17" t="s">
        <v>18</v>
      </c>
      <c r="B81" s="12" t="s">
        <v>109</v>
      </c>
      <c r="C81" s="1102">
        <v>135100</v>
      </c>
      <c r="D81" s="1102">
        <v>84366.98</v>
      </c>
    </row>
    <row r="82" spans="1:5" ht="38.25" x14ac:dyDescent="0.2">
      <c r="A82" s="17" t="s">
        <v>18</v>
      </c>
      <c r="B82" s="12" t="s">
        <v>110</v>
      </c>
      <c r="C82" s="1102">
        <v>135400</v>
      </c>
      <c r="D82" s="1102">
        <v>92937.02</v>
      </c>
    </row>
    <row r="83" spans="1:5" ht="38.25" x14ac:dyDescent="0.2">
      <c r="A83" s="17" t="s">
        <v>18</v>
      </c>
      <c r="B83" s="12" t="s">
        <v>111</v>
      </c>
      <c r="C83" s="1102">
        <v>136600</v>
      </c>
      <c r="D83" s="1102">
        <v>75830.5</v>
      </c>
    </row>
    <row r="84" spans="1:5" ht="38.25" x14ac:dyDescent="0.2">
      <c r="A84" s="18" t="s">
        <v>21</v>
      </c>
      <c r="B84" s="12" t="s">
        <v>112</v>
      </c>
      <c r="C84" s="1102">
        <v>134800</v>
      </c>
      <c r="D84" s="1102">
        <v>90190.080000000002</v>
      </c>
      <c r="E84" s="13">
        <f>SUM(D84:D100)</f>
        <v>1471054.9200000002</v>
      </c>
    </row>
    <row r="85" spans="1:5" ht="38.25" x14ac:dyDescent="0.2">
      <c r="A85" s="19" t="s">
        <v>21</v>
      </c>
      <c r="B85" s="12" t="s">
        <v>113</v>
      </c>
      <c r="C85" s="1102">
        <v>136100</v>
      </c>
      <c r="D85" s="1102">
        <v>90191.07</v>
      </c>
    </row>
    <row r="86" spans="1:5" ht="38.25" x14ac:dyDescent="0.2">
      <c r="A86" s="19" t="s">
        <v>21</v>
      </c>
      <c r="B86" s="12" t="s">
        <v>114</v>
      </c>
      <c r="C86" s="1102">
        <v>325700</v>
      </c>
      <c r="D86" s="1102">
        <v>32222.16</v>
      </c>
    </row>
    <row r="87" spans="1:5" ht="38.25" x14ac:dyDescent="0.2">
      <c r="A87" s="19" t="s">
        <v>21</v>
      </c>
      <c r="B87" s="12" t="s">
        <v>115</v>
      </c>
      <c r="C87" s="1102">
        <v>137300</v>
      </c>
      <c r="D87" s="1102">
        <v>88759.41</v>
      </c>
    </row>
    <row r="88" spans="1:5" ht="38.25" x14ac:dyDescent="0.2">
      <c r="A88" s="19" t="s">
        <v>21</v>
      </c>
      <c r="B88" s="12" t="s">
        <v>116</v>
      </c>
      <c r="C88" s="1102">
        <v>135800</v>
      </c>
      <c r="D88" s="1102">
        <v>96033.96</v>
      </c>
    </row>
    <row r="89" spans="1:5" ht="38.25" x14ac:dyDescent="0.2">
      <c r="A89" s="19" t="s">
        <v>21</v>
      </c>
      <c r="B89" s="12" t="s">
        <v>117</v>
      </c>
      <c r="C89" s="1102">
        <v>329200</v>
      </c>
      <c r="D89" s="1102">
        <v>139689.79</v>
      </c>
    </row>
    <row r="90" spans="1:5" ht="38.25" x14ac:dyDescent="0.2">
      <c r="A90" s="19" t="s">
        <v>21</v>
      </c>
      <c r="B90" s="12" t="s">
        <v>118</v>
      </c>
      <c r="C90" s="1102">
        <v>137000</v>
      </c>
      <c r="D90" s="1102">
        <v>92726.04</v>
      </c>
    </row>
    <row r="91" spans="1:5" ht="38.25" x14ac:dyDescent="0.2">
      <c r="A91" s="19" t="s">
        <v>21</v>
      </c>
      <c r="B91" s="12" t="s">
        <v>119</v>
      </c>
      <c r="C91" s="1102">
        <v>135800</v>
      </c>
      <c r="D91" s="1102">
        <v>90191.16</v>
      </c>
    </row>
    <row r="92" spans="1:5" ht="38.25" x14ac:dyDescent="0.2">
      <c r="A92" s="19" t="s">
        <v>21</v>
      </c>
      <c r="B92" s="12" t="s">
        <v>120</v>
      </c>
      <c r="C92" s="1102">
        <v>136800</v>
      </c>
      <c r="D92" s="1102">
        <v>92885.87</v>
      </c>
    </row>
    <row r="93" spans="1:5" ht="38.25" x14ac:dyDescent="0.2">
      <c r="A93" s="19" t="s">
        <v>21</v>
      </c>
      <c r="B93" s="12" t="s">
        <v>121</v>
      </c>
      <c r="C93" s="1102">
        <v>134300</v>
      </c>
      <c r="D93" s="1102">
        <v>96552.05</v>
      </c>
    </row>
    <row r="94" spans="1:5" ht="38.25" x14ac:dyDescent="0.2">
      <c r="A94" s="19" t="s">
        <v>21</v>
      </c>
      <c r="B94" s="12" t="s">
        <v>122</v>
      </c>
      <c r="C94" s="1102">
        <v>137000</v>
      </c>
      <c r="D94" s="1102">
        <v>89925.66</v>
      </c>
    </row>
    <row r="95" spans="1:5" ht="38.25" x14ac:dyDescent="0.2">
      <c r="A95" s="19" t="s">
        <v>21</v>
      </c>
      <c r="B95" s="12" t="s">
        <v>123</v>
      </c>
      <c r="C95" s="1102">
        <v>136100</v>
      </c>
      <c r="D95" s="1102">
        <v>34174.449999999997</v>
      </c>
    </row>
    <row r="96" spans="1:5" ht="38.25" x14ac:dyDescent="0.2">
      <c r="A96" s="19" t="s">
        <v>21</v>
      </c>
      <c r="B96" s="12" t="s">
        <v>124</v>
      </c>
      <c r="C96" s="1102">
        <v>139100</v>
      </c>
      <c r="D96" s="1102">
        <v>90192.15</v>
      </c>
    </row>
    <row r="97" spans="1:5" ht="38.25" x14ac:dyDescent="0.2">
      <c r="A97" s="19" t="s">
        <v>21</v>
      </c>
      <c r="B97" s="12" t="s">
        <v>125</v>
      </c>
      <c r="C97" s="1102">
        <v>138300</v>
      </c>
      <c r="D97" s="1102">
        <v>90331.79</v>
      </c>
    </row>
    <row r="98" spans="1:5" ht="38.25" x14ac:dyDescent="0.2">
      <c r="A98" s="19" t="s">
        <v>21</v>
      </c>
      <c r="B98" s="12" t="s">
        <v>126</v>
      </c>
      <c r="C98" s="1102">
        <v>136200</v>
      </c>
      <c r="D98" s="1102">
        <v>90191.07</v>
      </c>
    </row>
    <row r="99" spans="1:5" ht="38.25" x14ac:dyDescent="0.2">
      <c r="A99" s="19" t="s">
        <v>21</v>
      </c>
      <c r="B99" s="12" t="s">
        <v>127</v>
      </c>
      <c r="C99" s="1102">
        <v>139800</v>
      </c>
      <c r="D99" s="1102">
        <v>76435.929999999993</v>
      </c>
    </row>
    <row r="100" spans="1:5" ht="38.25" x14ac:dyDescent="0.2">
      <c r="A100" s="19" t="s">
        <v>21</v>
      </c>
      <c r="B100" s="12" t="s">
        <v>128</v>
      </c>
      <c r="C100" s="1102">
        <v>136000</v>
      </c>
      <c r="D100" s="1102">
        <v>90362.28</v>
      </c>
    </row>
    <row r="101" spans="1:5" ht="38.25" x14ac:dyDescent="0.2">
      <c r="A101" s="11" t="s">
        <v>22</v>
      </c>
      <c r="B101" s="12" t="s">
        <v>130</v>
      </c>
      <c r="C101" s="1102">
        <v>324200</v>
      </c>
      <c r="D101" s="1102">
        <v>224971.97</v>
      </c>
      <c r="E101" s="13">
        <f>SUM(D101:D107)</f>
        <v>794774.95000000019</v>
      </c>
    </row>
    <row r="102" spans="1:5" ht="38.25" x14ac:dyDescent="0.2">
      <c r="A102" s="17" t="s">
        <v>22</v>
      </c>
      <c r="B102" s="12" t="s">
        <v>131</v>
      </c>
      <c r="C102" s="1102">
        <v>135600</v>
      </c>
      <c r="D102" s="1102">
        <v>92258.23</v>
      </c>
    </row>
    <row r="103" spans="1:5" ht="38.25" x14ac:dyDescent="0.2">
      <c r="A103" s="17" t="s">
        <v>22</v>
      </c>
      <c r="B103" s="12" t="s">
        <v>132</v>
      </c>
      <c r="C103" s="1102">
        <v>135500</v>
      </c>
      <c r="D103" s="1102">
        <v>92700</v>
      </c>
    </row>
    <row r="104" spans="1:5" ht="38.25" x14ac:dyDescent="0.2">
      <c r="A104" s="17" t="s">
        <v>22</v>
      </c>
      <c r="B104" s="12" t="s">
        <v>133</v>
      </c>
      <c r="C104" s="1102">
        <v>135300</v>
      </c>
      <c r="D104" s="1102">
        <v>92619.46</v>
      </c>
    </row>
    <row r="105" spans="1:5" ht="38.25" x14ac:dyDescent="0.2">
      <c r="A105" s="17" t="s">
        <v>22</v>
      </c>
      <c r="B105" s="12" t="s">
        <v>134</v>
      </c>
      <c r="C105" s="1102">
        <v>135800</v>
      </c>
      <c r="D105" s="1102">
        <v>98431.16</v>
      </c>
    </row>
    <row r="106" spans="1:5" ht="38.25" x14ac:dyDescent="0.2">
      <c r="A106" s="17" t="s">
        <v>22</v>
      </c>
      <c r="B106" s="12" t="s">
        <v>135</v>
      </c>
      <c r="C106" s="1102">
        <v>135400</v>
      </c>
      <c r="D106" s="1102">
        <v>95685.06</v>
      </c>
    </row>
    <row r="107" spans="1:5" ht="38.25" x14ac:dyDescent="0.2">
      <c r="A107" s="17" t="s">
        <v>22</v>
      </c>
      <c r="B107" s="12" t="s">
        <v>136</v>
      </c>
      <c r="C107" s="1102">
        <v>135600</v>
      </c>
      <c r="D107" s="1102">
        <v>98109.07</v>
      </c>
    </row>
    <row r="108" spans="1:5" ht="38.25" x14ac:dyDescent="0.2">
      <c r="A108" s="11" t="s">
        <v>25</v>
      </c>
      <c r="B108" s="12" t="s">
        <v>137</v>
      </c>
      <c r="C108" s="1102">
        <v>326300</v>
      </c>
      <c r="D108" s="1102">
        <v>125222.44</v>
      </c>
      <c r="E108" s="13">
        <f>SUM(D108:D122)</f>
        <v>1352031.1400000001</v>
      </c>
    </row>
    <row r="109" spans="1:5" ht="38.25" x14ac:dyDescent="0.2">
      <c r="A109" s="17" t="s">
        <v>25</v>
      </c>
      <c r="B109" s="12" t="s">
        <v>138</v>
      </c>
      <c r="C109" s="1102">
        <v>136200</v>
      </c>
      <c r="D109" s="1102">
        <v>78341.41</v>
      </c>
    </row>
    <row r="110" spans="1:5" ht="38.25" x14ac:dyDescent="0.2">
      <c r="A110" s="17" t="s">
        <v>25</v>
      </c>
      <c r="B110" s="12" t="s">
        <v>139</v>
      </c>
      <c r="C110" s="1102">
        <v>327700</v>
      </c>
      <c r="D110" s="1102">
        <v>121937.51</v>
      </c>
    </row>
    <row r="111" spans="1:5" ht="38.25" x14ac:dyDescent="0.2">
      <c r="A111" s="17" t="s">
        <v>25</v>
      </c>
      <c r="B111" s="12" t="s">
        <v>140</v>
      </c>
      <c r="C111" s="1102">
        <v>136200</v>
      </c>
      <c r="D111" s="1102">
        <v>65386.46</v>
      </c>
    </row>
    <row r="112" spans="1:5" ht="38.25" x14ac:dyDescent="0.2">
      <c r="A112" s="17" t="s">
        <v>25</v>
      </c>
      <c r="B112" s="12" t="s">
        <v>141</v>
      </c>
      <c r="C112" s="1102">
        <v>134600</v>
      </c>
      <c r="D112" s="1102">
        <v>76045.89</v>
      </c>
    </row>
    <row r="113" spans="1:5" ht="38.25" x14ac:dyDescent="0.2">
      <c r="A113" s="17" t="s">
        <v>25</v>
      </c>
      <c r="B113" s="12" t="s">
        <v>142</v>
      </c>
      <c r="C113" s="1102">
        <v>141300</v>
      </c>
      <c r="D113" s="1102">
        <v>60944</v>
      </c>
    </row>
    <row r="114" spans="1:5" ht="38.25" x14ac:dyDescent="0.2">
      <c r="A114" s="17" t="s">
        <v>25</v>
      </c>
      <c r="B114" s="12" t="s">
        <v>143</v>
      </c>
      <c r="C114" s="1102">
        <v>134100</v>
      </c>
      <c r="D114" s="1102">
        <v>57240.38</v>
      </c>
    </row>
    <row r="115" spans="1:5" ht="38.25" x14ac:dyDescent="0.2">
      <c r="A115" s="17" t="s">
        <v>25</v>
      </c>
      <c r="B115" s="12" t="s">
        <v>144</v>
      </c>
      <c r="C115" s="1102">
        <v>136900</v>
      </c>
      <c r="D115" s="1102">
        <v>59795.64</v>
      </c>
    </row>
    <row r="116" spans="1:5" ht="38.25" x14ac:dyDescent="0.2">
      <c r="A116" s="17" t="s">
        <v>25</v>
      </c>
      <c r="B116" s="12" t="s">
        <v>145</v>
      </c>
      <c r="C116" s="1102">
        <v>139500</v>
      </c>
      <c r="D116" s="1102">
        <v>59771</v>
      </c>
    </row>
    <row r="117" spans="1:5" ht="38.25" x14ac:dyDescent="0.2">
      <c r="A117" s="17" t="s">
        <v>25</v>
      </c>
      <c r="B117" s="12" t="s">
        <v>146</v>
      </c>
      <c r="C117" s="1102">
        <v>134800</v>
      </c>
      <c r="D117" s="1102">
        <v>81527.39</v>
      </c>
    </row>
    <row r="118" spans="1:5" ht="38.25" x14ac:dyDescent="0.2">
      <c r="A118" s="17" t="s">
        <v>25</v>
      </c>
      <c r="B118" s="12" t="s">
        <v>147</v>
      </c>
      <c r="C118" s="1102">
        <v>325000</v>
      </c>
      <c r="D118" s="1102">
        <v>205234.16</v>
      </c>
    </row>
    <row r="119" spans="1:5" ht="38.25" x14ac:dyDescent="0.2">
      <c r="A119" s="17" t="s">
        <v>25</v>
      </c>
      <c r="B119" s="12" t="s">
        <v>148</v>
      </c>
      <c r="C119" s="1102">
        <v>137600</v>
      </c>
      <c r="D119" s="1102">
        <v>62441.31</v>
      </c>
    </row>
    <row r="120" spans="1:5" ht="38.25" x14ac:dyDescent="0.2">
      <c r="A120" s="17" t="s">
        <v>25</v>
      </c>
      <c r="B120" s="12" t="s">
        <v>149</v>
      </c>
      <c r="C120" s="1102">
        <v>327300</v>
      </c>
      <c r="D120" s="1102">
        <v>185724.83</v>
      </c>
    </row>
    <row r="121" spans="1:5" ht="38.25" x14ac:dyDescent="0.2">
      <c r="A121" s="17" t="s">
        <v>25</v>
      </c>
      <c r="B121" s="12" t="s">
        <v>150</v>
      </c>
      <c r="C121" s="1102">
        <v>135800</v>
      </c>
      <c r="D121" s="1102">
        <v>47801.63</v>
      </c>
    </row>
    <row r="122" spans="1:5" ht="38.25" x14ac:dyDescent="0.2">
      <c r="A122" s="17" t="s">
        <v>25</v>
      </c>
      <c r="B122" s="12" t="s">
        <v>151</v>
      </c>
      <c r="C122" s="1102">
        <v>140200</v>
      </c>
      <c r="D122" s="1102">
        <v>64617.09</v>
      </c>
    </row>
    <row r="123" spans="1:5" ht="38.25" x14ac:dyDescent="0.2">
      <c r="A123" s="11" t="s">
        <v>152</v>
      </c>
      <c r="B123" s="12" t="s">
        <v>153</v>
      </c>
      <c r="C123" s="1102">
        <v>142300</v>
      </c>
      <c r="D123" s="1102">
        <v>82526</v>
      </c>
      <c r="E123" s="13">
        <f>SUM(D123:D132)</f>
        <v>961065.50000000012</v>
      </c>
    </row>
    <row r="124" spans="1:5" ht="38.25" x14ac:dyDescent="0.2">
      <c r="A124" s="17" t="s">
        <v>152</v>
      </c>
      <c r="B124" s="12" t="s">
        <v>154</v>
      </c>
      <c r="C124" s="1102">
        <v>140900</v>
      </c>
      <c r="D124" s="1102">
        <v>69259.7</v>
      </c>
    </row>
    <row r="125" spans="1:5" ht="38.25" x14ac:dyDescent="0.2">
      <c r="A125" s="17" t="s">
        <v>152</v>
      </c>
      <c r="B125" s="12" t="s">
        <v>155</v>
      </c>
      <c r="C125" s="1102">
        <v>139500</v>
      </c>
      <c r="D125" s="1102">
        <v>92689.38</v>
      </c>
    </row>
    <row r="126" spans="1:5" ht="25.5" x14ac:dyDescent="0.2">
      <c r="A126" s="17" t="s">
        <v>152</v>
      </c>
      <c r="B126" s="12" t="s">
        <v>156</v>
      </c>
      <c r="C126" s="1102">
        <v>328700</v>
      </c>
      <c r="D126" s="1102">
        <v>209404.26</v>
      </c>
    </row>
    <row r="127" spans="1:5" ht="38.25" x14ac:dyDescent="0.2">
      <c r="A127" s="17" t="s">
        <v>152</v>
      </c>
      <c r="B127" s="12" t="s">
        <v>157</v>
      </c>
      <c r="C127" s="1102">
        <v>141600</v>
      </c>
      <c r="D127" s="1102">
        <v>82400.240000000005</v>
      </c>
    </row>
    <row r="128" spans="1:5" ht="51" x14ac:dyDescent="0.2">
      <c r="A128" s="17" t="s">
        <v>152</v>
      </c>
      <c r="B128" s="12" t="s">
        <v>158</v>
      </c>
      <c r="C128" s="1102">
        <v>138600</v>
      </c>
      <c r="D128" s="1102">
        <v>82390</v>
      </c>
    </row>
    <row r="129" spans="1:5" ht="25.5" x14ac:dyDescent="0.2">
      <c r="A129" s="17" t="s">
        <v>152</v>
      </c>
      <c r="B129" s="12" t="s">
        <v>159</v>
      </c>
      <c r="C129" s="1102">
        <v>138800</v>
      </c>
      <c r="D129" s="1102">
        <v>82526</v>
      </c>
    </row>
    <row r="130" spans="1:5" ht="38.25" x14ac:dyDescent="0.2">
      <c r="A130" s="17" t="s">
        <v>152</v>
      </c>
      <c r="B130" s="12" t="s">
        <v>160</v>
      </c>
      <c r="C130" s="1102">
        <v>141600</v>
      </c>
      <c r="D130" s="1102">
        <v>91702</v>
      </c>
    </row>
    <row r="131" spans="1:5" ht="38.25" x14ac:dyDescent="0.2">
      <c r="A131" s="17" t="s">
        <v>152</v>
      </c>
      <c r="B131" s="12" t="s">
        <v>161</v>
      </c>
      <c r="C131" s="1102">
        <v>142100</v>
      </c>
      <c r="D131" s="1102">
        <v>87523.92</v>
      </c>
    </row>
    <row r="132" spans="1:5" ht="25.5" x14ac:dyDescent="0.2">
      <c r="A132" s="17" t="s">
        <v>152</v>
      </c>
      <c r="B132" s="12" t="s">
        <v>162</v>
      </c>
      <c r="C132" s="1102">
        <v>140400</v>
      </c>
      <c r="D132" s="1102">
        <v>80644</v>
      </c>
    </row>
    <row r="133" spans="1:5" ht="38.25" x14ac:dyDescent="0.2">
      <c r="A133" s="11" t="s">
        <v>26</v>
      </c>
      <c r="B133" s="12" t="s">
        <v>163</v>
      </c>
      <c r="C133" s="1102">
        <v>136600</v>
      </c>
      <c r="D133" s="1102">
        <v>0</v>
      </c>
      <c r="E133" s="13">
        <f>SUM(D133:D153)</f>
        <v>2746903.5100000002</v>
      </c>
    </row>
    <row r="134" spans="1:5" ht="38.25" x14ac:dyDescent="0.2">
      <c r="A134" s="17" t="s">
        <v>26</v>
      </c>
      <c r="B134" s="12" t="s">
        <v>164</v>
      </c>
      <c r="C134" s="1102">
        <v>329800</v>
      </c>
      <c r="D134" s="1102">
        <v>182060.95</v>
      </c>
    </row>
    <row r="135" spans="1:5" ht="38.25" x14ac:dyDescent="0.2">
      <c r="A135" s="17" t="s">
        <v>26</v>
      </c>
      <c r="B135" s="12" t="s">
        <v>165</v>
      </c>
      <c r="C135" s="1102">
        <v>138500</v>
      </c>
      <c r="D135" s="1102">
        <v>83911.98</v>
      </c>
    </row>
    <row r="136" spans="1:5" ht="38.25" x14ac:dyDescent="0.2">
      <c r="A136" s="17" t="s">
        <v>26</v>
      </c>
      <c r="B136" s="12" t="s">
        <v>166</v>
      </c>
      <c r="C136" s="1102">
        <v>326300</v>
      </c>
      <c r="D136" s="1102">
        <v>224062.03</v>
      </c>
    </row>
    <row r="137" spans="1:5" ht="38.25" x14ac:dyDescent="0.2">
      <c r="A137" s="17" t="s">
        <v>26</v>
      </c>
      <c r="B137" s="12" t="s">
        <v>167</v>
      </c>
      <c r="C137" s="1102">
        <v>137600</v>
      </c>
      <c r="D137" s="1102">
        <v>79522.820000000007</v>
      </c>
    </row>
    <row r="138" spans="1:5" ht="38.25" x14ac:dyDescent="0.2">
      <c r="A138" s="17" t="s">
        <v>26</v>
      </c>
      <c r="B138" s="12" t="s">
        <v>168</v>
      </c>
      <c r="C138" s="1102">
        <v>136800</v>
      </c>
      <c r="D138" s="1102">
        <v>90120.71</v>
      </c>
    </row>
    <row r="139" spans="1:5" ht="38.25" x14ac:dyDescent="0.2">
      <c r="A139" s="17" t="s">
        <v>26</v>
      </c>
      <c r="B139" s="12" t="s">
        <v>169</v>
      </c>
      <c r="C139" s="1102">
        <v>138900</v>
      </c>
      <c r="D139" s="1102">
        <v>80169.84</v>
      </c>
    </row>
    <row r="140" spans="1:5" ht="38.25" x14ac:dyDescent="0.2">
      <c r="A140" s="17" t="s">
        <v>26</v>
      </c>
      <c r="B140" s="12" t="s">
        <v>170</v>
      </c>
      <c r="C140" s="1102">
        <v>326000</v>
      </c>
      <c r="D140" s="1102">
        <v>209587.54</v>
      </c>
    </row>
    <row r="141" spans="1:5" ht="38.25" x14ac:dyDescent="0.2">
      <c r="A141" s="17" t="s">
        <v>26</v>
      </c>
      <c r="B141" s="12" t="s">
        <v>171</v>
      </c>
      <c r="C141" s="1102">
        <v>136800</v>
      </c>
      <c r="D141" s="1102">
        <v>79390.720000000001</v>
      </c>
    </row>
    <row r="142" spans="1:5" ht="38.25" x14ac:dyDescent="0.2">
      <c r="A142" s="17" t="s">
        <v>26</v>
      </c>
      <c r="B142" s="12" t="s">
        <v>172</v>
      </c>
      <c r="C142" s="1102">
        <v>325200</v>
      </c>
      <c r="D142" s="1102">
        <v>184009.34</v>
      </c>
    </row>
    <row r="143" spans="1:5" ht="38.25" x14ac:dyDescent="0.2">
      <c r="A143" s="17" t="s">
        <v>26</v>
      </c>
      <c r="B143" s="12" t="s">
        <v>173</v>
      </c>
      <c r="C143" s="1102">
        <v>326300</v>
      </c>
      <c r="D143" s="1102">
        <v>169614.43</v>
      </c>
    </row>
    <row r="144" spans="1:5" ht="38.25" x14ac:dyDescent="0.2">
      <c r="A144" s="17" t="s">
        <v>26</v>
      </c>
      <c r="B144" s="12" t="s">
        <v>174</v>
      </c>
      <c r="C144" s="1102">
        <v>137400</v>
      </c>
      <c r="D144" s="1102">
        <v>78324.81</v>
      </c>
    </row>
    <row r="145" spans="1:5" ht="38.25" x14ac:dyDescent="0.2">
      <c r="A145" s="17" t="s">
        <v>26</v>
      </c>
      <c r="B145" s="12" t="s">
        <v>175</v>
      </c>
      <c r="C145" s="1102">
        <v>326700</v>
      </c>
      <c r="D145" s="1102">
        <v>200227.82</v>
      </c>
    </row>
    <row r="146" spans="1:5" ht="38.25" x14ac:dyDescent="0.2">
      <c r="A146" s="17" t="s">
        <v>26</v>
      </c>
      <c r="B146" s="12" t="s">
        <v>176</v>
      </c>
      <c r="C146" s="1102">
        <v>136600</v>
      </c>
      <c r="D146" s="1102">
        <v>82313.59</v>
      </c>
    </row>
    <row r="147" spans="1:5" ht="38.25" x14ac:dyDescent="0.2">
      <c r="A147" s="17" t="s">
        <v>26</v>
      </c>
      <c r="B147" s="12" t="s">
        <v>177</v>
      </c>
      <c r="C147" s="1102">
        <v>135800</v>
      </c>
      <c r="D147" s="1102">
        <v>80106.100000000006</v>
      </c>
    </row>
    <row r="148" spans="1:5" ht="38.25" x14ac:dyDescent="0.2">
      <c r="A148" s="17" t="s">
        <v>26</v>
      </c>
      <c r="B148" s="12" t="s">
        <v>178</v>
      </c>
      <c r="C148" s="1102">
        <v>137800</v>
      </c>
      <c r="D148" s="1102">
        <v>80169.84</v>
      </c>
    </row>
    <row r="149" spans="1:5" ht="38.25" x14ac:dyDescent="0.2">
      <c r="A149" s="17" t="s">
        <v>26</v>
      </c>
      <c r="B149" s="12" t="s">
        <v>179</v>
      </c>
      <c r="C149" s="1102">
        <v>326500</v>
      </c>
      <c r="D149" s="1102">
        <v>113934.06</v>
      </c>
    </row>
    <row r="150" spans="1:5" ht="38.25" x14ac:dyDescent="0.2">
      <c r="A150" s="17" t="s">
        <v>26</v>
      </c>
      <c r="B150" s="12" t="s">
        <v>180</v>
      </c>
      <c r="C150" s="1102">
        <v>136600</v>
      </c>
      <c r="D150" s="1102">
        <v>80168</v>
      </c>
    </row>
    <row r="151" spans="1:5" ht="38.25" x14ac:dyDescent="0.2">
      <c r="A151" s="17" t="s">
        <v>26</v>
      </c>
      <c r="B151" s="12" t="s">
        <v>181</v>
      </c>
      <c r="C151" s="1102">
        <v>645300</v>
      </c>
      <c r="D151" s="1102">
        <v>367893.64</v>
      </c>
    </row>
    <row r="152" spans="1:5" ht="38.25" x14ac:dyDescent="0.2">
      <c r="A152" s="17" t="s">
        <v>26</v>
      </c>
      <c r="B152" s="12" t="s">
        <v>182</v>
      </c>
      <c r="C152" s="1102">
        <v>137800</v>
      </c>
      <c r="D152" s="1102">
        <v>80374.179999999993</v>
      </c>
    </row>
    <row r="153" spans="1:5" ht="38.25" x14ac:dyDescent="0.2">
      <c r="A153" s="17" t="s">
        <v>26</v>
      </c>
      <c r="B153" s="12" t="s">
        <v>183</v>
      </c>
      <c r="C153" s="1102">
        <v>327700</v>
      </c>
      <c r="D153" s="1102">
        <v>200941.11</v>
      </c>
    </row>
    <row r="154" spans="1:5" ht="38.25" x14ac:dyDescent="0.2">
      <c r="A154" s="11" t="s">
        <v>27</v>
      </c>
      <c r="B154" s="12" t="s">
        <v>186</v>
      </c>
      <c r="C154" s="1102">
        <v>136900</v>
      </c>
      <c r="D154" s="1102">
        <v>85511.69</v>
      </c>
      <c r="E154" s="13">
        <f>SUM(D154:D167)</f>
        <v>1423209.6099999999</v>
      </c>
    </row>
    <row r="155" spans="1:5" ht="38.25" x14ac:dyDescent="0.2">
      <c r="A155" s="17" t="s">
        <v>27</v>
      </c>
      <c r="B155" s="12" t="s">
        <v>187</v>
      </c>
      <c r="C155" s="1102">
        <v>139500</v>
      </c>
      <c r="D155" s="1102">
        <v>92669.85</v>
      </c>
    </row>
    <row r="156" spans="1:5" ht="38.25" x14ac:dyDescent="0.2">
      <c r="A156" s="17" t="s">
        <v>27</v>
      </c>
      <c r="B156" s="12" t="s">
        <v>188</v>
      </c>
      <c r="C156" s="1102">
        <v>136500</v>
      </c>
      <c r="D156" s="1102">
        <v>92667.97</v>
      </c>
    </row>
    <row r="157" spans="1:5" ht="38.25" x14ac:dyDescent="0.2">
      <c r="A157" s="17" t="s">
        <v>27</v>
      </c>
      <c r="B157" s="12" t="s">
        <v>189</v>
      </c>
      <c r="C157" s="1102">
        <v>139100</v>
      </c>
      <c r="D157" s="1102">
        <v>92664</v>
      </c>
    </row>
    <row r="158" spans="1:5" ht="38.25" x14ac:dyDescent="0.2">
      <c r="A158" s="17" t="s">
        <v>27</v>
      </c>
      <c r="B158" s="12" t="s">
        <v>190</v>
      </c>
      <c r="C158" s="1102">
        <v>327700</v>
      </c>
      <c r="D158" s="1102">
        <v>226900.71</v>
      </c>
    </row>
    <row r="159" spans="1:5" ht="38.25" x14ac:dyDescent="0.2">
      <c r="A159" s="17" t="s">
        <v>27</v>
      </c>
      <c r="B159" s="12" t="s">
        <v>191</v>
      </c>
      <c r="C159" s="1102">
        <v>138200</v>
      </c>
      <c r="D159" s="1102">
        <v>92520</v>
      </c>
    </row>
    <row r="160" spans="1:5" ht="38.25" x14ac:dyDescent="0.2">
      <c r="A160" s="17" t="s">
        <v>27</v>
      </c>
      <c r="B160" s="12" t="s">
        <v>192</v>
      </c>
      <c r="C160" s="1102">
        <v>136300</v>
      </c>
      <c r="D160" s="1102">
        <v>92669.85</v>
      </c>
    </row>
    <row r="161" spans="1:5" ht="38.25" x14ac:dyDescent="0.2">
      <c r="A161" s="17" t="s">
        <v>27</v>
      </c>
      <c r="B161" s="12" t="s">
        <v>193</v>
      </c>
      <c r="C161" s="1102">
        <v>135200</v>
      </c>
      <c r="D161" s="1102">
        <v>92665.98</v>
      </c>
    </row>
    <row r="162" spans="1:5" ht="38.25" x14ac:dyDescent="0.2">
      <c r="A162" s="17" t="s">
        <v>27</v>
      </c>
      <c r="B162" s="12" t="s">
        <v>194</v>
      </c>
      <c r="C162" s="1102">
        <v>140200</v>
      </c>
      <c r="D162" s="1102">
        <v>105143.98</v>
      </c>
    </row>
    <row r="163" spans="1:5" ht="38.25" x14ac:dyDescent="0.2">
      <c r="A163" s="17" t="s">
        <v>27</v>
      </c>
      <c r="B163" s="12" t="s">
        <v>195</v>
      </c>
      <c r="C163" s="1102">
        <v>141900</v>
      </c>
      <c r="D163" s="1102">
        <v>90045.56</v>
      </c>
    </row>
    <row r="164" spans="1:5" ht="38.25" x14ac:dyDescent="0.2">
      <c r="A164" s="17" t="s">
        <v>27</v>
      </c>
      <c r="B164" s="12" t="s">
        <v>196</v>
      </c>
      <c r="C164" s="1102">
        <v>139400</v>
      </c>
      <c r="D164" s="1102">
        <v>92667.97</v>
      </c>
    </row>
    <row r="165" spans="1:5" ht="38.25" x14ac:dyDescent="0.2">
      <c r="A165" s="17" t="s">
        <v>27</v>
      </c>
      <c r="B165" s="12" t="s">
        <v>197</v>
      </c>
      <c r="C165" s="1102">
        <v>135000</v>
      </c>
      <c r="D165" s="1102">
        <v>81752.070000000007</v>
      </c>
    </row>
    <row r="166" spans="1:5" ht="38.25" x14ac:dyDescent="0.2">
      <c r="A166" s="17" t="s">
        <v>27</v>
      </c>
      <c r="B166" s="12" t="s">
        <v>198</v>
      </c>
      <c r="C166" s="1102">
        <v>135900</v>
      </c>
      <c r="D166" s="1102">
        <v>92665.98</v>
      </c>
    </row>
    <row r="167" spans="1:5" ht="38.25" x14ac:dyDescent="0.2">
      <c r="A167" s="17" t="s">
        <v>27</v>
      </c>
      <c r="B167" s="12" t="s">
        <v>199</v>
      </c>
      <c r="C167" s="1102">
        <v>136900</v>
      </c>
      <c r="D167" s="1102">
        <v>92664</v>
      </c>
    </row>
    <row r="168" spans="1:5" ht="38.25" x14ac:dyDescent="0.2">
      <c r="A168" s="11" t="s">
        <v>28</v>
      </c>
      <c r="B168" s="12" t="s">
        <v>200</v>
      </c>
      <c r="C168" s="1102">
        <v>137600</v>
      </c>
      <c r="D168" s="1102">
        <v>103200</v>
      </c>
      <c r="E168" s="13">
        <f>SUM(D168:D191)</f>
        <v>2893575</v>
      </c>
    </row>
    <row r="169" spans="1:5" ht="38.25" x14ac:dyDescent="0.2">
      <c r="A169" s="17" t="s">
        <v>28</v>
      </c>
      <c r="B169" s="12" t="s">
        <v>201</v>
      </c>
      <c r="C169" s="1102">
        <v>137300</v>
      </c>
      <c r="D169" s="1102">
        <v>102975</v>
      </c>
    </row>
    <row r="170" spans="1:5" ht="38.25" x14ac:dyDescent="0.2">
      <c r="A170" s="17" t="s">
        <v>28</v>
      </c>
      <c r="B170" s="12" t="s">
        <v>202</v>
      </c>
      <c r="C170" s="1102">
        <v>137500</v>
      </c>
      <c r="D170" s="1102">
        <v>103125</v>
      </c>
    </row>
    <row r="171" spans="1:5" ht="38.25" x14ac:dyDescent="0.2">
      <c r="A171" s="17" t="s">
        <v>28</v>
      </c>
      <c r="B171" s="12" t="s">
        <v>203</v>
      </c>
      <c r="C171" s="1102">
        <v>137800</v>
      </c>
      <c r="D171" s="1102">
        <v>103350</v>
      </c>
    </row>
    <row r="172" spans="1:5" ht="38.25" x14ac:dyDescent="0.2">
      <c r="A172" s="17" t="s">
        <v>28</v>
      </c>
      <c r="B172" s="12" t="s">
        <v>204</v>
      </c>
      <c r="C172" s="1102">
        <v>136600</v>
      </c>
      <c r="D172" s="1102">
        <v>102450</v>
      </c>
    </row>
    <row r="173" spans="1:5" ht="38.25" x14ac:dyDescent="0.2">
      <c r="A173" s="17" t="s">
        <v>28</v>
      </c>
      <c r="B173" s="12" t="s">
        <v>205</v>
      </c>
      <c r="C173" s="1102">
        <v>325800</v>
      </c>
      <c r="D173" s="1102">
        <v>244350</v>
      </c>
    </row>
    <row r="174" spans="1:5" ht="38.25" x14ac:dyDescent="0.2">
      <c r="A174" s="17" t="s">
        <v>28</v>
      </c>
      <c r="B174" s="12" t="s">
        <v>206</v>
      </c>
      <c r="C174" s="1102">
        <v>138900</v>
      </c>
      <c r="D174" s="1102">
        <v>104175</v>
      </c>
    </row>
    <row r="175" spans="1:5" ht="38.25" x14ac:dyDescent="0.2">
      <c r="A175" s="17" t="s">
        <v>28</v>
      </c>
      <c r="B175" s="12" t="s">
        <v>207</v>
      </c>
      <c r="C175" s="1102">
        <v>138100</v>
      </c>
      <c r="D175" s="1102">
        <v>103575</v>
      </c>
    </row>
    <row r="176" spans="1:5" ht="38.25" x14ac:dyDescent="0.2">
      <c r="A176" s="17" t="s">
        <v>28</v>
      </c>
      <c r="B176" s="12" t="s">
        <v>208</v>
      </c>
      <c r="C176" s="1102">
        <v>135200</v>
      </c>
      <c r="D176" s="1102">
        <v>101400</v>
      </c>
    </row>
    <row r="177" spans="1:5" ht="38.25" x14ac:dyDescent="0.2">
      <c r="A177" s="17" t="s">
        <v>28</v>
      </c>
      <c r="B177" s="12" t="s">
        <v>209</v>
      </c>
      <c r="C177" s="1102">
        <v>138600</v>
      </c>
      <c r="D177" s="1102">
        <v>103950</v>
      </c>
    </row>
    <row r="178" spans="1:5" ht="38.25" x14ac:dyDescent="0.2">
      <c r="A178" s="17" t="s">
        <v>28</v>
      </c>
      <c r="B178" s="12" t="s">
        <v>210</v>
      </c>
      <c r="C178" s="1102">
        <v>138600</v>
      </c>
      <c r="D178" s="1102">
        <v>103950</v>
      </c>
    </row>
    <row r="179" spans="1:5" ht="38.25" x14ac:dyDescent="0.2">
      <c r="A179" s="17" t="s">
        <v>28</v>
      </c>
      <c r="B179" s="12" t="s">
        <v>211</v>
      </c>
      <c r="C179" s="1102">
        <v>136400</v>
      </c>
      <c r="D179" s="1102">
        <v>102300</v>
      </c>
    </row>
    <row r="180" spans="1:5" ht="38.25" x14ac:dyDescent="0.2">
      <c r="A180" s="17" t="s">
        <v>28</v>
      </c>
      <c r="B180" s="12" t="s">
        <v>212</v>
      </c>
      <c r="C180" s="1102">
        <v>138300</v>
      </c>
      <c r="D180" s="1102">
        <v>103725</v>
      </c>
    </row>
    <row r="181" spans="1:5" ht="38.25" x14ac:dyDescent="0.2">
      <c r="A181" s="17" t="s">
        <v>28</v>
      </c>
      <c r="B181" s="12" t="s">
        <v>213</v>
      </c>
      <c r="C181" s="1102">
        <v>135500</v>
      </c>
      <c r="D181" s="1102">
        <v>101625</v>
      </c>
    </row>
    <row r="182" spans="1:5" ht="38.25" x14ac:dyDescent="0.2">
      <c r="A182" s="17" t="s">
        <v>28</v>
      </c>
      <c r="B182" s="12" t="s">
        <v>214</v>
      </c>
      <c r="C182" s="1102">
        <v>328800</v>
      </c>
      <c r="D182" s="1102">
        <v>246600</v>
      </c>
    </row>
    <row r="183" spans="1:5" ht="38.25" x14ac:dyDescent="0.2">
      <c r="A183" s="17" t="s">
        <v>28</v>
      </c>
      <c r="B183" s="12" t="s">
        <v>215</v>
      </c>
      <c r="C183" s="1102">
        <v>137000</v>
      </c>
      <c r="D183" s="1102">
        <v>102750</v>
      </c>
    </row>
    <row r="184" spans="1:5" ht="38.25" x14ac:dyDescent="0.2">
      <c r="A184" s="17" t="s">
        <v>28</v>
      </c>
      <c r="B184" s="12" t="s">
        <v>216</v>
      </c>
      <c r="C184" s="1102">
        <v>140400</v>
      </c>
      <c r="D184" s="1102">
        <v>105300</v>
      </c>
    </row>
    <row r="185" spans="1:5" ht="38.25" x14ac:dyDescent="0.2">
      <c r="A185" s="17" t="s">
        <v>28</v>
      </c>
      <c r="B185" s="12" t="s">
        <v>217</v>
      </c>
      <c r="C185" s="1102">
        <v>135900</v>
      </c>
      <c r="D185" s="1102">
        <v>101925</v>
      </c>
    </row>
    <row r="186" spans="1:5" ht="38.25" x14ac:dyDescent="0.2">
      <c r="A186" s="17" t="s">
        <v>28</v>
      </c>
      <c r="B186" s="12" t="s">
        <v>218</v>
      </c>
      <c r="C186" s="1102">
        <v>324900</v>
      </c>
      <c r="D186" s="1102">
        <v>243675</v>
      </c>
    </row>
    <row r="187" spans="1:5" ht="38.25" x14ac:dyDescent="0.2">
      <c r="A187" s="17" t="s">
        <v>28</v>
      </c>
      <c r="B187" s="12" t="s">
        <v>219</v>
      </c>
      <c r="C187" s="1102">
        <v>135900</v>
      </c>
      <c r="D187" s="1102">
        <v>101925</v>
      </c>
    </row>
    <row r="188" spans="1:5" ht="38.25" x14ac:dyDescent="0.2">
      <c r="A188" s="17" t="s">
        <v>28</v>
      </c>
      <c r="B188" s="12" t="s">
        <v>220</v>
      </c>
      <c r="C188" s="1102">
        <v>136600</v>
      </c>
      <c r="D188" s="1102">
        <v>102450</v>
      </c>
    </row>
    <row r="189" spans="1:5" ht="38.25" x14ac:dyDescent="0.2">
      <c r="A189" s="17" t="s">
        <v>28</v>
      </c>
      <c r="B189" s="12" t="s">
        <v>221</v>
      </c>
      <c r="C189" s="1102">
        <v>134600</v>
      </c>
      <c r="D189" s="1102">
        <v>100950</v>
      </c>
    </row>
    <row r="190" spans="1:5" ht="38.25" x14ac:dyDescent="0.2">
      <c r="A190" s="17" t="s">
        <v>28</v>
      </c>
      <c r="B190" s="12" t="s">
        <v>222</v>
      </c>
      <c r="C190" s="1102">
        <v>136000</v>
      </c>
      <c r="D190" s="1102">
        <v>102000</v>
      </c>
    </row>
    <row r="191" spans="1:5" ht="38.25" x14ac:dyDescent="0.2">
      <c r="A191" s="17" t="s">
        <v>28</v>
      </c>
      <c r="B191" s="12" t="s">
        <v>223</v>
      </c>
      <c r="C191" s="1102">
        <v>135800</v>
      </c>
      <c r="D191" s="1102">
        <v>101850</v>
      </c>
    </row>
    <row r="192" spans="1:5" ht="38.25" x14ac:dyDescent="0.2">
      <c r="A192" s="11" t="s">
        <v>29</v>
      </c>
      <c r="B192" s="12" t="s">
        <v>224</v>
      </c>
      <c r="C192" s="1102">
        <v>135200</v>
      </c>
      <c r="D192" s="1102">
        <v>90454.01</v>
      </c>
      <c r="E192" s="13">
        <f>SUM(D192:D205)</f>
        <v>1222408.07</v>
      </c>
    </row>
    <row r="193" spans="1:5" ht="38.25" x14ac:dyDescent="0.2">
      <c r="A193" s="17" t="s">
        <v>29</v>
      </c>
      <c r="B193" s="12" t="s">
        <v>225</v>
      </c>
      <c r="C193" s="1102">
        <v>136100</v>
      </c>
      <c r="D193" s="1102">
        <v>90239.15</v>
      </c>
    </row>
    <row r="194" spans="1:5" ht="38.25" x14ac:dyDescent="0.2">
      <c r="A194" s="17" t="s">
        <v>29</v>
      </c>
      <c r="B194" s="12" t="s">
        <v>226</v>
      </c>
      <c r="C194" s="1102">
        <v>134200</v>
      </c>
      <c r="D194" s="1102">
        <v>88941.06</v>
      </c>
    </row>
    <row r="195" spans="1:5" ht="38.25" x14ac:dyDescent="0.2">
      <c r="A195" s="17" t="s">
        <v>29</v>
      </c>
      <c r="B195" s="12" t="s">
        <v>227</v>
      </c>
      <c r="C195" s="1102">
        <v>135200</v>
      </c>
      <c r="D195" s="1102">
        <v>98435.15</v>
      </c>
    </row>
    <row r="196" spans="1:5" ht="38.25" x14ac:dyDescent="0.2">
      <c r="A196" s="17" t="s">
        <v>29</v>
      </c>
      <c r="B196" s="12" t="s">
        <v>228</v>
      </c>
      <c r="C196" s="1102">
        <v>134100</v>
      </c>
      <c r="D196" s="1102">
        <v>79390.02</v>
      </c>
    </row>
    <row r="197" spans="1:5" ht="38.25" x14ac:dyDescent="0.2">
      <c r="A197" s="17" t="s">
        <v>29</v>
      </c>
      <c r="B197" s="12" t="s">
        <v>229</v>
      </c>
      <c r="C197" s="1102">
        <v>134300</v>
      </c>
      <c r="D197" s="1102">
        <v>90193.46</v>
      </c>
    </row>
    <row r="198" spans="1:5" ht="38.25" x14ac:dyDescent="0.2">
      <c r="A198" s="17" t="s">
        <v>29</v>
      </c>
      <c r="B198" s="12" t="s">
        <v>230</v>
      </c>
      <c r="C198" s="1102">
        <v>135000</v>
      </c>
      <c r="D198" s="1102">
        <v>88773.66</v>
      </c>
    </row>
    <row r="199" spans="1:5" ht="38.25" x14ac:dyDescent="0.2">
      <c r="A199" s="17" t="s">
        <v>29</v>
      </c>
      <c r="B199" s="12" t="s">
        <v>231</v>
      </c>
      <c r="C199" s="1102">
        <v>134400</v>
      </c>
      <c r="D199" s="1102">
        <v>93878.71</v>
      </c>
    </row>
    <row r="200" spans="1:5" ht="38.25" x14ac:dyDescent="0.2">
      <c r="A200" s="17" t="s">
        <v>29</v>
      </c>
      <c r="B200" s="12" t="s">
        <v>232</v>
      </c>
      <c r="C200" s="1102">
        <v>137900</v>
      </c>
      <c r="D200" s="1102">
        <v>76793.100000000006</v>
      </c>
    </row>
    <row r="201" spans="1:5" ht="38.25" x14ac:dyDescent="0.2">
      <c r="A201" s="17" t="s">
        <v>29</v>
      </c>
      <c r="B201" s="12" t="s">
        <v>233</v>
      </c>
      <c r="C201" s="1102">
        <v>134800</v>
      </c>
      <c r="D201" s="1102">
        <v>66380.77</v>
      </c>
    </row>
    <row r="202" spans="1:5" ht="38.25" x14ac:dyDescent="0.2">
      <c r="A202" s="17" t="s">
        <v>29</v>
      </c>
      <c r="B202" s="12" t="s">
        <v>234</v>
      </c>
      <c r="C202" s="1102">
        <v>137000</v>
      </c>
      <c r="D202" s="1102">
        <v>92104.48</v>
      </c>
    </row>
    <row r="203" spans="1:5" ht="38.25" x14ac:dyDescent="0.2">
      <c r="A203" s="17" t="s">
        <v>29</v>
      </c>
      <c r="B203" s="12" t="s">
        <v>235</v>
      </c>
      <c r="C203" s="1102">
        <v>136500</v>
      </c>
      <c r="D203" s="1102">
        <v>88363.33</v>
      </c>
    </row>
    <row r="204" spans="1:5" ht="38.25" x14ac:dyDescent="0.2">
      <c r="A204" s="17" t="s">
        <v>29</v>
      </c>
      <c r="B204" s="12" t="s">
        <v>236</v>
      </c>
      <c r="C204" s="1102">
        <v>137000</v>
      </c>
      <c r="D204" s="1102">
        <v>88810.36</v>
      </c>
    </row>
    <row r="205" spans="1:5" ht="38.25" x14ac:dyDescent="0.2">
      <c r="A205" s="17" t="s">
        <v>29</v>
      </c>
      <c r="B205" s="12" t="s">
        <v>237</v>
      </c>
      <c r="C205" s="1102">
        <v>136800</v>
      </c>
      <c r="D205" s="1102">
        <v>89650.81</v>
      </c>
    </row>
    <row r="206" spans="1:5" ht="38.25" x14ac:dyDescent="0.2">
      <c r="A206" s="11" t="s">
        <v>30</v>
      </c>
      <c r="B206" s="12" t="s">
        <v>238</v>
      </c>
      <c r="C206" s="1102">
        <v>135900</v>
      </c>
      <c r="D206" s="1102">
        <v>81454.039999999994</v>
      </c>
      <c r="E206" s="13">
        <f>SUM(D206:D227)</f>
        <v>1986522.3399999999</v>
      </c>
    </row>
    <row r="207" spans="1:5" ht="38.25" x14ac:dyDescent="0.2">
      <c r="A207" s="17" t="s">
        <v>30</v>
      </c>
      <c r="B207" s="12" t="s">
        <v>239</v>
      </c>
      <c r="C207" s="1102">
        <v>136900</v>
      </c>
      <c r="D207" s="1102">
        <v>82399.199999999997</v>
      </c>
    </row>
    <row r="208" spans="1:5" ht="38.25" x14ac:dyDescent="0.2">
      <c r="A208" s="17" t="s">
        <v>30</v>
      </c>
      <c r="B208" s="12" t="s">
        <v>240</v>
      </c>
      <c r="C208" s="1102">
        <v>139900</v>
      </c>
      <c r="D208" s="1102">
        <v>77973.070000000007</v>
      </c>
    </row>
    <row r="209" spans="1:4" ht="38.25" x14ac:dyDescent="0.2">
      <c r="A209" s="17" t="s">
        <v>30</v>
      </c>
      <c r="B209" s="12" t="s">
        <v>241</v>
      </c>
      <c r="C209" s="1102">
        <v>137000</v>
      </c>
      <c r="D209" s="1102">
        <v>89582.12</v>
      </c>
    </row>
    <row r="210" spans="1:4" ht="38.25" x14ac:dyDescent="0.2">
      <c r="A210" s="17" t="s">
        <v>30</v>
      </c>
      <c r="B210" s="12" t="s">
        <v>242</v>
      </c>
      <c r="C210" s="1102">
        <v>136200</v>
      </c>
      <c r="D210" s="1102">
        <v>82400.960000000006</v>
      </c>
    </row>
    <row r="211" spans="1:4" ht="38.25" x14ac:dyDescent="0.2">
      <c r="A211" s="17" t="s">
        <v>30</v>
      </c>
      <c r="B211" s="12" t="s">
        <v>243</v>
      </c>
      <c r="C211" s="1102">
        <v>134700</v>
      </c>
      <c r="D211" s="1102">
        <v>86346.559999999998</v>
      </c>
    </row>
    <row r="212" spans="1:4" ht="38.25" x14ac:dyDescent="0.2">
      <c r="A212" s="17" t="s">
        <v>30</v>
      </c>
      <c r="B212" s="12" t="s">
        <v>244</v>
      </c>
      <c r="C212" s="1102">
        <v>137500</v>
      </c>
      <c r="D212" s="1102">
        <v>81953.77</v>
      </c>
    </row>
    <row r="213" spans="1:4" ht="38.25" x14ac:dyDescent="0.2">
      <c r="A213" s="17" t="s">
        <v>30</v>
      </c>
      <c r="B213" s="12" t="s">
        <v>245</v>
      </c>
      <c r="C213" s="1102">
        <v>135500</v>
      </c>
      <c r="D213" s="1102">
        <v>85700.96</v>
      </c>
    </row>
    <row r="214" spans="1:4" ht="38.25" x14ac:dyDescent="0.2">
      <c r="A214" s="17" t="s">
        <v>30</v>
      </c>
      <c r="B214" s="12" t="s">
        <v>246</v>
      </c>
      <c r="C214" s="1102">
        <v>136200</v>
      </c>
      <c r="D214" s="1102">
        <v>92133.93</v>
      </c>
    </row>
    <row r="215" spans="1:4" ht="38.25" x14ac:dyDescent="0.2">
      <c r="A215" s="17" t="s">
        <v>30</v>
      </c>
      <c r="B215" s="12" t="s">
        <v>247</v>
      </c>
      <c r="C215" s="1102">
        <v>138700</v>
      </c>
      <c r="D215" s="1102">
        <v>82400</v>
      </c>
    </row>
    <row r="216" spans="1:4" ht="38.25" x14ac:dyDescent="0.2">
      <c r="A216" s="17" t="s">
        <v>30</v>
      </c>
      <c r="B216" s="12" t="s">
        <v>248</v>
      </c>
      <c r="C216" s="1102">
        <v>325000</v>
      </c>
      <c r="D216" s="1102">
        <v>211289.12</v>
      </c>
    </row>
    <row r="217" spans="1:4" ht="38.25" x14ac:dyDescent="0.2">
      <c r="A217" s="17" t="s">
        <v>30</v>
      </c>
      <c r="B217" s="12" t="s">
        <v>249</v>
      </c>
      <c r="C217" s="1102">
        <v>136000</v>
      </c>
      <c r="D217" s="1102">
        <v>89306.54</v>
      </c>
    </row>
    <row r="218" spans="1:4" ht="38.25" x14ac:dyDescent="0.2">
      <c r="A218" s="17" t="s">
        <v>30</v>
      </c>
      <c r="B218" s="12" t="s">
        <v>250</v>
      </c>
      <c r="C218" s="1102">
        <v>134300</v>
      </c>
      <c r="D218" s="1102">
        <v>85817</v>
      </c>
    </row>
    <row r="219" spans="1:4" ht="38.25" x14ac:dyDescent="0.2">
      <c r="A219" s="17" t="s">
        <v>30</v>
      </c>
      <c r="B219" s="12" t="s">
        <v>251</v>
      </c>
      <c r="C219" s="1102">
        <v>136600</v>
      </c>
      <c r="D219" s="1102">
        <v>82400</v>
      </c>
    </row>
    <row r="220" spans="1:4" ht="38.25" x14ac:dyDescent="0.2">
      <c r="A220" s="17" t="s">
        <v>30</v>
      </c>
      <c r="B220" s="12" t="s">
        <v>252</v>
      </c>
      <c r="C220" s="1102">
        <v>135300</v>
      </c>
      <c r="D220" s="1102">
        <v>86052.27</v>
      </c>
    </row>
    <row r="221" spans="1:4" ht="38.25" x14ac:dyDescent="0.2">
      <c r="A221" s="17" t="s">
        <v>30</v>
      </c>
      <c r="B221" s="12" t="s">
        <v>253</v>
      </c>
      <c r="C221" s="1102">
        <v>140200</v>
      </c>
      <c r="D221" s="1102">
        <v>81927.56</v>
      </c>
    </row>
    <row r="222" spans="1:4" ht="38.25" x14ac:dyDescent="0.2">
      <c r="A222" s="17" t="s">
        <v>30</v>
      </c>
      <c r="B222" s="12" t="s">
        <v>254</v>
      </c>
      <c r="C222" s="1102">
        <v>134800</v>
      </c>
      <c r="D222" s="1102">
        <v>87800</v>
      </c>
    </row>
    <row r="223" spans="1:4" ht="38.25" x14ac:dyDescent="0.2">
      <c r="A223" s="17" t="s">
        <v>30</v>
      </c>
      <c r="B223" s="12" t="s">
        <v>255</v>
      </c>
      <c r="C223" s="1102">
        <v>136200</v>
      </c>
      <c r="D223" s="1102">
        <v>92699.38</v>
      </c>
    </row>
    <row r="224" spans="1:4" ht="38.25" x14ac:dyDescent="0.2">
      <c r="A224" s="17" t="s">
        <v>30</v>
      </c>
      <c r="B224" s="12" t="s">
        <v>256</v>
      </c>
      <c r="C224" s="1102">
        <v>138000</v>
      </c>
      <c r="D224" s="1102">
        <v>87590.28</v>
      </c>
    </row>
    <row r="225" spans="1:4" ht="38.25" x14ac:dyDescent="0.2">
      <c r="A225" s="17" t="s">
        <v>30</v>
      </c>
      <c r="B225" s="12" t="s">
        <v>257</v>
      </c>
      <c r="C225" s="1102">
        <v>140200</v>
      </c>
      <c r="D225" s="1102">
        <v>83816.55</v>
      </c>
    </row>
    <row r="226" spans="1:4" ht="38.25" x14ac:dyDescent="0.2">
      <c r="A226" s="17" t="s">
        <v>30</v>
      </c>
      <c r="B226" s="12" t="s">
        <v>258</v>
      </c>
      <c r="C226" s="1102">
        <v>134000</v>
      </c>
      <c r="D226" s="1102">
        <v>82398.880000000005</v>
      </c>
    </row>
    <row r="227" spans="1:4" ht="38.25" x14ac:dyDescent="0.2">
      <c r="A227" s="17" t="s">
        <v>30</v>
      </c>
      <c r="B227" s="12" t="s">
        <v>259</v>
      </c>
      <c r="C227" s="1102">
        <v>134400</v>
      </c>
      <c r="D227" s="1102">
        <v>73080.149999999994</v>
      </c>
    </row>
    <row r="228" spans="1:4" x14ac:dyDescent="0.2">
      <c r="A228" s="20"/>
      <c r="C228" s="21"/>
      <c r="D228" s="21"/>
    </row>
    <row r="229" spans="1:4" x14ac:dyDescent="0.2">
      <c r="A229" s="22"/>
      <c r="C229" s="21"/>
      <c r="D229" s="21"/>
    </row>
    <row r="230" spans="1:4" x14ac:dyDescent="0.2">
      <c r="A230" s="22"/>
      <c r="C230" s="21"/>
      <c r="D230" s="21"/>
    </row>
    <row r="231" spans="1:4" x14ac:dyDescent="0.2">
      <c r="A231" s="22"/>
      <c r="C231" s="21"/>
      <c r="D231" s="21"/>
    </row>
    <row r="232" spans="1:4" x14ac:dyDescent="0.2">
      <c r="A232" s="22"/>
      <c r="C232" s="21"/>
      <c r="D232" s="21"/>
    </row>
    <row r="233" spans="1:4" x14ac:dyDescent="0.2">
      <c r="C233" s="21"/>
      <c r="D233" s="21"/>
    </row>
    <row r="234" spans="1:4" x14ac:dyDescent="0.2">
      <c r="C234" s="21"/>
      <c r="D234" s="21"/>
    </row>
    <row r="235" spans="1:4" x14ac:dyDescent="0.2">
      <c r="C235" s="21"/>
      <c r="D235" s="21"/>
    </row>
    <row r="236" spans="1:4" x14ac:dyDescent="0.2">
      <c r="C236" s="21"/>
      <c r="D236" s="21"/>
    </row>
    <row r="237" spans="1:4" x14ac:dyDescent="0.2">
      <c r="C237" s="21"/>
      <c r="D237" s="21"/>
    </row>
    <row r="238" spans="1:4" x14ac:dyDescent="0.2">
      <c r="C238" s="21"/>
      <c r="D238" s="21"/>
    </row>
    <row r="239" spans="1:4" x14ac:dyDescent="0.2">
      <c r="C239" s="21"/>
      <c r="D239" s="21"/>
    </row>
    <row r="240" spans="1:4" x14ac:dyDescent="0.2">
      <c r="C240" s="21"/>
      <c r="D240" s="21"/>
    </row>
    <row r="241" spans="3:4" x14ac:dyDescent="0.2">
      <c r="C241" s="21"/>
      <c r="D241" s="21"/>
    </row>
    <row r="242" spans="3:4" x14ac:dyDescent="0.2">
      <c r="C242" s="21"/>
      <c r="D242" s="21"/>
    </row>
    <row r="243" spans="3:4" x14ac:dyDescent="0.2">
      <c r="C243" s="21"/>
      <c r="D243" s="21"/>
    </row>
    <row r="244" spans="3:4" x14ac:dyDescent="0.2">
      <c r="C244" s="21"/>
      <c r="D244" s="21"/>
    </row>
    <row r="245" spans="3:4" x14ac:dyDescent="0.2">
      <c r="C245" s="21"/>
      <c r="D245" s="21"/>
    </row>
    <row r="246" spans="3:4" x14ac:dyDescent="0.2">
      <c r="C246" s="21"/>
      <c r="D246" s="21"/>
    </row>
    <row r="247" spans="3:4" x14ac:dyDescent="0.2">
      <c r="C247" s="21"/>
      <c r="D247" s="21"/>
    </row>
    <row r="248" spans="3:4" x14ac:dyDescent="0.2">
      <c r="C248" s="21"/>
      <c r="D248" s="21"/>
    </row>
    <row r="249" spans="3:4" x14ac:dyDescent="0.2">
      <c r="C249" s="21"/>
      <c r="D249" s="21"/>
    </row>
    <row r="250" spans="3:4" x14ac:dyDescent="0.2">
      <c r="C250" s="21"/>
      <c r="D250" s="21"/>
    </row>
  </sheetData>
  <mergeCells count="1">
    <mergeCell ref="A2:E2"/>
  </mergeCells>
  <pageMargins left="0.70866141732283472" right="0.70866141732283472" top="0.74803149606299213" bottom="0.74803149606299213" header="0.31496062992125984" footer="0.31496062992125984"/>
  <pageSetup paperSize="9" scale="70" fitToHeight="50" orientation="portrait" horizontalDpi="300" verticalDpi="300" r:id="rId1"/>
  <headerFooter>
    <oddFooter>&amp;L&amp;P&amp;R&amp;Z&amp;F&amp;A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U74"/>
  <sheetViews>
    <sheetView topLeftCell="A22" zoomScale="59" zoomScaleNormal="59" zoomScaleSheetLayoutView="40" workbookViewId="0">
      <selection activeCell="A5" sqref="A5:A11"/>
    </sheetView>
  </sheetViews>
  <sheetFormatPr defaultRowHeight="15" x14ac:dyDescent="0.25"/>
  <cols>
    <col min="1" max="1" width="31.42578125" style="1350" customWidth="1"/>
    <col min="2" max="2" width="26.85546875" style="1350" customWidth="1"/>
    <col min="3" max="3" width="27.28515625" style="1350" customWidth="1"/>
    <col min="4" max="4" width="27.42578125" style="1350" customWidth="1"/>
    <col min="5" max="5" width="26.85546875" style="1350" customWidth="1"/>
    <col min="6" max="6" width="25.140625" style="1350" customWidth="1"/>
    <col min="7" max="7" width="26.85546875" style="1350" customWidth="1"/>
    <col min="8" max="8" width="23.5703125" style="1350" customWidth="1"/>
    <col min="9" max="9" width="24.5703125" style="1350" customWidth="1"/>
    <col min="10" max="10" width="23.85546875" style="1350" customWidth="1"/>
    <col min="11" max="12" width="24.140625" style="1350" customWidth="1"/>
    <col min="13" max="15" width="26.5703125" style="1350" customWidth="1"/>
    <col min="16" max="16" width="27.28515625" style="1350" customWidth="1"/>
    <col min="17" max="17" width="24.5703125" style="1350" customWidth="1"/>
    <col min="18" max="18" width="23.85546875" style="1350" customWidth="1"/>
    <col min="19" max="19" width="21.85546875" style="1350" customWidth="1"/>
    <col min="20" max="20" width="22.5703125" style="1350" customWidth="1"/>
    <col min="21" max="21" width="23.140625" style="1350" customWidth="1"/>
    <col min="22" max="22" width="20.140625" style="1350" customWidth="1"/>
    <col min="23" max="25" width="20.140625" style="1350" hidden="1" customWidth="1"/>
    <col min="26" max="26" width="20.140625" style="1350" customWidth="1"/>
    <col min="27" max="27" width="20.140625" style="1350" hidden="1" customWidth="1"/>
    <col min="28" max="28" width="21" style="1350" hidden="1" customWidth="1"/>
    <col min="29" max="29" width="19.42578125" style="1350" hidden="1" customWidth="1"/>
    <col min="30" max="30" width="21" style="1350" bestFit="1" customWidth="1"/>
    <col min="31" max="32" width="19.42578125" style="1350" hidden="1" customWidth="1"/>
    <col min="33" max="33" width="21" style="1350" bestFit="1" customWidth="1"/>
    <col min="34" max="35" width="19.42578125" style="1350" hidden="1" customWidth="1"/>
    <col min="36" max="39" width="19.42578125" style="1350" bestFit="1" customWidth="1"/>
    <col min="40" max="40" width="26" style="1350" customWidth="1"/>
    <col min="41" max="41" width="25.5703125" style="1350" customWidth="1"/>
    <col min="42" max="42" width="24.140625" style="1350" customWidth="1"/>
    <col min="43" max="43" width="22.42578125" style="1350" hidden="1" customWidth="1"/>
    <col min="44" max="44" width="36.42578125" style="1350" hidden="1" customWidth="1"/>
    <col min="45" max="45" width="26" style="1350" customWidth="1"/>
    <col min="46" max="46" width="22.42578125" style="1350" hidden="1" customWidth="1"/>
    <col min="47" max="47" width="36.42578125" style="1350" hidden="1" customWidth="1"/>
    <col min="48" max="48" width="23.85546875" style="1350" hidden="1" customWidth="1"/>
    <col min="49" max="49" width="36.42578125" style="1350" hidden="1" customWidth="1"/>
    <col min="50" max="50" width="23.85546875" style="1350" hidden="1" customWidth="1"/>
    <col min="51" max="51" width="36.42578125" style="1350" hidden="1" customWidth="1"/>
    <col min="52" max="52" width="26.140625" style="1350" customWidth="1"/>
    <col min="53" max="53" width="22.42578125" style="1350" hidden="1" customWidth="1"/>
    <col min="54" max="54" width="26.7109375" style="1350" customWidth="1"/>
    <col min="55" max="55" width="22.42578125" style="1350" hidden="1" customWidth="1"/>
    <col min="56" max="56" width="22.42578125" style="1350" bestFit="1" customWidth="1"/>
    <col min="57" max="57" width="22.42578125" style="1350" hidden="1" customWidth="1"/>
    <col min="58" max="58" width="21" style="1350" bestFit="1" customWidth="1"/>
    <col min="59" max="59" width="24.140625" style="1350" hidden="1" customWidth="1"/>
    <col min="60" max="60" width="17.140625" style="1350" customWidth="1"/>
    <col min="61" max="61" width="20.5703125" style="1350" customWidth="1"/>
    <col min="62" max="62" width="22.42578125" style="1350" bestFit="1" customWidth="1"/>
    <col min="63" max="63" width="21" style="1350" bestFit="1" customWidth="1"/>
    <col min="64" max="65" width="31.5703125" style="1350" hidden="1" customWidth="1"/>
    <col min="66" max="71" width="18.85546875" style="1350" hidden="1" customWidth="1"/>
    <col min="72" max="72" width="23.5703125" style="1350" customWidth="1"/>
    <col min="73" max="74" width="23.5703125" style="1350" hidden="1" customWidth="1"/>
    <col min="75" max="75" width="23.5703125" style="1350" customWidth="1"/>
    <col min="76" max="77" width="23.5703125" style="1350" hidden="1" customWidth="1"/>
    <col min="78" max="79" width="28.5703125" style="1350" hidden="1" customWidth="1"/>
    <col min="80" max="85" width="18.85546875" style="1350" hidden="1" customWidth="1"/>
    <col min="86" max="86" width="23.28515625" style="1350" customWidth="1"/>
    <col min="87" max="87" width="22.140625" style="1350" hidden="1" customWidth="1"/>
    <col min="88" max="88" width="23.140625" style="1350" hidden="1" customWidth="1"/>
    <col min="89" max="89" width="20.42578125" style="1350" customWidth="1"/>
    <col min="90" max="90" width="21" style="1350" hidden="1" customWidth="1"/>
    <col min="91" max="91" width="21.85546875" style="1350" hidden="1" customWidth="1"/>
    <col min="92" max="92" width="24.42578125" style="1350" bestFit="1" customWidth="1"/>
    <col min="93" max="98" width="26.140625" style="1350" hidden="1" customWidth="1"/>
    <col min="99" max="99" width="23.7109375" style="1350" customWidth="1"/>
    <col min="100" max="105" width="26.5703125" style="1350" hidden="1" customWidth="1"/>
    <col min="106" max="106" width="21.42578125" style="1350" customWidth="1"/>
    <col min="107" max="108" width="24.42578125" style="1350" hidden="1" customWidth="1"/>
    <col min="109" max="109" width="21.42578125" style="1350" customWidth="1"/>
    <col min="110" max="111" width="26.85546875" style="1350" hidden="1" customWidth="1"/>
    <col min="112" max="115" width="21.42578125" style="1350" customWidth="1"/>
    <col min="116" max="116" width="23.140625" style="1350" customWidth="1"/>
    <col min="117" max="119" width="21.28515625" style="1350" hidden="1" customWidth="1"/>
    <col min="120" max="120" width="21.5703125" style="1350" customWidth="1"/>
    <col min="121" max="123" width="21.28515625" style="1350" hidden="1" customWidth="1"/>
    <col min="124" max="124" width="24.42578125" style="1350" customWidth="1"/>
    <col min="125" max="126" width="26.7109375" style="1350" hidden="1" customWidth="1"/>
    <col min="127" max="127" width="24" style="1350" customWidth="1"/>
    <col min="128" max="129" width="27.85546875" style="1350" hidden="1" customWidth="1"/>
    <col min="130" max="131" width="21.28515625" style="1350" hidden="1" customWidth="1"/>
    <col min="132" max="132" width="25.5703125" style="1350" hidden="1" customWidth="1"/>
    <col min="133" max="134" width="21.28515625" style="1350" hidden="1" customWidth="1"/>
    <col min="135" max="135" width="26.140625" style="1350" hidden="1" customWidth="1"/>
    <col min="136" max="136" width="24.85546875" style="1350" customWidth="1"/>
    <col min="137" max="139" width="25.42578125" style="1350" hidden="1" customWidth="1"/>
    <col min="140" max="140" width="25.42578125" style="1350" customWidth="1"/>
    <col min="141" max="143" width="25.42578125" style="1350" hidden="1" customWidth="1"/>
    <col min="144" max="144" width="23.5703125" style="1350" customWidth="1"/>
    <col min="145" max="146" width="25.42578125" style="1350" hidden="1" customWidth="1"/>
    <col min="147" max="147" width="23.140625" style="1350" customWidth="1"/>
    <col min="148" max="148" width="23.7109375" style="1350" hidden="1" customWidth="1"/>
    <col min="149" max="149" width="24.140625" style="1350" hidden="1" customWidth="1"/>
    <col min="150" max="150" width="22.85546875" style="1350" customWidth="1"/>
    <col min="151" max="152" width="25.85546875" style="1350" hidden="1" customWidth="1"/>
    <col min="153" max="153" width="22" style="1350" customWidth="1"/>
    <col min="154" max="155" width="25.85546875" style="1350" hidden="1" customWidth="1"/>
    <col min="156" max="156" width="21.7109375" style="1350" customWidth="1"/>
    <col min="157" max="158" width="23.85546875" style="1350" hidden="1" customWidth="1"/>
    <col min="159" max="159" width="23.85546875" style="1350" customWidth="1"/>
    <col min="160" max="161" width="23.85546875" style="1350" hidden="1" customWidth="1"/>
    <col min="162" max="162" width="21.28515625" style="1350" customWidth="1"/>
    <col min="163" max="164" width="23.85546875" style="1350" hidden="1" customWidth="1"/>
    <col min="165" max="165" width="23.85546875" style="1350" customWidth="1"/>
    <col min="166" max="167" width="23.85546875" style="1350" hidden="1" customWidth="1"/>
    <col min="168" max="168" width="23.85546875" style="1350" customWidth="1"/>
    <col min="169" max="170" width="23.85546875" style="1350" hidden="1" customWidth="1"/>
    <col min="171" max="171" width="23.85546875" style="1350" customWidth="1"/>
    <col min="172" max="172" width="23.85546875" style="1350" hidden="1" customWidth="1"/>
    <col min="173" max="173" width="26.85546875" style="1350" hidden="1" customWidth="1"/>
    <col min="174" max="179" width="23.85546875" style="1350" hidden="1" customWidth="1"/>
    <col min="180" max="180" width="23.85546875" style="1350" customWidth="1"/>
    <col min="181" max="182" width="23.85546875" style="1350" hidden="1" customWidth="1"/>
    <col min="183" max="183" width="23.85546875" style="1350" customWidth="1"/>
    <col min="184" max="185" width="23.85546875" style="1350" hidden="1" customWidth="1"/>
    <col min="186" max="186" width="23.85546875" style="1350" customWidth="1"/>
    <col min="187" max="188" width="23.85546875" style="1350" hidden="1" customWidth="1"/>
    <col min="189" max="189" width="23.85546875" style="1350" customWidth="1"/>
    <col min="190" max="191" width="23.85546875" style="1350" hidden="1" customWidth="1"/>
    <col min="192" max="195" width="23.85546875" style="1350" customWidth="1"/>
    <col min="196" max="196" width="25.28515625" style="1350" customWidth="1"/>
    <col min="197" max="197" width="25.42578125" style="1350" hidden="1" customWidth="1"/>
    <col min="198" max="198" width="24.5703125" style="1350" hidden="1" customWidth="1"/>
    <col min="199" max="199" width="23.5703125" style="1350" hidden="1" customWidth="1"/>
    <col min="200" max="200" width="23.5703125" style="1350" customWidth="1"/>
    <col min="201" max="201" width="24.5703125" style="1350" hidden="1" customWidth="1"/>
    <col min="202" max="202" width="25" style="1350" hidden="1" customWidth="1"/>
    <col min="203" max="203" width="24.42578125" style="1350" hidden="1" customWidth="1"/>
    <col min="204" max="204" width="23.42578125" style="1350" bestFit="1" customWidth="1"/>
    <col min="205" max="205" width="23.42578125" style="1350" hidden="1" customWidth="1"/>
    <col min="206" max="206" width="22" style="1350" bestFit="1" customWidth="1"/>
    <col min="207" max="207" width="23.5703125" style="1350" hidden="1" customWidth="1"/>
    <col min="208" max="211" width="22.85546875" style="1350" customWidth="1"/>
    <col min="212" max="212" width="38.5703125" style="1350" customWidth="1"/>
    <col min="213" max="214" width="25.28515625" style="1350" hidden="1" customWidth="1"/>
    <col min="215" max="215" width="32.7109375" style="1350" customWidth="1"/>
    <col min="216" max="217" width="26.140625" style="1350" hidden="1" customWidth="1"/>
    <col min="218" max="218" width="25.5703125" style="1350" customWidth="1"/>
    <col min="219" max="220" width="25.5703125" style="1350" hidden="1" customWidth="1"/>
    <col min="221" max="221" width="25.5703125" style="1350" customWidth="1"/>
    <col min="222" max="223" width="25.5703125" style="1350" hidden="1" customWidth="1"/>
    <col min="224" max="224" width="22.85546875" style="1350" customWidth="1"/>
    <col min="225" max="226" width="24.140625" style="1350" hidden="1" customWidth="1"/>
    <col min="227" max="227" width="24.140625" style="1350" customWidth="1"/>
    <col min="228" max="229" width="24.140625" style="1350" hidden="1" customWidth="1"/>
    <col min="230" max="230" width="24.140625" style="1350" customWidth="1"/>
    <col min="231" max="232" width="24.140625" style="1350" hidden="1" customWidth="1"/>
    <col min="233" max="233" width="24.140625" style="1350" customWidth="1"/>
    <col min="234" max="235" width="24.140625" style="1350" hidden="1" customWidth="1"/>
    <col min="236" max="236" width="24.140625" style="1350" customWidth="1"/>
    <col min="237" max="238" width="24.140625" style="1350" hidden="1" customWidth="1"/>
    <col min="239" max="239" width="26.42578125" style="1350" customWidth="1"/>
    <col min="240" max="241" width="26.42578125" style="1350" hidden="1" customWidth="1"/>
    <col min="242" max="242" width="26.42578125" style="1350" customWidth="1"/>
    <col min="243" max="244" width="26.42578125" style="1350" hidden="1" customWidth="1"/>
    <col min="245" max="245" width="26.42578125" style="1350" customWidth="1"/>
    <col min="246" max="247" width="26.42578125" style="1350" hidden="1" customWidth="1"/>
    <col min="248" max="248" width="26.42578125" style="1350" customWidth="1"/>
    <col min="249" max="250" width="26.42578125" style="1350" hidden="1" customWidth="1"/>
    <col min="251" max="251" width="26.42578125" style="1350" customWidth="1"/>
    <col min="252" max="253" width="26.42578125" style="1350" hidden="1" customWidth="1"/>
    <col min="254" max="257" width="26.42578125" style="1350" customWidth="1"/>
    <col min="258" max="258" width="24.5703125" style="1350" customWidth="1"/>
    <col min="259" max="260" width="24.5703125" style="1350" hidden="1" customWidth="1"/>
    <col min="261" max="261" width="24.5703125" style="1350" customWidth="1"/>
    <col min="262" max="263" width="24.5703125" style="1350" hidden="1" customWidth="1"/>
    <col min="264" max="264" width="22.5703125" style="1350" customWidth="1"/>
    <col min="265" max="266" width="24.5703125" style="1350" hidden="1" customWidth="1"/>
    <col min="267" max="267" width="24.5703125" style="1350" customWidth="1"/>
    <col min="268" max="269" width="24.5703125" style="1350" hidden="1" customWidth="1"/>
    <col min="270" max="293" width="25.5703125" style="1350" hidden="1" customWidth="1"/>
    <col min="294" max="294" width="22.85546875" style="1350" customWidth="1"/>
    <col min="295" max="298" width="25.5703125" style="1350" hidden="1" customWidth="1"/>
    <col min="299" max="299" width="22.85546875" style="1350" customWidth="1"/>
    <col min="300" max="304" width="25.5703125" style="1350" hidden="1" customWidth="1"/>
    <col min="305" max="325" width="24.42578125" style="1350" hidden="1" customWidth="1"/>
    <col min="326" max="326" width="21.85546875" style="1350" customWidth="1"/>
    <col min="327" max="329" width="24.42578125" style="1350" hidden="1" customWidth="1"/>
    <col min="330" max="330" width="24.42578125" style="1350" customWidth="1"/>
    <col min="331" max="333" width="24.42578125" style="1350" hidden="1" customWidth="1"/>
    <col min="334" max="334" width="23.42578125" style="1350" customWidth="1"/>
    <col min="335" max="337" width="26.140625" style="1350" hidden="1" customWidth="1"/>
    <col min="338" max="338" width="26.140625" style="1350" customWidth="1"/>
    <col min="339" max="341" width="26.140625" style="1350" hidden="1" customWidth="1"/>
    <col min="342" max="342" width="23.5703125" style="1350" customWidth="1"/>
    <col min="343" max="345" width="26.140625" style="1350" hidden="1" customWidth="1"/>
    <col min="346" max="346" width="22.140625" style="1350" customWidth="1"/>
    <col min="347" max="349" width="26.140625" style="1350" hidden="1" customWidth="1"/>
    <col min="350" max="350" width="22.7109375" style="1350" customWidth="1"/>
    <col min="351" max="353" width="26.140625" style="1350" hidden="1" customWidth="1"/>
    <col min="354" max="354" width="21.85546875" style="1350" customWidth="1"/>
    <col min="355" max="357" width="26.140625" style="1350" hidden="1" customWidth="1"/>
    <col min="358" max="358" width="22" style="1350" customWidth="1"/>
    <col min="359" max="365" width="25.42578125" style="1350" hidden="1" customWidth="1"/>
    <col min="366" max="366" width="21.7109375" style="1350" customWidth="1"/>
    <col min="367" max="373" width="25.42578125" style="1350" hidden="1" customWidth="1"/>
    <col min="374" max="374" width="21.7109375" style="1350" customWidth="1"/>
    <col min="375" max="376" width="25.42578125" style="1350" hidden="1" customWidth="1"/>
    <col min="377" max="377" width="21.140625" style="1350" customWidth="1"/>
    <col min="378" max="379" width="25.42578125" style="1350" hidden="1" customWidth="1"/>
    <col min="380" max="380" width="22.42578125" style="1350" customWidth="1"/>
    <col min="381" max="382" width="25.42578125" style="1350" hidden="1" customWidth="1"/>
    <col min="383" max="383" width="23.5703125" style="1350" customWidth="1"/>
    <col min="384" max="385" width="25.42578125" style="1350" hidden="1" customWidth="1"/>
    <col min="386" max="386" width="21.7109375" style="1350" customWidth="1"/>
    <col min="387" max="388" width="25.42578125" style="1350" hidden="1" customWidth="1"/>
    <col min="389" max="389" width="21.42578125" style="1350" customWidth="1"/>
    <col min="390" max="391" width="25.42578125" style="1350" hidden="1" customWidth="1"/>
    <col min="392" max="393" width="23" style="1350" hidden="1" customWidth="1"/>
    <col min="394" max="394" width="24.140625" style="1350" hidden="1" customWidth="1"/>
    <col min="395" max="397" width="23" style="1350" hidden="1" customWidth="1"/>
    <col min="398" max="398" width="24.140625" style="1350" hidden="1" customWidth="1"/>
    <col min="399" max="399" width="23" style="1350" hidden="1" customWidth="1"/>
    <col min="400" max="400" width="23" style="1350" customWidth="1"/>
    <col min="401" max="401" width="24.42578125" style="1350" hidden="1" customWidth="1"/>
    <col min="402" max="402" width="24.140625" style="1350" hidden="1" customWidth="1"/>
    <col min="403" max="403" width="23" style="1350" hidden="1" customWidth="1"/>
    <col min="404" max="404" width="23" style="1350" customWidth="1"/>
    <col min="405" max="405" width="24.42578125" style="1350" hidden="1" customWidth="1"/>
    <col min="406" max="406" width="24.140625" style="1350" hidden="1" customWidth="1"/>
    <col min="407" max="407" width="23" style="1350" hidden="1" customWidth="1"/>
    <col min="408" max="408" width="22.85546875" style="1350" customWidth="1"/>
    <col min="409" max="411" width="24.42578125" style="1350" hidden="1" customWidth="1"/>
    <col min="412" max="412" width="24.42578125" style="1350" customWidth="1"/>
    <col min="413" max="415" width="24.42578125" style="1350" hidden="1" customWidth="1"/>
    <col min="416" max="416" width="22.5703125" style="1350" customWidth="1"/>
    <col min="417" max="419" width="24.42578125" style="1350" hidden="1" customWidth="1"/>
    <col min="420" max="420" width="24.42578125" style="1350" customWidth="1"/>
    <col min="421" max="423" width="24.42578125" style="1350" hidden="1" customWidth="1"/>
    <col min="424" max="424" width="22.42578125" style="1350" customWidth="1"/>
    <col min="425" max="427" width="24.42578125" style="1350" hidden="1" customWidth="1"/>
    <col min="428" max="428" width="24.42578125" style="1350" customWidth="1"/>
    <col min="429" max="431" width="24.42578125" style="1350" hidden="1" customWidth="1"/>
    <col min="432" max="432" width="22.140625" style="1350" customWidth="1"/>
    <col min="433" max="433" width="22.140625" style="1350" hidden="1" customWidth="1"/>
    <col min="434" max="434" width="26" style="1350" hidden="1" customWidth="1"/>
    <col min="435" max="435" width="22.5703125" style="1350" hidden="1" customWidth="1"/>
    <col min="436" max="436" width="25.140625" style="1350" hidden="1" customWidth="1"/>
    <col min="437" max="437" width="22.140625" style="1350" customWidth="1"/>
    <col min="438" max="438" width="21.7109375" style="1350" hidden="1" customWidth="1"/>
    <col min="439" max="441" width="26" style="1350" hidden="1" customWidth="1"/>
    <col min="442" max="442" width="22.140625" style="1350" customWidth="1"/>
    <col min="443" max="443" width="21.140625" style="1350" hidden="1" customWidth="1"/>
    <col min="444" max="444" width="25.7109375" style="1350" hidden="1" customWidth="1"/>
    <col min="445" max="445" width="22.140625" style="1350" customWidth="1"/>
    <col min="446" max="446" width="20" style="1350" hidden="1" customWidth="1"/>
    <col min="447" max="447" width="25.42578125" style="1350" hidden="1" customWidth="1"/>
    <col min="448" max="448" width="22.140625" style="1350" customWidth="1"/>
    <col min="449" max="449" width="20.85546875" style="1350" hidden="1" customWidth="1"/>
    <col min="450" max="450" width="24.85546875" style="1350" hidden="1" customWidth="1"/>
    <col min="451" max="451" width="22.140625" style="1350" customWidth="1"/>
    <col min="452" max="452" width="22.140625" style="1350" hidden="1" customWidth="1"/>
    <col min="453" max="453" width="27.28515625" style="1350" hidden="1" customWidth="1"/>
    <col min="454" max="454" width="22.140625" style="1350" customWidth="1"/>
    <col min="455" max="455" width="22.140625" style="1350" hidden="1" customWidth="1"/>
    <col min="456" max="456" width="25.42578125" style="1350" hidden="1" customWidth="1"/>
    <col min="457" max="457" width="22.140625" style="1350" customWidth="1"/>
    <col min="458" max="458" width="22.140625" style="1350" hidden="1" customWidth="1"/>
    <col min="459" max="459" width="26.85546875" style="1350" hidden="1" customWidth="1"/>
    <col min="460" max="460" width="22.140625" style="1350" customWidth="1"/>
    <col min="461" max="462" width="26.85546875" style="1350" hidden="1" customWidth="1"/>
    <col min="463" max="463" width="22.140625" style="1350" customWidth="1"/>
    <col min="464" max="465" width="26" style="1350" hidden="1" customWidth="1"/>
    <col min="466" max="466" width="22.140625" style="1350" hidden="1" customWidth="1"/>
    <col min="467" max="467" width="24.28515625" style="1350" hidden="1" customWidth="1"/>
    <col min="468" max="468" width="25" style="1350" hidden="1" customWidth="1"/>
    <col min="469" max="469" width="22.140625" style="1350" hidden="1" customWidth="1"/>
    <col min="470" max="470" width="24.28515625" style="1350" hidden="1" customWidth="1"/>
    <col min="471" max="471" width="25" style="1350" hidden="1" customWidth="1"/>
    <col min="472" max="472" width="19.85546875" style="1350" hidden="1" customWidth="1"/>
    <col min="473" max="473" width="24.28515625" style="1350" hidden="1" customWidth="1"/>
    <col min="474" max="474" width="25" style="1350" hidden="1" customWidth="1"/>
    <col min="475" max="475" width="19.85546875" style="1350" hidden="1" customWidth="1"/>
    <col min="476" max="476" width="24.28515625" style="1350" hidden="1" customWidth="1"/>
    <col min="477" max="477" width="25" style="1350" hidden="1" customWidth="1"/>
    <col min="478" max="478" width="19.85546875" style="1350" hidden="1" customWidth="1"/>
    <col min="479" max="479" width="24.28515625" style="1350" hidden="1" customWidth="1"/>
    <col min="480" max="480" width="25" style="1350" hidden="1" customWidth="1"/>
    <col min="481" max="481" width="19.85546875" style="1350" hidden="1" customWidth="1"/>
    <col min="482" max="482" width="24.28515625" style="1350" hidden="1" customWidth="1"/>
    <col min="483" max="483" width="25" style="1350" hidden="1" customWidth="1"/>
    <col min="484" max="484" width="19.85546875" style="1350" hidden="1" customWidth="1"/>
    <col min="485" max="485" width="24.28515625" style="1350" hidden="1" customWidth="1"/>
    <col min="486" max="486" width="25" style="1350" hidden="1" customWidth="1"/>
    <col min="487" max="487" width="19.85546875" style="1350" hidden="1" customWidth="1"/>
    <col min="488" max="488" width="24.28515625" style="1350" hidden="1" customWidth="1"/>
    <col min="489" max="489" width="25" style="1350" hidden="1" customWidth="1"/>
    <col min="490" max="490" width="19.85546875" style="1350" hidden="1" customWidth="1"/>
    <col min="491" max="491" width="23.5703125" style="1350" hidden="1" customWidth="1"/>
    <col min="492" max="492" width="24.28515625" style="1350" hidden="1" customWidth="1"/>
    <col min="493" max="493" width="19.85546875" style="1350" hidden="1" customWidth="1"/>
    <col min="494" max="494" width="23.5703125" style="1350" hidden="1" customWidth="1"/>
    <col min="495" max="495" width="24.28515625" style="1350" hidden="1" customWidth="1"/>
    <col min="496" max="496" width="23.5703125" style="1350" customWidth="1"/>
    <col min="497" max="497" width="22.42578125" style="1350" hidden="1" customWidth="1"/>
    <col min="498" max="499" width="26.140625" style="1350" hidden="1" customWidth="1"/>
    <col min="500" max="500" width="24.140625" style="1350" customWidth="1"/>
    <col min="501" max="503" width="25" style="1350" hidden="1" customWidth="1"/>
    <col min="504" max="504" width="18.5703125" style="1350" customWidth="1"/>
    <col min="505" max="506" width="24.140625" style="1350" hidden="1" customWidth="1"/>
    <col min="507" max="507" width="18.5703125" style="1350" customWidth="1"/>
    <col min="508" max="509" width="26.5703125" style="1350" hidden="1" customWidth="1"/>
    <col min="510" max="510" width="25.140625" style="1350" customWidth="1"/>
    <col min="511" max="511" width="23.42578125" style="1350" hidden="1" customWidth="1"/>
    <col min="512" max="512" width="24.42578125" style="1350" hidden="1" customWidth="1"/>
    <col min="513" max="513" width="23.42578125" style="1350" hidden="1" customWidth="1"/>
    <col min="514" max="514" width="24.42578125" style="1350" hidden="1" customWidth="1"/>
    <col min="515" max="515" width="23.42578125" style="1350" hidden="1" customWidth="1"/>
    <col min="516" max="516" width="24.42578125" style="1350" hidden="1" customWidth="1"/>
    <col min="517" max="517" width="23.42578125" style="1350" customWidth="1"/>
    <col min="518" max="518" width="23.42578125" style="1350" hidden="1" customWidth="1"/>
    <col min="519" max="519" width="24.42578125" style="1350" hidden="1" customWidth="1"/>
    <col min="520" max="520" width="23.42578125" style="1350" hidden="1" customWidth="1"/>
    <col min="521" max="521" width="24.42578125" style="1350" hidden="1" customWidth="1"/>
    <col min="522" max="522" width="23.42578125" style="1350" hidden="1" customWidth="1"/>
    <col min="523" max="523" width="24.42578125" style="1350" hidden="1" customWidth="1"/>
    <col min="524" max="524" width="23.42578125" style="1350" customWidth="1"/>
    <col min="525" max="525" width="23.42578125" style="1350" hidden="1" customWidth="1"/>
    <col min="526" max="526" width="24.42578125" style="1350" hidden="1" customWidth="1"/>
    <col min="527" max="527" width="23.42578125" style="1350" hidden="1" customWidth="1"/>
    <col min="528" max="528" width="24.42578125" style="1350" hidden="1" customWidth="1"/>
    <col min="529" max="529" width="23.42578125" style="1350" hidden="1" customWidth="1"/>
    <col min="530" max="530" width="24.42578125" style="1350" hidden="1" customWidth="1"/>
    <col min="531" max="531" width="23.42578125" style="1350" customWidth="1"/>
    <col min="532" max="532" width="23.42578125" style="1350" hidden="1" customWidth="1"/>
    <col min="533" max="533" width="24.42578125" style="1350" hidden="1" customWidth="1"/>
    <col min="534" max="534" width="23.42578125" style="1350" hidden="1" customWidth="1"/>
    <col min="535" max="535" width="24.42578125" style="1350" hidden="1" customWidth="1"/>
    <col min="536" max="536" width="23.42578125" style="1350" hidden="1" customWidth="1"/>
    <col min="537" max="537" width="24.42578125" style="1350" hidden="1" customWidth="1"/>
    <col min="538" max="538" width="21.5703125" style="1350" customWidth="1"/>
    <col min="539" max="544" width="23.85546875" style="1350" hidden="1" customWidth="1"/>
    <col min="545" max="545" width="22" style="1350" customWidth="1"/>
    <col min="546" max="551" width="25.5703125" style="1350" hidden="1" customWidth="1"/>
    <col min="552" max="552" width="22" style="1350" customWidth="1"/>
    <col min="553" max="553" width="21.5703125" style="1350" hidden="1" customWidth="1"/>
    <col min="554" max="554" width="27.7109375" style="1350" hidden="1" customWidth="1"/>
    <col min="555" max="555" width="22.140625" style="1350" hidden="1" customWidth="1"/>
    <col min="556" max="556" width="27.7109375" style="1350" hidden="1" customWidth="1"/>
    <col min="557" max="557" width="21.85546875" style="1350" hidden="1" customWidth="1"/>
    <col min="558" max="558" width="27.7109375" style="1350" hidden="1" customWidth="1"/>
    <col min="559" max="559" width="22" style="1350" customWidth="1"/>
    <col min="560" max="560" width="23.5703125" style="1350" hidden="1" customWidth="1"/>
    <col min="561" max="561" width="27.42578125" style="1350" hidden="1" customWidth="1"/>
    <col min="562" max="562" width="22.42578125" style="1350" hidden="1" customWidth="1"/>
    <col min="563" max="563" width="27.42578125" style="1350" hidden="1" customWidth="1"/>
    <col min="564" max="564" width="21.85546875" style="1350" hidden="1" customWidth="1"/>
    <col min="565" max="565" width="27.42578125" style="1350" hidden="1" customWidth="1"/>
    <col min="566" max="566" width="25.5703125" style="1350" customWidth="1"/>
    <col min="567" max="567" width="27.42578125" style="1350" customWidth="1"/>
    <col min="568" max="568" width="22.42578125" style="1350" customWidth="1"/>
    <col min="569" max="569" width="22.42578125" style="1350" bestFit="1" customWidth="1"/>
    <col min="570" max="570" width="21.5703125" style="1350" customWidth="1"/>
    <col min="571" max="571" width="21.140625" style="1350" customWidth="1"/>
    <col min="572" max="572" width="22.42578125" style="1350" customWidth="1"/>
    <col min="573" max="573" width="24.5703125" style="1350" customWidth="1"/>
    <col min="574" max="574" width="25.42578125" style="1350" customWidth="1"/>
    <col min="575" max="575" width="26" style="1350" hidden="1" customWidth="1"/>
    <col min="576" max="576" width="22.42578125" style="1350" hidden="1" customWidth="1"/>
    <col min="577" max="577" width="26.85546875" style="1350" customWidth="1"/>
    <col min="578" max="578" width="26" style="1350" hidden="1" customWidth="1"/>
    <col min="579" max="579" width="23.140625" style="1350" hidden="1" customWidth="1"/>
    <col min="580" max="580" width="25.5703125" style="1350" customWidth="1"/>
    <col min="581" max="581" width="25.140625" style="1350" customWidth="1"/>
    <col min="582" max="583" width="23.140625" style="1350" customWidth="1"/>
    <col min="584" max="584" width="22.140625" style="1350" customWidth="1"/>
    <col min="585" max="585" width="20.5703125" style="1350" customWidth="1"/>
    <col min="586" max="586" width="21.85546875" style="1350" customWidth="1"/>
    <col min="587" max="587" width="20.140625" style="1350" customWidth="1"/>
    <col min="588" max="588" width="19.85546875" style="1350" customWidth="1"/>
    <col min="589" max="589" width="18.140625" style="1350" customWidth="1"/>
    <col min="590" max="590" width="28.85546875" style="1350" customWidth="1"/>
    <col min="591" max="591" width="29.85546875" style="1350" customWidth="1"/>
    <col min="592" max="592" width="21.140625" style="1350" customWidth="1"/>
    <col min="593" max="593" width="20.42578125" style="1350" customWidth="1"/>
    <col min="594" max="594" width="21.140625" style="1350" customWidth="1"/>
    <col min="595" max="595" width="21.42578125" style="1350" customWidth="1"/>
    <col min="596" max="596" width="23.42578125" style="1350" customWidth="1"/>
    <col min="597" max="597" width="22.42578125" style="1350" hidden="1" customWidth="1"/>
    <col min="598" max="598" width="25.5703125" style="1350" hidden="1" customWidth="1"/>
    <col min="599" max="599" width="23.42578125" style="1350" customWidth="1"/>
    <col min="600" max="600" width="21" style="1350" hidden="1" customWidth="1"/>
    <col min="601" max="601" width="27.140625" style="1350" hidden="1" customWidth="1"/>
    <col min="602" max="602" width="21.85546875" style="1350" customWidth="1"/>
    <col min="603" max="604" width="21" style="1350" hidden="1" customWidth="1"/>
    <col min="605" max="605" width="21.140625" style="1350" customWidth="1"/>
    <col min="606" max="606" width="21" style="1350" hidden="1" customWidth="1"/>
    <col min="607" max="607" width="21.28515625" style="1350" hidden="1" customWidth="1"/>
    <col min="608" max="609" width="26.140625" style="1350" customWidth="1"/>
    <col min="610" max="610" width="39.85546875" style="1350" customWidth="1"/>
    <col min="611" max="611" width="19.42578125" style="1350" hidden="1" customWidth="1"/>
    <col min="612" max="612" width="20.5703125" style="1350" hidden="1" customWidth="1"/>
    <col min="613" max="613" width="38.28515625" style="1350" customWidth="1"/>
    <col min="614" max="614" width="19.85546875" style="1350" hidden="1" customWidth="1"/>
    <col min="615" max="615" width="22.85546875" style="1350" hidden="1" customWidth="1"/>
    <col min="616" max="616" width="22.5703125" style="1350" customWidth="1"/>
    <col min="617" max="617" width="19.42578125" style="1350" hidden="1" customWidth="1"/>
    <col min="618" max="618" width="23.140625" style="1350" hidden="1" customWidth="1"/>
    <col min="619" max="619" width="21.42578125" style="1350" customWidth="1"/>
    <col min="620" max="620" width="19.85546875" style="1350" hidden="1" customWidth="1"/>
    <col min="621" max="621" width="22.85546875" style="1350" hidden="1" customWidth="1"/>
    <col min="622" max="622" width="24.7109375" style="1350" customWidth="1"/>
    <col min="623" max="623" width="21.140625" style="1350" hidden="1" customWidth="1"/>
    <col min="624" max="624" width="22.7109375" style="1350" hidden="1" customWidth="1"/>
    <col min="625" max="625" width="23.42578125" style="1350" customWidth="1"/>
    <col min="626" max="626" width="20.5703125" style="1350" hidden="1" customWidth="1"/>
    <col min="627" max="627" width="22.7109375" style="1350" hidden="1" customWidth="1"/>
    <col min="628" max="628" width="23.85546875" style="1350" customWidth="1"/>
    <col min="629" max="629" width="20.140625" style="1350" hidden="1" customWidth="1"/>
    <col min="630" max="630" width="23.5703125" style="1350" hidden="1" customWidth="1"/>
    <col min="631" max="631" width="22.85546875" style="1350" customWidth="1"/>
    <col min="632" max="632" width="19.28515625" style="1350" hidden="1" customWidth="1"/>
    <col min="633" max="633" width="24.85546875" style="1350" hidden="1" customWidth="1"/>
    <col min="634" max="634" width="23.42578125" style="1350" customWidth="1"/>
    <col min="635" max="635" width="22.42578125" style="1350" hidden="1" customWidth="1"/>
    <col min="636" max="636" width="22.28515625" style="1350" customWidth="1"/>
    <col min="637" max="637" width="21" style="1350" hidden="1" customWidth="1"/>
    <col min="638" max="638" width="22.85546875" style="1350" customWidth="1"/>
    <col min="639" max="639" width="22.42578125" style="1350" hidden="1" customWidth="1"/>
    <col min="640" max="640" width="24.5703125" style="1350" customWidth="1"/>
    <col min="641" max="641" width="22.42578125" style="1350" hidden="1" customWidth="1"/>
    <col min="642" max="642" width="22.85546875" style="1350" customWidth="1"/>
    <col min="643" max="643" width="19.28515625" style="1350" customWidth="1"/>
    <col min="644" max="644" width="23.140625" style="1350" customWidth="1"/>
    <col min="645" max="645" width="22.42578125" style="1350" bestFit="1" customWidth="1"/>
    <col min="646" max="646" width="24.42578125" style="1350" bestFit="1" customWidth="1"/>
    <col min="647" max="647" width="22.42578125" style="1350" hidden="1" customWidth="1"/>
    <col min="648" max="648" width="25.5703125" style="1350" hidden="1" customWidth="1"/>
    <col min="649" max="649" width="21" style="1350" hidden="1" customWidth="1"/>
    <col min="650" max="650" width="24.28515625" style="1350" hidden="1" customWidth="1"/>
    <col min="651" max="651" width="24.85546875" style="1350" hidden="1" customWidth="1"/>
    <col min="652" max="652" width="25" style="1350" hidden="1" customWidth="1"/>
    <col min="653" max="653" width="22" style="1350" hidden="1" customWidth="1"/>
    <col min="654" max="654" width="18.42578125" style="1350" hidden="1" customWidth="1"/>
    <col min="655" max="655" width="19.42578125" style="1350" hidden="1" customWidth="1"/>
    <col min="656" max="656" width="25.28515625" style="1350" hidden="1" customWidth="1"/>
    <col min="657" max="657" width="21.85546875" style="1350" customWidth="1"/>
    <col min="658" max="658" width="22.42578125" style="1350" hidden="1" customWidth="1"/>
    <col min="659" max="659" width="22.85546875" style="1350" hidden="1" customWidth="1"/>
    <col min="660" max="660" width="21" style="1350" hidden="1" customWidth="1"/>
    <col min="661" max="661" width="24.140625" style="1350" hidden="1" customWidth="1"/>
    <col min="662" max="662" width="24.5703125" style="1350" hidden="1" customWidth="1"/>
    <col min="663" max="663" width="23.5703125" style="1350" hidden="1" customWidth="1"/>
    <col min="664" max="664" width="21" style="1350" hidden="1" customWidth="1"/>
    <col min="665" max="665" width="19.5703125" style="1350" hidden="1" customWidth="1"/>
    <col min="666" max="666" width="19" style="1350" hidden="1" customWidth="1"/>
    <col min="667" max="667" width="23.5703125" style="1350" hidden="1" customWidth="1"/>
    <col min="668" max="668" width="23.140625" style="1350" customWidth="1"/>
    <col min="669" max="669" width="22.85546875" style="1350" hidden="1" customWidth="1"/>
    <col min="670" max="670" width="23.85546875" style="1350" hidden="1" customWidth="1"/>
    <col min="671" max="671" width="25.7109375" style="1350" hidden="1" customWidth="1"/>
    <col min="672" max="672" width="23.140625" style="1350" hidden="1" customWidth="1"/>
    <col min="673" max="673" width="21.28515625" style="1350" hidden="1" customWidth="1"/>
    <col min="674" max="674" width="22.140625" style="1350" customWidth="1"/>
    <col min="675" max="675" width="22.42578125" style="1350" hidden="1" customWidth="1"/>
    <col min="676" max="676" width="23.85546875" style="1350" hidden="1" customWidth="1"/>
    <col min="677" max="677" width="23.140625" style="1350" hidden="1" customWidth="1"/>
    <col min="678" max="678" width="21.28515625" style="1350" hidden="1" customWidth="1"/>
    <col min="679" max="679" width="23.85546875" style="1350" hidden="1" customWidth="1"/>
    <col min="680" max="680" width="24.140625" style="1350" customWidth="1"/>
    <col min="681" max="681" width="21" style="1350" hidden="1" customWidth="1"/>
    <col min="682" max="682" width="17.42578125" style="1350" hidden="1" customWidth="1"/>
    <col min="683" max="683" width="22.42578125" style="1350" hidden="1" customWidth="1"/>
    <col min="684" max="685" width="21" style="1350" hidden="1" customWidth="1"/>
    <col min="686" max="686" width="23.85546875" style="1350" customWidth="1"/>
    <col min="687" max="687" width="21" style="1350" hidden="1" customWidth="1"/>
    <col min="688" max="688" width="18.5703125" style="1350" hidden="1" customWidth="1"/>
    <col min="689" max="691" width="21" style="1350" hidden="1" customWidth="1"/>
    <col min="692" max="692" width="22.140625" style="1350" customWidth="1"/>
    <col min="693" max="695" width="21" style="1350" hidden="1" customWidth="1"/>
    <col min="696" max="697" width="19" style="1350" hidden="1" customWidth="1"/>
    <col min="698" max="698" width="21.85546875" style="1350" customWidth="1"/>
    <col min="699" max="700" width="21" style="1350" hidden="1" customWidth="1"/>
    <col min="701" max="703" width="20.85546875" style="1350" hidden="1" customWidth="1"/>
    <col min="704" max="704" width="25.85546875" style="1350" customWidth="1"/>
    <col min="705" max="705" width="23.5703125" style="1350" bestFit="1" customWidth="1"/>
    <col min="706" max="706" width="18.42578125" style="1350" bestFit="1" customWidth="1"/>
    <col min="707" max="707" width="19.28515625" style="1350" customWidth="1"/>
    <col min="708" max="708" width="18.42578125" style="1350" bestFit="1" customWidth="1"/>
    <col min="709" max="709" width="19.5703125" style="1350" customWidth="1"/>
    <col min="710" max="710" width="18.42578125" style="1350" bestFit="1" customWidth="1"/>
    <col min="711" max="711" width="21.42578125" style="1350" customWidth="1"/>
    <col min="712" max="712" width="18.42578125" style="1350" bestFit="1" customWidth="1"/>
    <col min="713" max="713" width="17.42578125" style="1350" customWidth="1"/>
    <col min="714" max="714" width="26.42578125" style="1350" customWidth="1"/>
    <col min="715" max="715" width="22.42578125" style="1350" customWidth="1"/>
    <col min="716" max="716" width="21.5703125" style="1350" customWidth="1"/>
    <col min="717" max="717" width="18.140625" style="1350" customWidth="1"/>
    <col min="718" max="718" width="18.42578125" style="1350" bestFit="1" customWidth="1"/>
    <col min="719" max="719" width="19.28515625" style="1350" customWidth="1"/>
    <col min="720" max="720" width="18.42578125" style="1350" bestFit="1" customWidth="1"/>
    <col min="721" max="721" width="22.42578125" style="1350" customWidth="1"/>
    <col min="722" max="722" width="25.5703125" style="1350" bestFit="1" customWidth="1"/>
    <col min="723" max="723" width="25.42578125" style="1350" bestFit="1" customWidth="1"/>
    <col min="724" max="16384" width="9.140625" style="1350"/>
  </cols>
  <sheetData>
    <row r="1" spans="1:723" ht="16.5" x14ac:dyDescent="0.25">
      <c r="A1" s="791"/>
      <c r="B1" s="791"/>
      <c r="C1" s="791"/>
      <c r="D1" s="791"/>
      <c r="E1" s="791"/>
      <c r="F1" s="791"/>
      <c r="G1" s="791"/>
      <c r="H1" s="791"/>
      <c r="I1" s="791"/>
      <c r="J1" s="791"/>
      <c r="K1" s="791"/>
      <c r="L1" s="791"/>
      <c r="M1" s="791"/>
      <c r="N1" s="791"/>
      <c r="O1" s="791"/>
      <c r="P1" s="791"/>
      <c r="Q1" s="791"/>
      <c r="R1" s="791"/>
      <c r="S1" s="791"/>
      <c r="T1" s="791"/>
      <c r="U1" s="791"/>
      <c r="V1" s="791"/>
      <c r="W1" s="791"/>
      <c r="X1" s="791"/>
      <c r="Y1" s="791"/>
      <c r="Z1" s="791"/>
      <c r="AA1" s="791"/>
      <c r="AB1" s="791"/>
      <c r="AC1" s="791"/>
      <c r="AD1" s="791"/>
      <c r="AE1" s="791"/>
      <c r="AF1" s="791"/>
      <c r="AG1" s="791"/>
      <c r="AH1" s="791"/>
      <c r="AI1" s="791"/>
      <c r="AJ1" s="791"/>
      <c r="AK1" s="791"/>
      <c r="AL1" s="791"/>
      <c r="AM1" s="791"/>
      <c r="AN1" s="791"/>
      <c r="AO1" s="791"/>
      <c r="AP1" s="791"/>
      <c r="AQ1" s="791"/>
      <c r="AR1" s="791"/>
      <c r="AS1" s="791"/>
      <c r="AT1" s="791"/>
      <c r="AU1" s="791"/>
      <c r="AV1" s="791"/>
      <c r="AW1" s="791"/>
      <c r="AX1" s="791"/>
      <c r="AY1" s="791"/>
      <c r="AZ1" s="791"/>
      <c r="BA1" s="791"/>
      <c r="BB1" s="791"/>
      <c r="BC1" s="791"/>
      <c r="BD1" s="791"/>
      <c r="BE1" s="791"/>
      <c r="BF1" s="791"/>
      <c r="BG1" s="791"/>
      <c r="BH1" s="791"/>
      <c r="BI1" s="791"/>
      <c r="BJ1" s="791"/>
      <c r="BK1" s="791"/>
      <c r="BL1" s="791"/>
      <c r="BM1" s="791"/>
      <c r="BN1" s="791"/>
      <c r="BO1" s="791"/>
      <c r="BP1" s="791"/>
      <c r="BQ1" s="791"/>
      <c r="BR1" s="791"/>
      <c r="BS1" s="791"/>
      <c r="BT1" s="791"/>
      <c r="BU1" s="791"/>
      <c r="BV1" s="791"/>
      <c r="BW1" s="791"/>
      <c r="BX1" s="791"/>
      <c r="BY1" s="791"/>
      <c r="BZ1" s="791"/>
      <c r="CA1" s="791"/>
      <c r="CB1" s="791"/>
      <c r="CC1" s="791"/>
      <c r="CD1" s="791"/>
      <c r="CE1" s="791"/>
      <c r="CF1" s="791"/>
      <c r="CG1" s="791"/>
      <c r="CH1" s="791"/>
      <c r="CI1" s="791"/>
      <c r="CJ1" s="791"/>
      <c r="CK1" s="791"/>
      <c r="CL1" s="791"/>
      <c r="CM1" s="791"/>
      <c r="CN1" s="791"/>
      <c r="CO1" s="791"/>
      <c r="CP1" s="791"/>
      <c r="CQ1" s="791"/>
      <c r="CR1" s="791"/>
      <c r="CS1" s="791"/>
      <c r="CT1" s="791"/>
      <c r="CU1" s="791"/>
      <c r="CV1" s="791"/>
      <c r="CW1" s="791"/>
      <c r="CX1" s="791"/>
      <c r="CY1" s="791"/>
      <c r="CZ1" s="791"/>
      <c r="DA1" s="791"/>
      <c r="DB1" s="791"/>
      <c r="DC1" s="791"/>
      <c r="DD1" s="791"/>
      <c r="DE1" s="791"/>
      <c r="DF1" s="791"/>
      <c r="DG1" s="791"/>
      <c r="DH1" s="791"/>
      <c r="DI1" s="791"/>
      <c r="DJ1" s="791"/>
      <c r="DK1" s="791"/>
      <c r="DL1" s="791"/>
      <c r="DM1" s="791"/>
      <c r="DN1" s="791"/>
      <c r="DO1" s="791"/>
      <c r="DP1" s="791"/>
      <c r="DQ1" s="791"/>
      <c r="DR1" s="791"/>
      <c r="DS1" s="791"/>
      <c r="DT1" s="791"/>
      <c r="DU1" s="791"/>
      <c r="DV1" s="791"/>
      <c r="DW1" s="791"/>
      <c r="DX1" s="791"/>
      <c r="DY1" s="791"/>
      <c r="DZ1" s="791"/>
      <c r="EA1" s="791"/>
      <c r="EB1" s="791"/>
      <c r="EC1" s="791"/>
      <c r="ED1" s="791"/>
      <c r="EE1" s="791"/>
      <c r="EF1" s="791"/>
      <c r="EG1" s="791"/>
      <c r="EH1" s="791"/>
      <c r="EI1" s="791"/>
      <c r="EJ1" s="791"/>
      <c r="EK1" s="791"/>
      <c r="EL1" s="791"/>
      <c r="EM1" s="791"/>
      <c r="EN1" s="791"/>
      <c r="EO1" s="791"/>
      <c r="EP1" s="791"/>
      <c r="EQ1" s="791"/>
      <c r="ER1" s="791"/>
      <c r="ES1" s="791"/>
      <c r="ET1" s="791"/>
      <c r="EU1" s="791"/>
      <c r="EV1" s="791"/>
      <c r="EW1" s="791"/>
      <c r="EX1" s="791"/>
      <c r="EY1" s="791"/>
      <c r="EZ1" s="791"/>
      <c r="FA1" s="791"/>
      <c r="FB1" s="791"/>
      <c r="FC1" s="791"/>
      <c r="FD1" s="791"/>
      <c r="FE1" s="791"/>
      <c r="FF1" s="791"/>
      <c r="FG1" s="791"/>
      <c r="FH1" s="791"/>
      <c r="FI1" s="791"/>
      <c r="FJ1" s="791"/>
      <c r="FK1" s="791"/>
      <c r="FL1" s="791"/>
      <c r="FM1" s="791"/>
      <c r="FN1" s="791"/>
      <c r="FO1" s="791"/>
      <c r="FP1" s="791"/>
      <c r="FQ1" s="791"/>
      <c r="FR1" s="791"/>
      <c r="FS1" s="791"/>
      <c r="FT1" s="791"/>
      <c r="FU1" s="791"/>
      <c r="FV1" s="791"/>
      <c r="FW1" s="791"/>
      <c r="FX1" s="791"/>
      <c r="FY1" s="791"/>
      <c r="FZ1" s="791"/>
      <c r="GA1" s="791"/>
      <c r="GB1" s="791"/>
      <c r="GC1" s="791"/>
      <c r="GD1" s="791"/>
      <c r="GE1" s="791"/>
      <c r="GF1" s="791"/>
      <c r="GG1" s="791"/>
      <c r="GH1" s="791"/>
      <c r="GI1" s="791"/>
      <c r="GJ1" s="791"/>
      <c r="GK1" s="791"/>
      <c r="GL1" s="791"/>
      <c r="GM1" s="791"/>
      <c r="GN1" s="791"/>
      <c r="GO1" s="791"/>
      <c r="GP1" s="791"/>
      <c r="GQ1" s="791"/>
      <c r="GR1" s="791"/>
      <c r="GS1" s="791"/>
      <c r="GT1" s="791"/>
      <c r="GU1" s="791"/>
      <c r="GV1" s="791"/>
      <c r="GW1" s="791"/>
      <c r="GX1" s="791"/>
      <c r="GY1" s="791"/>
      <c r="GZ1" s="791"/>
      <c r="HA1" s="791"/>
      <c r="HB1" s="791"/>
      <c r="HC1" s="791"/>
      <c r="HD1" s="791"/>
      <c r="HE1" s="791"/>
      <c r="HF1" s="791"/>
      <c r="HG1" s="791"/>
      <c r="HH1" s="791"/>
      <c r="HI1" s="791"/>
      <c r="HJ1" s="791"/>
      <c r="HK1" s="791"/>
      <c r="HL1" s="791"/>
      <c r="HM1" s="791"/>
      <c r="HN1" s="791"/>
      <c r="HO1" s="791"/>
      <c r="HP1" s="791"/>
      <c r="HQ1" s="791"/>
      <c r="HR1" s="791"/>
      <c r="HS1" s="791"/>
      <c r="HT1" s="791"/>
      <c r="HU1" s="791"/>
      <c r="HV1" s="791"/>
      <c r="HW1" s="791"/>
      <c r="HX1" s="791"/>
      <c r="HY1" s="791"/>
      <c r="HZ1" s="791"/>
      <c r="IA1" s="791"/>
      <c r="IB1" s="791"/>
      <c r="IC1" s="791"/>
      <c r="ID1" s="791"/>
      <c r="IE1" s="791"/>
      <c r="IF1" s="791"/>
      <c r="IG1" s="791"/>
      <c r="IH1" s="791"/>
      <c r="II1" s="791"/>
      <c r="IJ1" s="791"/>
      <c r="IK1" s="791"/>
      <c r="IL1" s="791"/>
      <c r="IM1" s="791"/>
      <c r="IN1" s="791"/>
      <c r="IO1" s="791"/>
      <c r="IP1" s="791"/>
      <c r="IQ1" s="791"/>
      <c r="IR1" s="791"/>
      <c r="IS1" s="791"/>
      <c r="IT1" s="791"/>
      <c r="IU1" s="791"/>
      <c r="IV1" s="791"/>
      <c r="IW1" s="791"/>
      <c r="IX1" s="791"/>
      <c r="IY1" s="791"/>
      <c r="IZ1" s="791"/>
      <c r="JA1" s="791"/>
      <c r="JB1" s="791"/>
      <c r="JC1" s="791"/>
      <c r="JD1" s="791"/>
      <c r="JE1" s="791"/>
      <c r="JF1" s="791"/>
      <c r="JG1" s="791"/>
      <c r="JH1" s="791"/>
      <c r="JI1" s="791"/>
      <c r="JJ1" s="791"/>
      <c r="JK1" s="791"/>
      <c r="JL1" s="791"/>
      <c r="JM1" s="791"/>
      <c r="JN1" s="791"/>
      <c r="JO1" s="791"/>
      <c r="JP1" s="791"/>
      <c r="JQ1" s="791"/>
      <c r="JR1" s="791"/>
      <c r="JS1" s="791"/>
      <c r="JT1" s="791"/>
      <c r="JU1" s="791"/>
      <c r="MT1" s="791"/>
      <c r="MU1" s="791"/>
      <c r="MV1" s="791"/>
      <c r="MW1" s="791"/>
      <c r="MX1" s="791"/>
      <c r="MY1" s="791"/>
      <c r="MZ1" s="791"/>
      <c r="NA1" s="791"/>
      <c r="NB1" s="791"/>
      <c r="NC1" s="791"/>
      <c r="ND1" s="791"/>
      <c r="NE1" s="791"/>
      <c r="NF1" s="791"/>
      <c r="NG1" s="791"/>
      <c r="NH1" s="791"/>
      <c r="NI1" s="791"/>
      <c r="NJ1" s="791"/>
      <c r="NK1" s="791"/>
      <c r="NL1" s="791"/>
      <c r="NM1" s="791"/>
      <c r="NN1" s="791"/>
      <c r="NO1" s="791"/>
      <c r="NP1" s="791"/>
      <c r="NQ1" s="791"/>
      <c r="NR1" s="791"/>
      <c r="NS1" s="791"/>
      <c r="NT1" s="791"/>
      <c r="NU1" s="791"/>
      <c r="NV1" s="791"/>
      <c r="NW1" s="791"/>
      <c r="NX1" s="791"/>
      <c r="NY1" s="791"/>
      <c r="NZ1" s="791"/>
      <c r="OA1" s="791"/>
      <c r="OB1" s="791"/>
      <c r="OC1" s="791"/>
      <c r="OD1" s="791"/>
      <c r="OE1" s="791"/>
      <c r="OF1" s="791"/>
      <c r="OG1" s="791"/>
      <c r="PZ1" s="791"/>
      <c r="QA1" s="791"/>
      <c r="QB1" s="791"/>
      <c r="QC1" s="791"/>
      <c r="QD1" s="791"/>
      <c r="QE1" s="791"/>
      <c r="QF1" s="791"/>
      <c r="QG1" s="791"/>
      <c r="QH1" s="791"/>
      <c r="QI1" s="791"/>
      <c r="QJ1" s="791"/>
      <c r="QK1" s="791"/>
      <c r="QL1" s="791"/>
      <c r="QM1" s="791"/>
      <c r="QN1" s="791"/>
      <c r="QO1" s="791"/>
      <c r="QP1" s="791"/>
      <c r="QQ1" s="791"/>
      <c r="QR1" s="791"/>
      <c r="QS1" s="791"/>
      <c r="QT1" s="791"/>
      <c r="QU1" s="791"/>
      <c r="QV1" s="791"/>
      <c r="QW1" s="791"/>
      <c r="QX1" s="791"/>
      <c r="QY1" s="791"/>
      <c r="QZ1" s="791"/>
      <c r="RA1" s="791"/>
      <c r="RB1" s="791"/>
      <c r="RC1" s="791"/>
      <c r="RD1" s="791"/>
      <c r="RE1" s="791"/>
      <c r="RF1" s="791"/>
      <c r="RG1" s="791"/>
      <c r="RH1" s="791"/>
      <c r="RI1" s="791"/>
      <c r="RJ1" s="791"/>
      <c r="RK1" s="791"/>
      <c r="RL1" s="791"/>
      <c r="RM1" s="791"/>
      <c r="RN1" s="791"/>
      <c r="RO1" s="791"/>
      <c r="RP1" s="791"/>
      <c r="RQ1" s="791"/>
      <c r="RR1" s="791"/>
      <c r="RS1" s="791"/>
      <c r="RT1" s="791"/>
      <c r="RU1" s="791"/>
      <c r="RV1" s="791"/>
      <c r="RW1" s="791"/>
      <c r="RX1" s="791"/>
      <c r="RY1" s="791"/>
      <c r="RZ1" s="791"/>
      <c r="SA1" s="791"/>
      <c r="SB1" s="791"/>
      <c r="SC1" s="791"/>
      <c r="SD1" s="791"/>
      <c r="SE1" s="791"/>
      <c r="SF1" s="791"/>
      <c r="SG1" s="791"/>
      <c r="SH1" s="791"/>
      <c r="SI1" s="791"/>
      <c r="SJ1" s="791"/>
      <c r="SK1" s="791"/>
      <c r="SL1" s="791"/>
      <c r="SM1" s="791"/>
      <c r="SN1" s="791"/>
      <c r="SO1" s="791"/>
      <c r="SP1" s="791"/>
      <c r="SQ1" s="791"/>
      <c r="SR1" s="791"/>
      <c r="SS1" s="791"/>
      <c r="ST1" s="791"/>
      <c r="SU1" s="791"/>
      <c r="SV1" s="791"/>
      <c r="SW1" s="791"/>
      <c r="SX1" s="791"/>
      <c r="SY1" s="791"/>
      <c r="SZ1" s="791"/>
      <c r="TA1" s="791"/>
      <c r="TB1" s="791"/>
      <c r="TC1" s="791"/>
      <c r="TD1" s="791"/>
      <c r="TE1" s="791"/>
      <c r="TF1" s="791"/>
      <c r="TG1" s="791"/>
      <c r="TH1" s="791"/>
      <c r="TI1" s="791"/>
      <c r="TJ1" s="791"/>
      <c r="TK1" s="791"/>
      <c r="TL1" s="791"/>
      <c r="TM1" s="791"/>
      <c r="TN1" s="791"/>
      <c r="TO1" s="791"/>
      <c r="TP1" s="791"/>
      <c r="TQ1" s="791"/>
      <c r="TR1" s="791"/>
      <c r="TS1" s="791"/>
      <c r="TT1" s="791"/>
      <c r="TU1" s="791"/>
      <c r="TV1" s="791"/>
      <c r="TW1" s="791"/>
      <c r="TX1" s="791"/>
      <c r="TY1" s="791"/>
      <c r="TZ1" s="791"/>
      <c r="UA1" s="791"/>
      <c r="UB1" s="791"/>
      <c r="UC1" s="791"/>
      <c r="UD1" s="791"/>
      <c r="UE1" s="791"/>
      <c r="UF1" s="791"/>
      <c r="UG1" s="791"/>
      <c r="UH1" s="791"/>
      <c r="UI1" s="791"/>
      <c r="UJ1" s="791"/>
      <c r="UK1" s="791"/>
      <c r="UL1" s="791"/>
      <c r="UM1" s="791"/>
      <c r="UN1" s="791"/>
      <c r="UO1" s="791"/>
      <c r="UP1" s="791"/>
      <c r="UQ1" s="791"/>
      <c r="UR1" s="791"/>
      <c r="US1" s="791"/>
      <c r="UT1" s="791"/>
      <c r="UU1" s="791"/>
      <c r="UV1" s="791"/>
      <c r="UW1" s="791"/>
      <c r="UX1" s="791"/>
      <c r="UY1" s="791"/>
      <c r="UZ1" s="791"/>
      <c r="VA1" s="791"/>
      <c r="VB1" s="791"/>
      <c r="VC1" s="791"/>
      <c r="VD1" s="791"/>
      <c r="VE1" s="791"/>
      <c r="VF1" s="791"/>
      <c r="VG1" s="791"/>
      <c r="VH1" s="791"/>
      <c r="VI1" s="791"/>
      <c r="VJ1" s="791"/>
      <c r="VK1" s="791"/>
      <c r="VL1" s="791"/>
      <c r="VM1" s="791"/>
      <c r="VN1" s="791"/>
      <c r="VO1" s="791"/>
      <c r="VP1" s="791"/>
      <c r="VQ1" s="791"/>
      <c r="VR1" s="791"/>
      <c r="VS1" s="791"/>
      <c r="VT1" s="791"/>
      <c r="VU1" s="791"/>
      <c r="VV1" s="791"/>
      <c r="VW1" s="791"/>
      <c r="VX1" s="791"/>
      <c r="VY1" s="791"/>
      <c r="VZ1" s="791"/>
      <c r="WA1" s="791"/>
      <c r="WB1" s="791"/>
      <c r="WC1" s="791"/>
      <c r="WD1" s="791"/>
      <c r="WE1" s="791"/>
      <c r="WF1" s="791"/>
      <c r="WG1" s="791"/>
      <c r="WH1" s="791"/>
      <c r="WI1" s="791"/>
      <c r="WJ1" s="791"/>
      <c r="WK1" s="791"/>
      <c r="WL1" s="791"/>
      <c r="WM1" s="791"/>
      <c r="WN1" s="791"/>
      <c r="WO1" s="791"/>
      <c r="WP1" s="791"/>
      <c r="WQ1" s="791"/>
      <c r="WR1" s="791"/>
      <c r="WS1" s="791"/>
      <c r="WT1" s="791"/>
      <c r="WU1" s="791"/>
      <c r="WV1" s="791"/>
      <c r="WW1" s="791"/>
      <c r="WX1" s="791"/>
      <c r="WY1" s="791"/>
      <c r="WZ1" s="791"/>
      <c r="XA1" s="791"/>
      <c r="XB1" s="791"/>
      <c r="XC1" s="791"/>
      <c r="XD1" s="791"/>
      <c r="XE1" s="791"/>
      <c r="XF1" s="791"/>
      <c r="XG1" s="791"/>
      <c r="XH1" s="791"/>
      <c r="XI1" s="791"/>
      <c r="XJ1" s="791"/>
      <c r="XK1" s="791"/>
      <c r="XL1" s="791"/>
      <c r="XM1" s="791"/>
      <c r="XN1" s="791"/>
      <c r="XO1" s="791"/>
      <c r="XP1" s="791"/>
      <c r="XQ1" s="791"/>
      <c r="XR1" s="791"/>
      <c r="XS1" s="791"/>
      <c r="XT1" s="791"/>
      <c r="XU1" s="791"/>
      <c r="XV1" s="791"/>
      <c r="XW1" s="791"/>
      <c r="XX1" s="791"/>
      <c r="XY1" s="791"/>
      <c r="XZ1" s="791"/>
      <c r="YA1" s="791"/>
      <c r="YB1" s="791"/>
      <c r="YC1" s="791"/>
      <c r="YD1" s="791"/>
      <c r="YE1" s="791"/>
      <c r="YF1" s="791"/>
      <c r="YG1" s="791"/>
      <c r="YH1" s="791"/>
      <c r="YI1" s="791"/>
      <c r="YJ1" s="791"/>
      <c r="YK1" s="791"/>
      <c r="YL1" s="791"/>
      <c r="YM1" s="791"/>
      <c r="YN1" s="791"/>
      <c r="YO1" s="791"/>
      <c r="YP1" s="791"/>
      <c r="YQ1" s="791"/>
      <c r="YR1" s="791"/>
      <c r="YS1" s="791"/>
      <c r="YT1" s="791"/>
      <c r="YU1" s="791"/>
      <c r="YV1" s="791"/>
      <c r="YW1" s="791"/>
      <c r="YX1" s="791"/>
      <c r="YY1" s="791"/>
      <c r="YZ1" s="791"/>
      <c r="ZA1" s="791"/>
      <c r="ZB1" s="791"/>
      <c r="ZC1" s="791"/>
      <c r="ZD1" s="791"/>
      <c r="ZE1" s="791"/>
      <c r="ZF1" s="791"/>
      <c r="ZG1" s="791"/>
      <c r="ZH1" s="791"/>
      <c r="ZI1" s="791"/>
      <c r="ZJ1" s="791"/>
      <c r="ZK1" s="791"/>
      <c r="ZL1" s="791"/>
      <c r="ZM1" s="791"/>
      <c r="ZN1" s="791"/>
      <c r="ZO1" s="791"/>
      <c r="ZP1" s="791"/>
      <c r="ZQ1" s="791"/>
      <c r="ZR1" s="791"/>
      <c r="ZS1" s="791"/>
      <c r="ZT1" s="791"/>
      <c r="ZU1" s="791"/>
      <c r="ZV1" s="791"/>
      <c r="ZW1" s="791"/>
      <c r="ZX1" s="791"/>
      <c r="ZY1" s="791"/>
      <c r="ZZ1" s="791"/>
      <c r="AAA1" s="791"/>
      <c r="AAB1" s="791"/>
      <c r="AAC1" s="791"/>
      <c r="AAD1" s="791"/>
      <c r="AAE1" s="791"/>
      <c r="AAF1" s="791"/>
      <c r="AAG1" s="791"/>
      <c r="AAH1" s="791"/>
      <c r="AAI1" s="791"/>
      <c r="AAJ1" s="791"/>
      <c r="AAK1" s="791"/>
      <c r="AAL1" s="791"/>
      <c r="AAM1" s="791"/>
      <c r="AAN1" s="791"/>
      <c r="AAO1" s="791"/>
      <c r="AAP1" s="791"/>
      <c r="AAQ1" s="791"/>
      <c r="AAR1" s="791"/>
      <c r="AAS1" s="791"/>
      <c r="AAT1" s="791"/>
      <c r="AAU1" s="791"/>
    </row>
    <row r="2" spans="1:723" ht="16.5" x14ac:dyDescent="0.25">
      <c r="A2" s="791"/>
      <c r="B2" s="791"/>
      <c r="C2" s="791"/>
      <c r="D2" s="791"/>
      <c r="E2" s="1558" t="s">
        <v>900</v>
      </c>
      <c r="F2" s="1558"/>
      <c r="G2" s="1558"/>
      <c r="H2" s="1558"/>
      <c r="I2" s="1558"/>
      <c r="J2" s="1558"/>
      <c r="K2" s="791"/>
      <c r="L2" s="791"/>
      <c r="M2" s="791"/>
      <c r="N2" s="791"/>
      <c r="O2" s="791"/>
      <c r="P2" s="791"/>
      <c r="Q2" s="791"/>
      <c r="R2" s="791"/>
      <c r="S2" s="791"/>
      <c r="T2" s="791"/>
      <c r="U2" s="791"/>
      <c r="V2" s="791"/>
      <c r="W2" s="791"/>
      <c r="X2" s="791"/>
      <c r="Y2" s="791"/>
      <c r="Z2" s="791"/>
      <c r="AA2" s="791"/>
      <c r="AB2" s="791"/>
      <c r="AC2" s="791"/>
      <c r="AD2" s="791"/>
      <c r="AE2" s="791"/>
      <c r="AF2" s="791"/>
      <c r="AG2" s="791"/>
      <c r="AH2" s="791"/>
      <c r="AI2" s="791"/>
      <c r="AJ2" s="791"/>
      <c r="AK2" s="791"/>
      <c r="AL2" s="791"/>
      <c r="AM2" s="791"/>
      <c r="AN2" s="791"/>
      <c r="AO2" s="791"/>
      <c r="AP2" s="791"/>
      <c r="AQ2" s="791"/>
      <c r="AR2" s="791"/>
      <c r="AS2" s="791"/>
      <c r="AT2" s="791"/>
      <c r="AU2" s="791"/>
      <c r="AV2" s="791"/>
      <c r="AW2" s="791"/>
      <c r="AX2" s="791"/>
      <c r="AY2" s="791"/>
      <c r="AZ2" s="791"/>
      <c r="BA2" s="791"/>
      <c r="BB2" s="791"/>
      <c r="BC2" s="791"/>
      <c r="BD2" s="791"/>
      <c r="BE2" s="791"/>
      <c r="BF2" s="791"/>
      <c r="BG2" s="791"/>
      <c r="BH2" s="791"/>
      <c r="BI2" s="791"/>
      <c r="BJ2" s="791"/>
      <c r="BK2" s="791"/>
      <c r="BL2" s="791"/>
      <c r="BM2" s="791"/>
      <c r="BN2" s="791"/>
      <c r="BO2" s="791"/>
      <c r="BP2" s="791"/>
      <c r="BQ2" s="791"/>
      <c r="BR2" s="791"/>
      <c r="BS2" s="791"/>
      <c r="BT2" s="791"/>
      <c r="BU2" s="791"/>
      <c r="BV2" s="791"/>
      <c r="BW2" s="791"/>
      <c r="BX2" s="791"/>
      <c r="BY2" s="791"/>
      <c r="BZ2" s="791"/>
      <c r="CA2" s="791"/>
      <c r="CB2" s="791"/>
      <c r="CC2" s="791"/>
      <c r="CD2" s="791"/>
      <c r="CE2" s="791"/>
      <c r="CF2" s="791"/>
      <c r="CG2" s="791"/>
      <c r="CH2" s="791"/>
      <c r="CI2" s="791"/>
      <c r="CJ2" s="791"/>
      <c r="CK2" s="791"/>
      <c r="CL2" s="791"/>
      <c r="CM2" s="791"/>
      <c r="CN2" s="791"/>
      <c r="CO2" s="791"/>
      <c r="CP2" s="791"/>
      <c r="CQ2" s="791"/>
      <c r="CR2" s="791"/>
      <c r="CS2" s="791"/>
      <c r="CT2" s="791"/>
      <c r="CU2" s="791"/>
      <c r="CV2" s="791"/>
      <c r="CW2" s="791"/>
      <c r="CX2" s="791"/>
      <c r="CY2" s="791"/>
      <c r="CZ2" s="791"/>
      <c r="DA2" s="791"/>
      <c r="DB2" s="791"/>
      <c r="DC2" s="791"/>
      <c r="DD2" s="791"/>
      <c r="DE2" s="791"/>
      <c r="DF2" s="791"/>
      <c r="DG2" s="791"/>
      <c r="DH2" s="791"/>
      <c r="DI2" s="791"/>
      <c r="DJ2" s="791"/>
      <c r="DK2" s="791"/>
      <c r="DL2" s="791"/>
      <c r="DM2" s="791"/>
      <c r="DN2" s="791"/>
      <c r="DO2" s="791"/>
      <c r="DP2" s="791"/>
      <c r="DQ2" s="791"/>
      <c r="DR2" s="791"/>
      <c r="DS2" s="791"/>
      <c r="DT2" s="791"/>
      <c r="DU2" s="791"/>
      <c r="DV2" s="791"/>
      <c r="DW2" s="791"/>
      <c r="DX2" s="791"/>
      <c r="DY2" s="791"/>
      <c r="DZ2" s="791"/>
      <c r="EA2" s="791"/>
      <c r="EB2" s="791"/>
      <c r="EC2" s="791"/>
      <c r="ED2" s="791"/>
      <c r="EE2" s="791"/>
      <c r="EF2" s="791"/>
      <c r="EG2" s="791"/>
      <c r="EH2" s="791"/>
      <c r="EI2" s="791"/>
      <c r="EJ2" s="791"/>
      <c r="EK2" s="791"/>
      <c r="EL2" s="791"/>
      <c r="EM2" s="791"/>
      <c r="EN2" s="791"/>
      <c r="EO2" s="791"/>
      <c r="EP2" s="791"/>
      <c r="EQ2" s="791"/>
      <c r="ER2" s="791"/>
      <c r="ES2" s="791"/>
      <c r="ET2" s="791"/>
      <c r="EU2" s="791"/>
      <c r="EV2" s="791"/>
      <c r="EW2" s="791"/>
      <c r="EX2" s="791"/>
      <c r="EY2" s="791"/>
      <c r="EZ2" s="791"/>
      <c r="FA2" s="791"/>
      <c r="FB2" s="791"/>
      <c r="FC2" s="791"/>
      <c r="FD2" s="791"/>
      <c r="FE2" s="791"/>
      <c r="FF2" s="791"/>
      <c r="FG2" s="791"/>
      <c r="FH2" s="791"/>
      <c r="FI2" s="791"/>
      <c r="FJ2" s="791"/>
      <c r="FK2" s="791"/>
      <c r="FL2" s="791"/>
      <c r="FM2" s="791"/>
      <c r="FN2" s="791"/>
      <c r="FO2" s="791"/>
      <c r="FP2" s="791"/>
      <c r="FQ2" s="791"/>
      <c r="FR2" s="791"/>
      <c r="FS2" s="791"/>
      <c r="FT2" s="791"/>
      <c r="FU2" s="791"/>
      <c r="FV2" s="791"/>
      <c r="FW2" s="791"/>
      <c r="FX2" s="791"/>
      <c r="FY2" s="791"/>
      <c r="FZ2" s="791"/>
      <c r="GA2" s="791"/>
      <c r="GB2" s="791"/>
      <c r="GC2" s="791"/>
      <c r="GD2" s="791"/>
      <c r="GE2" s="791"/>
      <c r="GF2" s="791"/>
      <c r="GG2" s="791"/>
      <c r="GH2" s="791"/>
      <c r="GI2" s="791"/>
      <c r="GJ2" s="791"/>
      <c r="GK2" s="791"/>
      <c r="GL2" s="791"/>
      <c r="GM2" s="791"/>
      <c r="GN2" s="791"/>
      <c r="GO2" s="791"/>
      <c r="GP2" s="791"/>
      <c r="GQ2" s="791"/>
      <c r="GR2" s="791"/>
      <c r="GS2" s="791"/>
      <c r="GT2" s="791"/>
      <c r="GU2" s="791"/>
      <c r="GV2" s="791"/>
      <c r="GW2" s="791"/>
      <c r="GX2" s="791"/>
      <c r="GY2" s="791"/>
      <c r="GZ2" s="791"/>
      <c r="HA2" s="791"/>
      <c r="HB2" s="791"/>
      <c r="HC2" s="791"/>
      <c r="HD2" s="791"/>
      <c r="HE2" s="791"/>
      <c r="HF2" s="791"/>
      <c r="HG2" s="791"/>
      <c r="HH2" s="791"/>
      <c r="HI2" s="791"/>
      <c r="HJ2" s="791"/>
      <c r="HK2" s="791"/>
      <c r="HL2" s="791"/>
      <c r="HM2" s="791"/>
      <c r="HN2" s="791"/>
      <c r="HO2" s="791"/>
      <c r="HP2" s="791"/>
      <c r="HQ2" s="791"/>
      <c r="HR2" s="791"/>
      <c r="HS2" s="791"/>
      <c r="HT2" s="791"/>
      <c r="HU2" s="791"/>
      <c r="HV2" s="791"/>
      <c r="HW2" s="791"/>
      <c r="HX2" s="791"/>
      <c r="HY2" s="791"/>
      <c r="HZ2" s="791"/>
      <c r="IA2" s="791"/>
      <c r="IB2" s="791"/>
      <c r="IC2" s="791"/>
      <c r="ID2" s="791"/>
      <c r="IE2" s="791"/>
      <c r="IF2" s="791"/>
      <c r="IG2" s="791"/>
      <c r="IH2" s="791"/>
      <c r="II2" s="791"/>
      <c r="IJ2" s="791"/>
      <c r="IK2" s="791"/>
      <c r="IL2" s="791"/>
      <c r="IM2" s="791"/>
      <c r="IN2" s="791"/>
      <c r="IO2" s="791"/>
      <c r="IP2" s="791"/>
      <c r="IQ2" s="791"/>
      <c r="IR2" s="791"/>
      <c r="IS2" s="791"/>
      <c r="IT2" s="791"/>
      <c r="IU2" s="791"/>
      <c r="IV2" s="791"/>
      <c r="IW2" s="791"/>
      <c r="IX2" s="791"/>
      <c r="IY2" s="791"/>
      <c r="IZ2" s="791"/>
      <c r="JA2" s="791"/>
      <c r="JB2" s="791"/>
      <c r="JC2" s="791"/>
      <c r="JD2" s="791"/>
      <c r="JE2" s="791"/>
      <c r="JF2" s="791"/>
      <c r="JG2" s="791"/>
      <c r="JH2" s="791"/>
      <c r="JI2" s="791"/>
      <c r="JJ2" s="791"/>
      <c r="JK2" s="791"/>
      <c r="JL2" s="791"/>
      <c r="JM2" s="791"/>
      <c r="JN2" s="791"/>
      <c r="JO2" s="791"/>
      <c r="JP2" s="791"/>
      <c r="JQ2" s="791"/>
      <c r="JR2" s="791"/>
      <c r="JS2" s="791"/>
      <c r="JT2" s="791"/>
      <c r="JU2" s="791"/>
      <c r="MT2" s="791"/>
      <c r="MU2" s="791"/>
      <c r="MV2" s="791"/>
      <c r="MW2" s="791"/>
      <c r="MX2" s="791"/>
      <c r="MY2" s="791"/>
      <c r="MZ2" s="791"/>
      <c r="NA2" s="791"/>
      <c r="NB2" s="791"/>
      <c r="NC2" s="791"/>
      <c r="ND2" s="791"/>
      <c r="NE2" s="791"/>
      <c r="NF2" s="791"/>
      <c r="NG2" s="791"/>
      <c r="NH2" s="791"/>
      <c r="NI2" s="791"/>
      <c r="NJ2" s="791"/>
      <c r="NK2" s="791"/>
      <c r="NL2" s="791"/>
      <c r="NM2" s="791"/>
      <c r="NN2" s="791"/>
      <c r="NO2" s="791"/>
      <c r="NP2" s="791"/>
      <c r="NQ2" s="791"/>
      <c r="NR2" s="791"/>
      <c r="NS2" s="791"/>
      <c r="NT2" s="791"/>
      <c r="NU2" s="791"/>
      <c r="NV2" s="791"/>
      <c r="NW2" s="791"/>
      <c r="NX2" s="791"/>
      <c r="NY2" s="791"/>
      <c r="NZ2" s="791"/>
      <c r="OA2" s="791"/>
      <c r="OB2" s="791"/>
      <c r="OC2" s="791"/>
      <c r="OD2" s="791"/>
      <c r="OE2" s="791"/>
      <c r="OF2" s="791"/>
      <c r="OG2" s="791"/>
      <c r="OO2" s="791"/>
      <c r="OP2" s="791"/>
      <c r="PZ2" s="791"/>
      <c r="QA2" s="791"/>
      <c r="QB2" s="791"/>
      <c r="QC2" s="791"/>
      <c r="QD2" s="791"/>
      <c r="QE2" s="791"/>
      <c r="QF2" s="791"/>
      <c r="QG2" s="791"/>
      <c r="QH2" s="791"/>
      <c r="QI2" s="791"/>
      <c r="QJ2" s="791"/>
      <c r="QK2" s="791"/>
      <c r="QL2" s="791"/>
      <c r="QM2" s="791"/>
      <c r="QN2" s="791"/>
      <c r="QO2" s="791"/>
      <c r="QP2" s="791"/>
      <c r="QQ2" s="791"/>
      <c r="QR2" s="791"/>
      <c r="QS2" s="791"/>
      <c r="QT2" s="791"/>
      <c r="QU2" s="791"/>
      <c r="QV2" s="791"/>
      <c r="QW2" s="791"/>
      <c r="QX2" s="791"/>
      <c r="QY2" s="791"/>
      <c r="QZ2" s="791"/>
      <c r="RA2" s="791"/>
      <c r="RB2" s="791"/>
      <c r="RC2" s="791"/>
      <c r="RD2" s="791"/>
      <c r="RE2" s="791"/>
      <c r="RF2" s="791"/>
      <c r="RG2" s="791"/>
      <c r="RH2" s="791"/>
      <c r="RI2" s="791"/>
      <c r="RJ2" s="791"/>
      <c r="RK2" s="791"/>
      <c r="RL2" s="791"/>
      <c r="RM2" s="791"/>
      <c r="RN2" s="791"/>
      <c r="RO2" s="791"/>
      <c r="RP2" s="791"/>
      <c r="RQ2" s="791"/>
      <c r="RR2" s="791"/>
      <c r="RS2" s="791"/>
      <c r="RT2" s="791"/>
      <c r="RU2" s="791"/>
      <c r="RV2" s="791"/>
      <c r="RW2" s="791"/>
      <c r="RX2" s="791"/>
      <c r="RY2" s="791"/>
      <c r="RZ2" s="791"/>
      <c r="SA2" s="791"/>
      <c r="SB2" s="791"/>
      <c r="SC2" s="791"/>
      <c r="SD2" s="791"/>
      <c r="SE2" s="791"/>
      <c r="SF2" s="791"/>
      <c r="SG2" s="791"/>
      <c r="SH2" s="791"/>
      <c r="SI2" s="791"/>
      <c r="SJ2" s="791"/>
      <c r="SK2" s="791"/>
      <c r="SL2" s="791"/>
      <c r="SM2" s="791"/>
      <c r="SN2" s="791"/>
      <c r="SO2" s="791"/>
      <c r="SP2" s="791"/>
      <c r="SQ2" s="791"/>
      <c r="SR2" s="791"/>
      <c r="SS2" s="791"/>
      <c r="ST2" s="791"/>
      <c r="SU2" s="791"/>
      <c r="SV2" s="791"/>
      <c r="SW2" s="791"/>
      <c r="SX2" s="791"/>
      <c r="SY2" s="791"/>
      <c r="SZ2" s="791"/>
      <c r="TA2" s="791"/>
      <c r="TB2" s="791"/>
      <c r="TC2" s="791"/>
      <c r="TD2" s="791"/>
      <c r="TE2" s="791"/>
      <c r="TF2" s="791"/>
      <c r="TG2" s="791"/>
      <c r="TH2" s="791"/>
      <c r="TI2" s="791"/>
      <c r="TJ2" s="791"/>
      <c r="TK2" s="791"/>
      <c r="TL2" s="791"/>
      <c r="TM2" s="791"/>
      <c r="TN2" s="791"/>
      <c r="TO2" s="791"/>
      <c r="TP2" s="791"/>
      <c r="TQ2" s="791"/>
      <c r="TR2" s="791"/>
      <c r="TS2" s="791"/>
      <c r="TT2" s="791"/>
      <c r="TU2" s="791"/>
      <c r="TV2" s="791"/>
      <c r="TW2" s="791"/>
      <c r="TX2" s="791"/>
      <c r="TY2" s="791"/>
      <c r="TZ2" s="791"/>
      <c r="UA2" s="791"/>
      <c r="UB2" s="791"/>
      <c r="UC2" s="791"/>
      <c r="UD2" s="791"/>
      <c r="UE2" s="791"/>
      <c r="UF2" s="791"/>
      <c r="UG2" s="791"/>
      <c r="UH2" s="791"/>
      <c r="UI2" s="791"/>
      <c r="UJ2" s="791"/>
      <c r="UK2" s="791"/>
      <c r="UL2" s="791"/>
      <c r="UM2" s="791"/>
      <c r="UN2" s="791"/>
      <c r="UO2" s="791"/>
      <c r="UP2" s="791"/>
      <c r="UQ2" s="791"/>
      <c r="UR2" s="791"/>
      <c r="US2" s="791"/>
      <c r="UT2" s="791"/>
      <c r="UU2" s="791"/>
      <c r="UV2" s="791"/>
      <c r="UW2" s="791"/>
      <c r="UX2" s="791"/>
      <c r="UY2" s="791"/>
      <c r="UZ2" s="791"/>
      <c r="VA2" s="791"/>
      <c r="VB2" s="791"/>
      <c r="VC2" s="791"/>
      <c r="VD2" s="791"/>
      <c r="VE2" s="791"/>
      <c r="VF2" s="791"/>
      <c r="VG2" s="791"/>
      <c r="VH2" s="791"/>
      <c r="VI2" s="791"/>
      <c r="VJ2" s="791"/>
      <c r="VK2" s="791"/>
      <c r="VL2" s="791"/>
      <c r="VM2" s="791"/>
      <c r="VN2" s="791"/>
      <c r="VO2" s="791"/>
      <c r="VP2" s="791"/>
      <c r="VQ2" s="791"/>
      <c r="VR2" s="791"/>
      <c r="VS2" s="791"/>
      <c r="VT2" s="791"/>
      <c r="VU2" s="791"/>
      <c r="VV2" s="791"/>
      <c r="VW2" s="791"/>
      <c r="VX2" s="791"/>
      <c r="VY2" s="791"/>
      <c r="VZ2" s="791"/>
      <c r="WA2" s="791"/>
      <c r="WB2" s="791"/>
      <c r="WC2" s="791"/>
      <c r="WD2" s="791"/>
      <c r="WE2" s="791"/>
      <c r="WF2" s="791"/>
      <c r="WG2" s="791"/>
      <c r="WH2" s="791"/>
      <c r="WI2" s="791"/>
      <c r="WJ2" s="791"/>
      <c r="WK2" s="791"/>
      <c r="WL2" s="791"/>
      <c r="WM2" s="791"/>
      <c r="WN2" s="791"/>
      <c r="WO2" s="791"/>
      <c r="WP2" s="791"/>
      <c r="WQ2" s="791"/>
      <c r="WR2" s="791"/>
      <c r="WS2" s="791"/>
      <c r="WT2" s="791"/>
      <c r="WU2" s="791"/>
      <c r="WV2" s="791"/>
      <c r="WW2" s="791"/>
      <c r="WX2" s="791"/>
      <c r="WY2" s="791"/>
      <c r="WZ2" s="791"/>
      <c r="XA2" s="791"/>
      <c r="XB2" s="791"/>
      <c r="XC2" s="791"/>
      <c r="XD2" s="791"/>
      <c r="XE2" s="791"/>
      <c r="XF2" s="791"/>
      <c r="XG2" s="791"/>
      <c r="XH2" s="791"/>
      <c r="XI2" s="791"/>
      <c r="XJ2" s="791"/>
      <c r="XK2" s="791"/>
      <c r="XL2" s="791"/>
      <c r="XM2" s="791"/>
      <c r="XN2" s="791"/>
      <c r="XO2" s="791"/>
      <c r="XP2" s="791"/>
      <c r="XQ2" s="791"/>
      <c r="XR2" s="791"/>
      <c r="XS2" s="791"/>
      <c r="XT2" s="791"/>
      <c r="XU2" s="791"/>
      <c r="XV2" s="791"/>
      <c r="XW2" s="791"/>
      <c r="XX2" s="791"/>
      <c r="XY2" s="791"/>
      <c r="XZ2" s="791"/>
      <c r="YA2" s="791"/>
      <c r="YB2" s="791"/>
      <c r="YC2" s="791"/>
      <c r="YD2" s="791"/>
      <c r="YE2" s="791"/>
      <c r="YF2" s="791"/>
      <c r="YG2" s="791"/>
      <c r="YH2" s="791"/>
      <c r="YI2" s="791"/>
      <c r="YJ2" s="791"/>
      <c r="YK2" s="791"/>
      <c r="YL2" s="791"/>
      <c r="YM2" s="791"/>
      <c r="YN2" s="791"/>
      <c r="YO2" s="791"/>
      <c r="YP2" s="791"/>
      <c r="YQ2" s="791"/>
      <c r="YR2" s="791"/>
      <c r="YS2" s="791"/>
      <c r="YT2" s="791"/>
      <c r="YU2" s="791"/>
      <c r="YV2" s="791"/>
      <c r="YW2" s="791"/>
      <c r="YX2" s="791"/>
      <c r="YY2" s="791"/>
      <c r="YZ2" s="791"/>
      <c r="ZA2" s="791"/>
      <c r="ZB2" s="791"/>
      <c r="ZC2" s="791"/>
      <c r="ZD2" s="791"/>
      <c r="ZE2" s="791"/>
      <c r="ZF2" s="791"/>
      <c r="ZG2" s="791"/>
      <c r="ZH2" s="791"/>
      <c r="ZI2" s="791"/>
      <c r="ZJ2" s="791"/>
      <c r="ZK2" s="791"/>
      <c r="ZL2" s="791"/>
      <c r="ZM2" s="791"/>
      <c r="ZN2" s="791"/>
      <c r="ZO2" s="791"/>
      <c r="ZP2" s="791"/>
      <c r="ZQ2" s="791"/>
      <c r="ZR2" s="791"/>
      <c r="ZS2" s="791"/>
      <c r="ZT2" s="791"/>
      <c r="ZU2" s="791"/>
      <c r="ZV2" s="791"/>
      <c r="ZW2" s="791"/>
      <c r="ZX2" s="791"/>
      <c r="ZY2" s="791"/>
      <c r="ZZ2" s="791"/>
      <c r="AAA2" s="791"/>
      <c r="AAB2" s="791"/>
      <c r="AAC2" s="791"/>
      <c r="AAD2" s="791"/>
      <c r="AAE2" s="791"/>
      <c r="AAF2" s="791"/>
      <c r="AAG2" s="791"/>
      <c r="AAH2" s="791"/>
      <c r="AAI2" s="791"/>
      <c r="AAJ2" s="791"/>
      <c r="AAK2" s="791"/>
      <c r="AAL2" s="791"/>
      <c r="AAM2" s="791"/>
      <c r="AAN2" s="791"/>
      <c r="AAO2" s="791"/>
      <c r="AAP2" s="791"/>
      <c r="AAQ2" s="791"/>
      <c r="AAR2" s="791"/>
      <c r="AAS2" s="791"/>
      <c r="AAT2" s="791"/>
      <c r="AAU2" s="791"/>
    </row>
    <row r="3" spans="1:723" ht="16.5" x14ac:dyDescent="0.25">
      <c r="A3" s="791"/>
      <c r="B3" s="791"/>
      <c r="C3" s="791"/>
      <c r="D3" s="791"/>
      <c r="E3" s="1558" t="str">
        <f>'[1]Факт  средств  из  ОБ_год '!$D$4</f>
        <v>ПО  СОСТОЯНИЮ  НА  1  ОКТЯБРЯ  2024  ГОДА</v>
      </c>
      <c r="F3" s="1558"/>
      <c r="G3" s="1558"/>
      <c r="H3" s="1558"/>
      <c r="I3" s="1558"/>
      <c r="J3" s="1558"/>
      <c r="K3" s="791"/>
      <c r="L3" s="791"/>
      <c r="M3" s="791"/>
      <c r="N3" s="791"/>
      <c r="O3" s="791"/>
      <c r="P3" s="791"/>
      <c r="Q3" s="791"/>
      <c r="R3" s="791"/>
      <c r="S3" s="791"/>
      <c r="T3" s="791"/>
      <c r="U3" s="791"/>
      <c r="V3" s="791"/>
      <c r="W3" s="791"/>
      <c r="X3" s="791"/>
      <c r="Y3" s="791"/>
      <c r="Z3" s="791"/>
      <c r="AA3" s="791"/>
      <c r="AB3" s="791"/>
      <c r="AC3" s="791"/>
      <c r="AD3" s="791"/>
      <c r="AE3" s="791"/>
      <c r="AF3" s="791"/>
      <c r="AG3" s="791"/>
      <c r="AH3" s="791"/>
      <c r="AI3" s="791"/>
      <c r="AJ3" s="791"/>
      <c r="AK3" s="791"/>
      <c r="AL3" s="791"/>
      <c r="AM3" s="791"/>
      <c r="AN3" s="791"/>
      <c r="AO3" s="791"/>
      <c r="AP3" s="791"/>
      <c r="AQ3" s="791"/>
      <c r="AR3" s="791"/>
      <c r="AS3" s="791"/>
      <c r="AT3" s="791"/>
      <c r="AU3" s="791"/>
      <c r="AV3" s="791"/>
      <c r="AW3" s="791"/>
      <c r="AX3" s="791"/>
      <c r="AY3" s="791"/>
      <c r="AZ3" s="791"/>
      <c r="BA3" s="791"/>
      <c r="BB3" s="791"/>
      <c r="BC3" s="791"/>
      <c r="BD3" s="791"/>
      <c r="BE3" s="791"/>
      <c r="BF3" s="791"/>
      <c r="BG3" s="791"/>
      <c r="BH3" s="791"/>
      <c r="BI3" s="791"/>
      <c r="BJ3" s="791"/>
      <c r="BK3" s="791"/>
      <c r="BL3" s="791"/>
      <c r="BM3" s="791"/>
      <c r="BN3" s="791"/>
      <c r="BO3" s="791"/>
      <c r="BP3" s="791"/>
      <c r="BQ3" s="791"/>
      <c r="BR3" s="791"/>
      <c r="BS3" s="791"/>
      <c r="BT3" s="791"/>
      <c r="BU3" s="791"/>
      <c r="BV3" s="791"/>
      <c r="BW3" s="791"/>
      <c r="BX3" s="791"/>
      <c r="BY3" s="791"/>
      <c r="BZ3" s="791"/>
      <c r="CA3" s="791"/>
      <c r="CB3" s="791"/>
      <c r="CC3" s="791"/>
      <c r="CD3" s="791"/>
      <c r="CE3" s="791"/>
      <c r="CF3" s="791"/>
      <c r="CG3" s="791"/>
      <c r="CH3" s="791"/>
      <c r="CI3" s="791"/>
      <c r="CJ3" s="791"/>
      <c r="CK3" s="791"/>
      <c r="CL3" s="791"/>
      <c r="CM3" s="791"/>
      <c r="CN3" s="791"/>
      <c r="CO3" s="791"/>
      <c r="CP3" s="791"/>
      <c r="CQ3" s="791"/>
      <c r="CR3" s="791"/>
      <c r="CS3" s="791"/>
      <c r="CT3" s="791"/>
      <c r="CU3" s="791"/>
      <c r="CV3" s="791"/>
      <c r="CW3" s="791"/>
      <c r="CX3" s="791"/>
      <c r="CY3" s="791"/>
      <c r="CZ3" s="791"/>
      <c r="DA3" s="791"/>
      <c r="DB3" s="791"/>
      <c r="DC3" s="791"/>
      <c r="DD3" s="791"/>
      <c r="DE3" s="791"/>
      <c r="DF3" s="791"/>
      <c r="DG3" s="791"/>
      <c r="DH3" s="791"/>
      <c r="DI3" s="791"/>
      <c r="DJ3" s="791"/>
      <c r="DK3" s="791"/>
      <c r="DL3" s="791"/>
      <c r="DM3" s="791"/>
      <c r="DN3" s="791"/>
      <c r="DO3" s="791"/>
      <c r="DP3" s="791"/>
      <c r="DQ3" s="791"/>
      <c r="DR3" s="791"/>
      <c r="DS3" s="791"/>
      <c r="DT3" s="791"/>
      <c r="DU3" s="791"/>
      <c r="DV3" s="791"/>
      <c r="DW3" s="791"/>
      <c r="DX3" s="791"/>
      <c r="DY3" s="791"/>
      <c r="DZ3" s="791"/>
      <c r="EA3" s="791"/>
      <c r="EB3" s="791"/>
      <c r="EC3" s="791"/>
      <c r="ED3" s="791"/>
      <c r="EE3" s="791"/>
      <c r="EF3" s="791"/>
      <c r="EG3" s="791"/>
      <c r="EH3" s="791"/>
      <c r="EI3" s="791"/>
      <c r="EJ3" s="791"/>
      <c r="EK3" s="791"/>
      <c r="EL3" s="791"/>
      <c r="EM3" s="791"/>
      <c r="EN3" s="791"/>
      <c r="EO3" s="791"/>
      <c r="EP3" s="791"/>
      <c r="EQ3" s="791"/>
      <c r="ER3" s="791"/>
      <c r="ES3" s="791"/>
      <c r="ET3" s="791"/>
      <c r="EU3" s="791"/>
      <c r="EV3" s="791"/>
      <c r="EW3" s="791"/>
      <c r="EX3" s="791"/>
      <c r="EY3" s="791"/>
      <c r="EZ3" s="791"/>
      <c r="FA3" s="791"/>
      <c r="FB3" s="791"/>
      <c r="FC3" s="791"/>
      <c r="FD3" s="791"/>
      <c r="FE3" s="791"/>
      <c r="FF3" s="791"/>
      <c r="FG3" s="791"/>
      <c r="FH3" s="791"/>
      <c r="FI3" s="791"/>
      <c r="FJ3" s="791"/>
      <c r="FK3" s="791"/>
      <c r="FL3" s="791"/>
      <c r="FM3" s="791"/>
      <c r="FN3" s="791"/>
      <c r="FO3" s="791"/>
      <c r="FP3" s="791"/>
      <c r="FQ3" s="791"/>
      <c r="FR3" s="791"/>
      <c r="FS3" s="791"/>
      <c r="FT3" s="791"/>
      <c r="FU3" s="791"/>
      <c r="FV3" s="791"/>
      <c r="FW3" s="791"/>
      <c r="FX3" s="791"/>
      <c r="FY3" s="791"/>
      <c r="FZ3" s="791"/>
      <c r="GA3" s="791"/>
      <c r="GB3" s="791"/>
      <c r="GC3" s="791"/>
      <c r="GD3" s="791"/>
      <c r="GE3" s="791"/>
      <c r="GF3" s="791"/>
      <c r="GG3" s="791"/>
      <c r="GH3" s="791"/>
      <c r="GI3" s="791"/>
      <c r="GJ3" s="791"/>
      <c r="GK3" s="791"/>
      <c r="GL3" s="791"/>
      <c r="GM3" s="791"/>
      <c r="GN3" s="791"/>
      <c r="GO3" s="791"/>
      <c r="GP3" s="791"/>
      <c r="GQ3" s="791"/>
      <c r="GR3" s="791"/>
      <c r="GS3" s="791"/>
      <c r="GT3" s="791"/>
      <c r="GU3" s="791"/>
      <c r="GV3" s="791"/>
      <c r="GW3" s="791"/>
      <c r="GX3" s="791"/>
      <c r="GY3" s="791"/>
      <c r="GZ3" s="791"/>
      <c r="HA3" s="791"/>
      <c r="HB3" s="791"/>
      <c r="HC3" s="791"/>
      <c r="HD3" s="791"/>
      <c r="HE3" s="791"/>
      <c r="HF3" s="791"/>
      <c r="HG3" s="791"/>
      <c r="HH3" s="791"/>
      <c r="HI3" s="791"/>
      <c r="HJ3" s="791"/>
      <c r="HK3" s="791"/>
      <c r="HL3" s="791"/>
      <c r="HM3" s="791"/>
      <c r="HN3" s="791"/>
      <c r="HO3" s="791"/>
      <c r="HP3" s="791"/>
      <c r="HQ3" s="791"/>
      <c r="HR3" s="791"/>
      <c r="HS3" s="791"/>
      <c r="HT3" s="791"/>
      <c r="HU3" s="791"/>
      <c r="HV3" s="791"/>
      <c r="HW3" s="791"/>
      <c r="HX3" s="791"/>
      <c r="HY3" s="791"/>
      <c r="HZ3" s="791"/>
      <c r="IA3" s="791"/>
      <c r="IB3" s="791"/>
      <c r="IC3" s="791"/>
      <c r="ID3" s="791"/>
      <c r="IE3" s="791"/>
      <c r="IF3" s="791"/>
      <c r="IG3" s="791"/>
      <c r="IH3" s="791"/>
      <c r="II3" s="791"/>
      <c r="IJ3" s="791"/>
      <c r="IK3" s="791"/>
      <c r="IL3" s="791"/>
      <c r="IM3" s="791"/>
      <c r="IN3" s="791"/>
      <c r="IO3" s="791"/>
      <c r="IP3" s="791"/>
      <c r="IQ3" s="791"/>
      <c r="IR3" s="791"/>
      <c r="IS3" s="791"/>
      <c r="IT3" s="791"/>
      <c r="IU3" s="791"/>
      <c r="IV3" s="791"/>
      <c r="IW3" s="791"/>
      <c r="IX3" s="791"/>
      <c r="IY3" s="791"/>
      <c r="IZ3" s="791"/>
      <c r="JA3" s="791"/>
      <c r="JB3" s="791"/>
      <c r="JC3" s="791"/>
      <c r="JD3" s="791"/>
      <c r="JE3" s="791"/>
      <c r="JF3" s="791"/>
      <c r="JG3" s="791"/>
      <c r="JH3" s="791"/>
      <c r="JI3" s="791"/>
      <c r="JJ3" s="791"/>
      <c r="JK3" s="791"/>
      <c r="JL3" s="791"/>
      <c r="JM3" s="791"/>
      <c r="JN3" s="791"/>
      <c r="JO3" s="791"/>
      <c r="JP3" s="791"/>
      <c r="JQ3" s="791"/>
      <c r="JR3" s="791"/>
      <c r="JS3" s="791"/>
      <c r="JT3" s="791"/>
      <c r="JU3" s="791"/>
      <c r="MT3" s="791"/>
      <c r="MU3" s="791"/>
      <c r="MV3" s="791"/>
      <c r="MW3" s="791"/>
      <c r="MX3" s="791"/>
      <c r="MY3" s="791"/>
      <c r="MZ3" s="791"/>
      <c r="NA3" s="791"/>
      <c r="NB3" s="791"/>
      <c r="NC3" s="791"/>
      <c r="ND3" s="791"/>
      <c r="NE3" s="791"/>
      <c r="NF3" s="791"/>
      <c r="NG3" s="791"/>
      <c r="NH3" s="791"/>
      <c r="NI3" s="791"/>
      <c r="NJ3" s="791"/>
      <c r="NK3" s="791"/>
      <c r="NL3" s="791"/>
      <c r="NM3" s="791"/>
      <c r="NN3" s="791"/>
      <c r="NO3" s="791"/>
      <c r="NP3" s="791"/>
      <c r="NQ3" s="791"/>
      <c r="NR3" s="791"/>
      <c r="NS3" s="791"/>
      <c r="NT3" s="791"/>
      <c r="NU3" s="791"/>
      <c r="NV3" s="791"/>
      <c r="NW3" s="791"/>
      <c r="NX3" s="791"/>
      <c r="NY3" s="791"/>
      <c r="NZ3" s="791"/>
      <c r="OA3" s="791"/>
      <c r="OB3" s="791"/>
      <c r="OC3" s="791"/>
      <c r="OD3" s="791"/>
      <c r="OE3" s="791"/>
      <c r="OF3" s="791"/>
      <c r="OG3" s="791"/>
      <c r="PZ3" s="791"/>
      <c r="QA3" s="791"/>
      <c r="QB3" s="791"/>
      <c r="QC3" s="791"/>
      <c r="QD3" s="791"/>
      <c r="QE3" s="791"/>
      <c r="QF3" s="791"/>
      <c r="QG3" s="791"/>
      <c r="QH3" s="791"/>
      <c r="QI3" s="791"/>
      <c r="QJ3" s="791"/>
      <c r="QK3" s="791"/>
      <c r="QL3" s="791"/>
      <c r="QM3" s="791"/>
      <c r="QN3" s="791"/>
      <c r="QO3" s="791"/>
      <c r="QP3" s="791"/>
      <c r="QQ3" s="791"/>
      <c r="QR3" s="791"/>
      <c r="QS3" s="791"/>
      <c r="QT3" s="791"/>
      <c r="QU3" s="791"/>
      <c r="QV3" s="791"/>
      <c r="QW3" s="791"/>
      <c r="QX3" s="791"/>
      <c r="QY3" s="791"/>
      <c r="QZ3" s="791"/>
      <c r="RA3" s="791"/>
      <c r="RB3" s="791"/>
      <c r="RC3" s="791"/>
      <c r="RD3" s="791"/>
      <c r="RE3" s="791"/>
      <c r="RF3" s="791"/>
      <c r="RG3" s="791"/>
      <c r="RH3" s="791"/>
      <c r="RI3" s="791"/>
      <c r="RJ3" s="791"/>
      <c r="RK3" s="791"/>
      <c r="RL3" s="791"/>
      <c r="RM3" s="791"/>
      <c r="RN3" s="791"/>
      <c r="RO3" s="791"/>
      <c r="RP3" s="791"/>
      <c r="RQ3" s="791"/>
      <c r="RR3" s="791"/>
      <c r="RS3" s="791"/>
      <c r="RT3" s="791"/>
      <c r="RU3" s="791"/>
      <c r="RV3" s="791"/>
      <c r="RW3" s="791"/>
      <c r="RX3" s="791"/>
      <c r="RY3" s="791"/>
      <c r="RZ3" s="791"/>
      <c r="SA3" s="791"/>
      <c r="SB3" s="791"/>
      <c r="SC3" s="791"/>
      <c r="SD3" s="791"/>
      <c r="SE3" s="791"/>
      <c r="SF3" s="791"/>
      <c r="SG3" s="791"/>
      <c r="SH3" s="791"/>
      <c r="SI3" s="791"/>
      <c r="SJ3" s="791"/>
      <c r="SK3" s="791"/>
      <c r="SL3" s="791"/>
      <c r="SM3" s="791"/>
      <c r="SN3" s="791"/>
      <c r="SO3" s="791"/>
      <c r="SP3" s="791"/>
      <c r="SQ3" s="791"/>
      <c r="SR3" s="791"/>
      <c r="SS3" s="791"/>
      <c r="ST3" s="791"/>
      <c r="SU3" s="791"/>
      <c r="SV3" s="791"/>
      <c r="SW3" s="791"/>
      <c r="SX3" s="791"/>
      <c r="SY3" s="791"/>
      <c r="SZ3" s="791"/>
      <c r="TA3" s="791"/>
      <c r="TB3" s="791"/>
      <c r="TC3" s="791"/>
      <c r="TD3" s="791"/>
      <c r="TE3" s="791"/>
      <c r="TF3" s="791"/>
      <c r="TG3" s="791"/>
      <c r="TH3" s="791"/>
      <c r="TI3" s="791"/>
      <c r="TJ3" s="791"/>
      <c r="TK3" s="791"/>
      <c r="TL3" s="791"/>
      <c r="TM3" s="791"/>
      <c r="TN3" s="791"/>
      <c r="TO3" s="791"/>
      <c r="TP3" s="791"/>
      <c r="TQ3" s="791"/>
      <c r="TR3" s="791"/>
      <c r="TS3" s="791"/>
      <c r="TT3" s="791"/>
      <c r="TU3" s="791"/>
      <c r="TV3" s="791"/>
      <c r="TW3" s="791"/>
      <c r="TX3" s="791"/>
      <c r="TY3" s="791"/>
      <c r="TZ3" s="791"/>
      <c r="UA3" s="791"/>
      <c r="UB3" s="791"/>
      <c r="UC3" s="791"/>
      <c r="UD3" s="791"/>
      <c r="UE3" s="791"/>
      <c r="UF3" s="791"/>
      <c r="UG3" s="791"/>
      <c r="UH3" s="791"/>
      <c r="UI3" s="791"/>
      <c r="UJ3" s="791"/>
      <c r="UK3" s="791"/>
      <c r="UL3" s="791"/>
      <c r="UM3" s="791"/>
      <c r="UN3" s="791"/>
      <c r="UO3" s="791"/>
      <c r="UP3" s="791"/>
      <c r="UQ3" s="791"/>
      <c r="UR3" s="791"/>
      <c r="US3" s="791"/>
      <c r="UT3" s="791"/>
      <c r="UU3" s="791"/>
      <c r="UV3" s="791"/>
      <c r="UW3" s="791"/>
      <c r="UX3" s="791"/>
      <c r="UY3" s="791"/>
      <c r="UZ3" s="791"/>
      <c r="VA3" s="791"/>
      <c r="VB3" s="791"/>
      <c r="VC3" s="791"/>
      <c r="VD3" s="791"/>
      <c r="VE3" s="791"/>
      <c r="VF3" s="791"/>
      <c r="VG3" s="791"/>
      <c r="VH3" s="791"/>
      <c r="VI3" s="791"/>
      <c r="VJ3" s="791"/>
      <c r="VK3" s="791"/>
      <c r="VL3" s="791"/>
      <c r="VM3" s="791"/>
      <c r="VN3" s="791"/>
      <c r="VO3" s="791"/>
      <c r="VP3" s="791"/>
      <c r="VQ3" s="791"/>
      <c r="VR3" s="791"/>
      <c r="VS3" s="791"/>
      <c r="VT3" s="791"/>
      <c r="VU3" s="791"/>
      <c r="VV3" s="791"/>
      <c r="VW3" s="791"/>
      <c r="VX3" s="791"/>
      <c r="VY3" s="791"/>
      <c r="VZ3" s="791"/>
      <c r="WA3" s="791"/>
      <c r="WB3" s="791"/>
      <c r="WC3" s="791"/>
      <c r="WD3" s="791"/>
      <c r="WE3" s="791"/>
      <c r="WF3" s="791"/>
      <c r="WG3" s="791"/>
      <c r="WH3" s="791"/>
      <c r="WI3" s="791"/>
      <c r="WJ3" s="791"/>
      <c r="WK3" s="791"/>
      <c r="WL3" s="791"/>
      <c r="WM3" s="791"/>
      <c r="WN3" s="791"/>
      <c r="WO3" s="791"/>
      <c r="WP3" s="791"/>
      <c r="WQ3" s="791"/>
      <c r="WR3" s="791"/>
      <c r="WS3" s="791"/>
      <c r="WT3" s="791"/>
      <c r="WU3" s="791"/>
      <c r="WV3" s="791"/>
      <c r="WW3" s="791"/>
      <c r="WX3" s="791"/>
      <c r="WY3" s="791"/>
      <c r="WZ3" s="791"/>
      <c r="XA3" s="791"/>
      <c r="XB3" s="791"/>
      <c r="XC3" s="791"/>
      <c r="XD3" s="791"/>
      <c r="XE3" s="791"/>
      <c r="XF3" s="791"/>
      <c r="XG3" s="791"/>
      <c r="XH3" s="791"/>
      <c r="XI3" s="791"/>
      <c r="XJ3" s="791"/>
      <c r="XK3" s="791"/>
      <c r="XL3" s="791"/>
      <c r="XM3" s="791"/>
      <c r="XN3" s="791"/>
      <c r="XO3" s="791"/>
      <c r="XP3" s="791"/>
      <c r="XQ3" s="791"/>
      <c r="XR3" s="791"/>
      <c r="XS3" s="791"/>
      <c r="XT3" s="791"/>
      <c r="XU3" s="791"/>
      <c r="XV3" s="791"/>
      <c r="XW3" s="791"/>
      <c r="XX3" s="791"/>
      <c r="XY3" s="791"/>
      <c r="XZ3" s="791"/>
      <c r="YA3" s="791"/>
      <c r="YB3" s="791"/>
      <c r="YC3" s="791"/>
      <c r="YD3" s="791"/>
      <c r="YE3" s="791"/>
      <c r="YF3" s="791"/>
      <c r="YG3" s="791"/>
      <c r="YH3" s="791"/>
      <c r="YI3" s="791"/>
      <c r="YJ3" s="791"/>
      <c r="YK3" s="791"/>
      <c r="YL3" s="791"/>
      <c r="YM3" s="791"/>
      <c r="YN3" s="791"/>
      <c r="YO3" s="791"/>
      <c r="YP3" s="791"/>
      <c r="YQ3" s="791"/>
      <c r="YR3" s="791"/>
      <c r="YS3" s="791"/>
      <c r="YT3" s="791"/>
      <c r="YU3" s="791"/>
      <c r="YV3" s="791"/>
      <c r="YW3" s="791"/>
      <c r="YX3" s="791"/>
      <c r="YY3" s="791"/>
      <c r="YZ3" s="791"/>
      <c r="ZA3" s="791"/>
      <c r="ZB3" s="791"/>
      <c r="ZC3" s="791"/>
      <c r="ZD3" s="791"/>
      <c r="ZE3" s="791"/>
      <c r="ZF3" s="791"/>
      <c r="ZG3" s="791"/>
      <c r="ZH3" s="791"/>
      <c r="ZI3" s="791"/>
      <c r="ZJ3" s="791"/>
      <c r="ZK3" s="791"/>
      <c r="ZL3" s="791"/>
      <c r="ZM3" s="791"/>
      <c r="ZN3" s="791"/>
      <c r="ZO3" s="791"/>
      <c r="ZP3" s="791"/>
      <c r="ZQ3" s="791"/>
      <c r="ZR3" s="791"/>
      <c r="ZS3" s="791"/>
      <c r="ZT3" s="791"/>
      <c r="ZU3" s="791"/>
      <c r="ZV3" s="791"/>
      <c r="ZW3" s="791"/>
      <c r="ZX3" s="791"/>
      <c r="ZY3" s="791"/>
      <c r="ZZ3" s="791"/>
      <c r="AAA3" s="791"/>
      <c r="AAB3" s="791"/>
      <c r="AAC3" s="791"/>
      <c r="AAD3" s="791"/>
      <c r="AAE3" s="791"/>
      <c r="AAF3" s="791"/>
      <c r="AAG3" s="791"/>
      <c r="AAH3" s="791"/>
      <c r="AAI3" s="791"/>
      <c r="AAJ3" s="791"/>
      <c r="AAK3" s="791"/>
      <c r="AAL3" s="791"/>
      <c r="AAM3" s="791"/>
      <c r="AAN3" s="791"/>
      <c r="AAO3" s="791"/>
      <c r="AAP3" s="791"/>
      <c r="AAQ3" s="791"/>
      <c r="AAR3" s="791"/>
      <c r="AAS3" s="791"/>
      <c r="AAT3" s="791"/>
      <c r="AAU3" s="791"/>
    </row>
    <row r="4" spans="1:723" ht="17.25" thickBot="1" x14ac:dyDescent="0.3">
      <c r="A4" s="791"/>
      <c r="B4" s="791"/>
      <c r="C4" s="791"/>
      <c r="D4" s="791"/>
      <c r="E4" s="791"/>
      <c r="F4" s="791"/>
      <c r="G4" s="791"/>
      <c r="H4" s="791"/>
      <c r="I4" s="791"/>
      <c r="J4" s="791"/>
      <c r="K4" s="791"/>
      <c r="M4" s="791"/>
      <c r="N4" s="791" t="s">
        <v>370</v>
      </c>
      <c r="Q4" s="791"/>
      <c r="R4" s="791"/>
      <c r="S4" s="791"/>
      <c r="T4" s="791"/>
      <c r="U4" s="791"/>
      <c r="V4" s="791"/>
      <c r="W4" s="791"/>
      <c r="X4" s="791"/>
      <c r="Y4" s="791"/>
      <c r="Z4" s="791"/>
      <c r="AA4" s="791"/>
      <c r="AB4" s="791"/>
      <c r="AC4" s="791"/>
      <c r="AD4" s="791"/>
      <c r="AE4" s="791"/>
      <c r="AF4" s="791"/>
      <c r="AG4" s="791"/>
      <c r="AH4" s="791"/>
      <c r="AI4" s="791"/>
      <c r="AJ4" s="791"/>
      <c r="AK4" s="791"/>
      <c r="AL4" s="791"/>
      <c r="AM4" s="791"/>
      <c r="AN4" s="791"/>
      <c r="AO4" s="791"/>
      <c r="AP4" s="791"/>
      <c r="AQ4" s="791"/>
      <c r="AR4" s="791"/>
      <c r="AS4" s="791"/>
      <c r="AT4" s="791"/>
      <c r="AU4" s="791"/>
      <c r="AV4" s="791"/>
      <c r="AW4" s="791"/>
      <c r="AX4" s="791"/>
      <c r="AY4" s="791"/>
      <c r="AZ4" s="791"/>
      <c r="BA4" s="791"/>
      <c r="BB4" s="791"/>
      <c r="BC4" s="791"/>
      <c r="BD4" s="791"/>
      <c r="BE4" s="791"/>
      <c r="BF4" s="791"/>
      <c r="BG4" s="791"/>
      <c r="BH4" s="791"/>
      <c r="BI4" s="791"/>
      <c r="BJ4" s="791"/>
      <c r="BK4" s="791"/>
      <c r="BL4" s="791"/>
      <c r="BM4" s="791"/>
      <c r="BN4" s="791"/>
      <c r="BO4" s="791"/>
      <c r="BP4" s="791"/>
      <c r="BQ4" s="791"/>
      <c r="BR4" s="791"/>
      <c r="BS4" s="791"/>
      <c r="BT4" s="791"/>
      <c r="BU4" s="791"/>
      <c r="BV4" s="791"/>
      <c r="BW4" s="791"/>
      <c r="BX4" s="791"/>
      <c r="BY4" s="791"/>
      <c r="BZ4" s="791"/>
      <c r="CA4" s="791"/>
      <c r="CB4" s="791"/>
      <c r="CC4" s="791"/>
      <c r="CD4" s="791"/>
      <c r="CE4" s="791"/>
      <c r="CF4" s="791"/>
      <c r="CG4" s="791"/>
      <c r="CH4" s="791"/>
      <c r="CI4" s="791"/>
      <c r="CJ4" s="791"/>
      <c r="CK4" s="791"/>
      <c r="CL4" s="791"/>
      <c r="CM4" s="791"/>
      <c r="CN4" s="791"/>
      <c r="CO4" s="791"/>
      <c r="CP4" s="791"/>
      <c r="CQ4" s="791"/>
      <c r="CR4" s="791"/>
      <c r="CS4" s="791"/>
      <c r="CT4" s="791"/>
      <c r="CU4" s="791"/>
      <c r="CV4" s="791"/>
      <c r="CW4" s="791"/>
      <c r="CX4" s="791"/>
      <c r="CY4" s="791"/>
      <c r="CZ4" s="791"/>
      <c r="DA4" s="791"/>
      <c r="DB4" s="791"/>
      <c r="DC4" s="791"/>
      <c r="DD4" s="791"/>
      <c r="DE4" s="791"/>
      <c r="DF4" s="791"/>
      <c r="DG4" s="791"/>
      <c r="DH4" s="791"/>
      <c r="DI4" s="791"/>
      <c r="DJ4" s="791"/>
      <c r="DK4" s="791"/>
      <c r="DL4" s="791"/>
      <c r="DM4" s="791"/>
      <c r="DN4" s="791"/>
      <c r="DO4" s="791"/>
      <c r="DP4" s="791"/>
      <c r="DQ4" s="791"/>
      <c r="DR4" s="791"/>
      <c r="DS4" s="791"/>
      <c r="DT4" s="791"/>
      <c r="DU4" s="791"/>
      <c r="DV4" s="791"/>
      <c r="DW4" s="791"/>
      <c r="DX4" s="791"/>
      <c r="DY4" s="791"/>
      <c r="DZ4" s="791"/>
      <c r="EA4" s="791"/>
      <c r="EB4" s="791"/>
      <c r="EC4" s="791"/>
      <c r="ED4" s="791"/>
      <c r="EE4" s="791"/>
      <c r="EF4" s="791"/>
      <c r="EG4" s="791"/>
      <c r="EH4" s="791"/>
      <c r="EI4" s="791"/>
      <c r="EJ4" s="791"/>
      <c r="EK4" s="791"/>
      <c r="EL4" s="791"/>
      <c r="EM4" s="791"/>
      <c r="EN4" s="791"/>
      <c r="EO4" s="791"/>
      <c r="EP4" s="791"/>
      <c r="EQ4" s="791"/>
      <c r="ER4" s="791"/>
      <c r="ES4" s="791"/>
      <c r="ET4" s="791"/>
      <c r="EU4" s="791"/>
      <c r="EV4" s="791"/>
      <c r="EW4" s="791"/>
      <c r="EX4" s="791"/>
      <c r="EY4" s="791"/>
      <c r="EZ4" s="791"/>
      <c r="FA4" s="791"/>
      <c r="FB4" s="791"/>
      <c r="FC4" s="791"/>
      <c r="FD4" s="791"/>
      <c r="FE4" s="791"/>
      <c r="FF4" s="791"/>
      <c r="FG4" s="791"/>
      <c r="FH4" s="791"/>
      <c r="FI4" s="791"/>
      <c r="FJ4" s="791"/>
      <c r="FK4" s="791"/>
      <c r="FL4" s="791"/>
      <c r="FM4" s="791"/>
      <c r="FN4" s="791"/>
      <c r="FO4" s="791"/>
      <c r="FP4" s="791"/>
      <c r="FQ4" s="791"/>
      <c r="FR4" s="791"/>
      <c r="FS4" s="791"/>
      <c r="FT4" s="791"/>
      <c r="FU4" s="791"/>
      <c r="FV4" s="791"/>
      <c r="FW4" s="791"/>
      <c r="FX4" s="791"/>
      <c r="FY4" s="791"/>
      <c r="FZ4" s="791"/>
      <c r="GA4" s="791"/>
      <c r="GB4" s="791"/>
      <c r="GC4" s="791"/>
      <c r="GD4" s="791"/>
      <c r="GE4" s="791"/>
      <c r="GF4" s="791"/>
      <c r="GG4" s="791"/>
      <c r="GH4" s="791"/>
      <c r="GI4" s="791"/>
      <c r="GJ4" s="791"/>
      <c r="GK4" s="791"/>
      <c r="GL4" s="791"/>
      <c r="GM4" s="791"/>
      <c r="GN4" s="791"/>
      <c r="GO4" s="791"/>
      <c r="GP4" s="791"/>
      <c r="GQ4" s="791"/>
      <c r="GR4" s="791"/>
      <c r="GS4" s="791"/>
      <c r="GT4" s="791"/>
      <c r="GU4" s="791"/>
      <c r="GV4" s="791"/>
      <c r="GW4" s="791"/>
      <c r="GX4" s="791"/>
      <c r="GY4" s="791"/>
      <c r="GZ4" s="791"/>
      <c r="HA4" s="791"/>
      <c r="HB4" s="791"/>
      <c r="HC4" s="791"/>
      <c r="HD4" s="791"/>
      <c r="HE4" s="791"/>
      <c r="HF4" s="791"/>
      <c r="HG4" s="791"/>
      <c r="HH4" s="791"/>
      <c r="HI4" s="791"/>
      <c r="HJ4" s="791"/>
      <c r="HK4" s="791"/>
      <c r="HL4" s="791"/>
      <c r="HM4" s="791"/>
      <c r="HN4" s="791"/>
      <c r="HO4" s="791"/>
      <c r="HP4" s="791"/>
      <c r="HQ4" s="791"/>
      <c r="HR4" s="791"/>
      <c r="HS4" s="791"/>
      <c r="HT4" s="791"/>
      <c r="HU4" s="791"/>
      <c r="HV4" s="791"/>
      <c r="HW4" s="791"/>
      <c r="HX4" s="791"/>
      <c r="HY4" s="791"/>
      <c r="HZ4" s="791"/>
      <c r="IA4" s="791"/>
      <c r="IB4" s="791"/>
      <c r="IC4" s="791"/>
      <c r="ID4" s="791"/>
      <c r="IE4" s="791"/>
      <c r="IF4" s="791"/>
      <c r="IG4" s="791"/>
      <c r="IH4" s="791"/>
      <c r="II4" s="791"/>
      <c r="IJ4" s="791"/>
      <c r="IK4" s="791"/>
      <c r="IL4" s="791"/>
      <c r="IM4" s="791"/>
      <c r="IN4" s="791"/>
      <c r="IO4" s="791"/>
      <c r="IP4" s="791"/>
      <c r="IQ4" s="791"/>
      <c r="IR4" s="791"/>
      <c r="IS4" s="791"/>
      <c r="IT4" s="791"/>
      <c r="IU4" s="791"/>
      <c r="IV4" s="791"/>
      <c r="IW4" s="791"/>
      <c r="IX4" s="791"/>
      <c r="IY4" s="791"/>
      <c r="IZ4" s="791"/>
      <c r="JA4" s="791"/>
      <c r="JB4" s="791"/>
      <c r="JC4" s="791"/>
      <c r="JD4" s="791"/>
      <c r="JE4" s="791"/>
      <c r="JF4" s="791"/>
      <c r="JG4" s="791"/>
      <c r="JH4" s="791"/>
      <c r="JI4" s="791"/>
      <c r="JJ4" s="791"/>
      <c r="JK4" s="791"/>
      <c r="JL4" s="791"/>
      <c r="JM4" s="791"/>
      <c r="JN4" s="791"/>
      <c r="JO4" s="791"/>
      <c r="JP4" s="791"/>
      <c r="JQ4" s="791"/>
      <c r="JR4" s="791"/>
      <c r="JS4" s="791"/>
      <c r="JT4" s="791"/>
      <c r="JU4" s="791"/>
      <c r="MT4" s="791"/>
      <c r="MU4" s="791"/>
      <c r="MV4" s="791"/>
      <c r="MW4" s="791"/>
      <c r="MX4" s="791"/>
      <c r="MY4" s="791"/>
      <c r="MZ4" s="791"/>
      <c r="NA4" s="791"/>
      <c r="NB4" s="791"/>
      <c r="NC4" s="791"/>
      <c r="ND4" s="791"/>
      <c r="NE4" s="791"/>
      <c r="NF4" s="791"/>
      <c r="NG4" s="791"/>
      <c r="NH4" s="791"/>
      <c r="NI4" s="791"/>
      <c r="NJ4" s="791"/>
      <c r="NK4" s="791"/>
      <c r="NL4" s="791"/>
      <c r="NM4" s="791"/>
      <c r="NN4" s="791"/>
      <c r="NO4" s="791"/>
      <c r="NP4" s="791"/>
      <c r="NQ4" s="791"/>
      <c r="NR4" s="791"/>
      <c r="NS4" s="791"/>
      <c r="NT4" s="791"/>
      <c r="NU4" s="791"/>
      <c r="NV4" s="791"/>
      <c r="NW4" s="791"/>
      <c r="NX4" s="791"/>
      <c r="NY4" s="791"/>
      <c r="NZ4" s="791"/>
      <c r="OA4" s="791"/>
      <c r="OB4" s="791"/>
      <c r="OC4" s="791"/>
      <c r="OD4" s="791"/>
      <c r="OE4" s="791"/>
      <c r="OF4" s="791"/>
      <c r="OG4" s="791"/>
      <c r="PZ4" s="791"/>
      <c r="QA4" s="791"/>
      <c r="QB4" s="791"/>
      <c r="QC4" s="791"/>
      <c r="QD4" s="791"/>
      <c r="QE4" s="791"/>
      <c r="QF4" s="791"/>
      <c r="QG4" s="791"/>
      <c r="QH4" s="791"/>
      <c r="QI4" s="791"/>
      <c r="QJ4" s="791"/>
      <c r="QK4" s="791"/>
      <c r="QL4" s="791"/>
      <c r="QM4" s="791"/>
      <c r="QN4" s="791"/>
      <c r="QO4" s="791"/>
      <c r="QP4" s="791"/>
      <c r="QQ4" s="791"/>
      <c r="QR4" s="791"/>
      <c r="QS4" s="791"/>
      <c r="QT4" s="791"/>
      <c r="QU4" s="791"/>
      <c r="QV4" s="791"/>
      <c r="QW4" s="791"/>
      <c r="QX4" s="791"/>
      <c r="QY4" s="791"/>
      <c r="QZ4" s="791"/>
      <c r="RA4" s="791"/>
      <c r="RB4" s="791"/>
      <c r="RC4" s="791"/>
      <c r="RD4" s="791"/>
      <c r="RE4" s="791"/>
      <c r="RF4" s="791"/>
      <c r="RG4" s="791"/>
      <c r="RH4" s="791"/>
      <c r="RI4" s="791"/>
      <c r="RJ4" s="791"/>
      <c r="RK4" s="791"/>
      <c r="RL4" s="791"/>
      <c r="RM4" s="791"/>
      <c r="RN4" s="791"/>
      <c r="RO4" s="791"/>
      <c r="RP4" s="791"/>
      <c r="RQ4" s="791"/>
      <c r="RR4" s="791"/>
      <c r="RS4" s="791"/>
      <c r="RT4" s="791"/>
      <c r="RU4" s="791"/>
      <c r="RV4" s="791"/>
      <c r="RW4" s="791"/>
      <c r="RX4" s="791"/>
      <c r="RY4" s="791"/>
      <c r="RZ4" s="791"/>
      <c r="SA4" s="791"/>
      <c r="SB4" s="791"/>
      <c r="SC4" s="791"/>
      <c r="SD4" s="791"/>
      <c r="SE4" s="791"/>
      <c r="SF4" s="791"/>
      <c r="SG4" s="791"/>
      <c r="SH4" s="791"/>
      <c r="SI4" s="791"/>
      <c r="SJ4" s="791"/>
      <c r="SK4" s="791"/>
      <c r="SL4" s="791"/>
      <c r="SM4" s="791"/>
      <c r="SN4" s="791"/>
      <c r="SO4" s="791"/>
      <c r="SP4" s="791"/>
      <c r="SQ4" s="791"/>
      <c r="SR4" s="791"/>
      <c r="SS4" s="791"/>
      <c r="ST4" s="791"/>
      <c r="SU4" s="791"/>
      <c r="SV4" s="791"/>
      <c r="SW4" s="791"/>
      <c r="SX4" s="791"/>
      <c r="SY4" s="791"/>
      <c r="SZ4" s="791"/>
      <c r="TA4" s="791"/>
      <c r="TB4" s="791"/>
      <c r="TC4" s="791"/>
      <c r="TD4" s="791"/>
      <c r="TE4" s="791"/>
      <c r="TF4" s="791"/>
      <c r="TG4" s="791"/>
      <c r="TH4" s="791"/>
      <c r="TI4" s="791"/>
      <c r="TJ4" s="791"/>
      <c r="TK4" s="791"/>
      <c r="TL4" s="791"/>
      <c r="TM4" s="791"/>
      <c r="TN4" s="791"/>
      <c r="TO4" s="791"/>
      <c r="TP4" s="791"/>
      <c r="TQ4" s="791"/>
      <c r="TR4" s="791"/>
      <c r="TS4" s="791"/>
      <c r="TT4" s="791"/>
      <c r="TU4" s="791"/>
      <c r="TV4" s="791"/>
      <c r="TW4" s="791"/>
      <c r="TX4" s="791"/>
      <c r="TY4" s="791"/>
      <c r="TZ4" s="791"/>
      <c r="UA4" s="791"/>
      <c r="UB4" s="791"/>
      <c r="UC4" s="791"/>
      <c r="UD4" s="791"/>
      <c r="UE4" s="791"/>
      <c r="UF4" s="791"/>
      <c r="UG4" s="791"/>
      <c r="UH4" s="791"/>
      <c r="UI4" s="791"/>
      <c r="UJ4" s="791"/>
      <c r="UK4" s="791"/>
      <c r="UL4" s="791"/>
      <c r="UM4" s="791"/>
      <c r="UN4" s="791"/>
      <c r="UO4" s="791"/>
      <c r="UP4" s="791"/>
      <c r="UQ4" s="791"/>
      <c r="UR4" s="791"/>
      <c r="US4" s="791"/>
      <c r="UT4" s="791"/>
      <c r="UU4" s="791"/>
      <c r="UV4" s="791"/>
      <c r="UW4" s="791"/>
      <c r="UX4" s="791"/>
      <c r="UY4" s="791"/>
      <c r="UZ4" s="791"/>
      <c r="VA4" s="791"/>
      <c r="VB4" s="791"/>
      <c r="VC4" s="791"/>
      <c r="VD4" s="791"/>
      <c r="VE4" s="791"/>
      <c r="VF4" s="791"/>
      <c r="VG4" s="791"/>
      <c r="VH4" s="791"/>
      <c r="VI4" s="791"/>
      <c r="VJ4" s="791"/>
      <c r="VK4" s="791"/>
      <c r="VL4" s="791"/>
      <c r="VM4" s="791"/>
      <c r="VN4" s="791"/>
      <c r="VO4" s="791"/>
      <c r="VP4" s="791"/>
      <c r="VQ4" s="791"/>
      <c r="VR4" s="791"/>
      <c r="VS4" s="791"/>
      <c r="VT4" s="791"/>
      <c r="VU4" s="791"/>
      <c r="VV4" s="791"/>
      <c r="VW4" s="791"/>
      <c r="VX4" s="791"/>
      <c r="VY4" s="791"/>
      <c r="VZ4" s="791"/>
      <c r="WA4" s="791"/>
      <c r="WB4" s="791"/>
      <c r="WC4" s="791"/>
      <c r="WD4" s="791"/>
      <c r="WE4" s="791"/>
      <c r="WF4" s="791"/>
      <c r="WG4" s="791"/>
      <c r="WH4" s="791"/>
      <c r="WI4" s="791"/>
      <c r="WJ4" s="791"/>
      <c r="WK4" s="791"/>
      <c r="WL4" s="791"/>
      <c r="WM4" s="791"/>
      <c r="WN4" s="791"/>
      <c r="WO4" s="791"/>
      <c r="WP4" s="791"/>
      <c r="WQ4" s="791"/>
      <c r="WR4" s="791"/>
      <c r="WS4" s="791"/>
      <c r="WT4" s="791"/>
      <c r="WU4" s="791"/>
      <c r="WV4" s="791"/>
      <c r="WW4" s="791"/>
      <c r="WX4" s="791"/>
      <c r="WY4" s="791"/>
      <c r="WZ4" s="791"/>
      <c r="XA4" s="791"/>
      <c r="XB4" s="791"/>
      <c r="XC4" s="791"/>
      <c r="XD4" s="791"/>
      <c r="XE4" s="791"/>
      <c r="XF4" s="791"/>
      <c r="XG4" s="791"/>
      <c r="XH4" s="791"/>
      <c r="XI4" s="791"/>
      <c r="XJ4" s="791"/>
      <c r="XK4" s="791"/>
      <c r="XL4" s="791"/>
      <c r="XM4" s="791"/>
      <c r="XN4" s="791"/>
      <c r="XO4" s="791"/>
      <c r="XP4" s="791"/>
      <c r="XQ4" s="791"/>
      <c r="XR4" s="791"/>
      <c r="XS4" s="791"/>
      <c r="XT4" s="791"/>
      <c r="XU4" s="791"/>
      <c r="XV4" s="791"/>
      <c r="XW4" s="791"/>
      <c r="XX4" s="791"/>
      <c r="XY4" s="791"/>
      <c r="XZ4" s="791"/>
      <c r="YA4" s="791"/>
      <c r="YB4" s="791"/>
      <c r="YC4" s="791"/>
      <c r="YD4" s="791"/>
      <c r="YE4" s="791"/>
      <c r="YF4" s="791"/>
      <c r="YG4" s="791"/>
      <c r="YH4" s="791"/>
      <c r="YI4" s="791"/>
      <c r="YJ4" s="791"/>
      <c r="YK4" s="791"/>
      <c r="YL4" s="791"/>
      <c r="YM4" s="791"/>
      <c r="YN4" s="791"/>
      <c r="YO4" s="791"/>
      <c r="YP4" s="791"/>
      <c r="YQ4" s="791"/>
      <c r="YR4" s="791"/>
      <c r="YS4" s="791"/>
      <c r="YT4" s="791"/>
      <c r="YU4" s="791"/>
      <c r="YV4" s="791"/>
      <c r="YW4" s="791"/>
      <c r="YX4" s="791"/>
      <c r="YY4" s="791"/>
      <c r="YZ4" s="791"/>
      <c r="ZA4" s="791"/>
      <c r="ZB4" s="791"/>
      <c r="ZC4" s="791"/>
      <c r="ZD4" s="791"/>
      <c r="ZE4" s="791"/>
      <c r="ZF4" s="791"/>
      <c r="ZG4" s="791"/>
      <c r="ZH4" s="791"/>
      <c r="ZI4" s="791"/>
      <c r="ZJ4" s="791"/>
      <c r="ZK4" s="791"/>
      <c r="ZL4" s="791"/>
      <c r="ZM4" s="791"/>
      <c r="ZN4" s="791"/>
      <c r="ZO4" s="791"/>
      <c r="ZP4" s="791"/>
      <c r="ZQ4" s="791"/>
      <c r="ZR4" s="791"/>
      <c r="ZS4" s="791"/>
      <c r="ZT4" s="791"/>
      <c r="ZU4" s="791"/>
      <c r="ZV4" s="791"/>
      <c r="ZW4" s="791"/>
      <c r="ZX4" s="791"/>
      <c r="ZY4" s="791"/>
      <c r="ZZ4" s="791"/>
      <c r="AAA4" s="791"/>
      <c r="AAB4" s="791"/>
      <c r="AAC4" s="791"/>
      <c r="AAD4" s="791"/>
      <c r="AAE4" s="791"/>
      <c r="AAF4" s="791"/>
      <c r="AAG4" s="791"/>
      <c r="AAH4" s="791"/>
      <c r="AAI4" s="791"/>
      <c r="AAJ4" s="791"/>
      <c r="AAK4" s="791"/>
      <c r="AAL4" s="791"/>
      <c r="AAM4" s="791"/>
      <c r="AAN4" s="791"/>
      <c r="AAO4" s="791"/>
      <c r="AAP4" s="791"/>
      <c r="AAQ4" s="791"/>
      <c r="AAR4" s="791"/>
      <c r="AAS4" s="791"/>
      <c r="AAT4" s="791"/>
      <c r="AAU4" s="791"/>
    </row>
    <row r="5" spans="1:723" ht="17.25" thickBot="1" x14ac:dyDescent="0.3">
      <c r="A5" s="1515" t="s">
        <v>797</v>
      </c>
      <c r="B5" s="1518" t="s">
        <v>901</v>
      </c>
      <c r="C5" s="1519"/>
      <c r="D5" s="792"/>
      <c r="E5" s="1294"/>
      <c r="F5" s="1294" t="s">
        <v>375</v>
      </c>
      <c r="G5" s="1294"/>
      <c r="H5" s="1294"/>
      <c r="I5" s="1294"/>
      <c r="J5" s="1294"/>
      <c r="K5" s="1294"/>
      <c r="L5" s="1294"/>
      <c r="M5" s="1294"/>
      <c r="N5" s="1294"/>
      <c r="O5" s="1294"/>
      <c r="P5" s="1294"/>
      <c r="Q5" s="1294"/>
      <c r="R5" s="1294"/>
      <c r="S5" s="1294"/>
      <c r="T5" s="1294"/>
      <c r="U5" s="1294"/>
      <c r="V5" s="1294"/>
      <c r="W5" s="1294"/>
      <c r="X5" s="1294"/>
      <c r="Y5" s="1294"/>
      <c r="Z5" s="1294"/>
      <c r="AA5" s="1294"/>
      <c r="AB5" s="1294"/>
      <c r="AC5" s="1294"/>
      <c r="AD5" s="1294"/>
      <c r="AE5" s="1294"/>
      <c r="AF5" s="1294"/>
      <c r="AG5" s="1294"/>
      <c r="AH5" s="1294"/>
      <c r="AI5" s="1294"/>
      <c r="AJ5" s="1294"/>
      <c r="AK5" s="1294"/>
      <c r="AL5" s="1294"/>
      <c r="AM5" s="1294"/>
      <c r="AN5" s="1294"/>
      <c r="AO5" s="1294"/>
      <c r="AP5" s="1294"/>
      <c r="AQ5" s="1294"/>
      <c r="AR5" s="1294"/>
      <c r="AS5" s="1294"/>
      <c r="AT5" s="1294"/>
      <c r="AU5" s="1294"/>
      <c r="AV5" s="1294"/>
      <c r="AW5" s="1294"/>
      <c r="AX5" s="1294"/>
      <c r="AY5" s="1294"/>
      <c r="AZ5" s="1294"/>
      <c r="BA5" s="1294"/>
      <c r="BB5" s="1294"/>
      <c r="BC5" s="1294"/>
      <c r="BD5" s="1294"/>
      <c r="BE5" s="1294"/>
      <c r="BF5" s="1294"/>
      <c r="BG5" s="1294"/>
      <c r="BH5" s="1294"/>
      <c r="BI5" s="1294"/>
      <c r="BJ5" s="1294"/>
      <c r="BK5" s="1294"/>
      <c r="BL5" s="1294"/>
      <c r="BM5" s="1294"/>
      <c r="BN5" s="1294"/>
      <c r="BO5" s="1294"/>
      <c r="BP5" s="1294"/>
      <c r="BQ5" s="1294"/>
      <c r="BR5" s="1294"/>
      <c r="BS5" s="1294"/>
      <c r="BT5" s="1294"/>
      <c r="BU5" s="1294"/>
      <c r="BV5" s="1294"/>
      <c r="BW5" s="1294"/>
      <c r="BX5" s="1294"/>
      <c r="BY5" s="1294"/>
      <c r="BZ5" s="1294"/>
      <c r="CA5" s="1294"/>
      <c r="CB5" s="1294"/>
      <c r="CC5" s="1294"/>
      <c r="CD5" s="1294"/>
      <c r="CE5" s="1294"/>
      <c r="CF5" s="1294"/>
      <c r="CG5" s="1294"/>
      <c r="CH5" s="1294"/>
      <c r="CI5" s="1294"/>
      <c r="CJ5" s="1294"/>
      <c r="CK5" s="1294"/>
      <c r="CL5" s="1294"/>
      <c r="CM5" s="1294"/>
      <c r="CN5" s="1294"/>
      <c r="CO5" s="1294"/>
      <c r="CP5" s="1294"/>
      <c r="CQ5" s="1294"/>
      <c r="CR5" s="1294"/>
      <c r="CS5" s="1294"/>
      <c r="CT5" s="1294"/>
      <c r="CU5" s="1294"/>
      <c r="CV5" s="1294"/>
      <c r="CW5" s="1294"/>
      <c r="CX5" s="1294"/>
      <c r="CY5" s="1294"/>
      <c r="CZ5" s="1294"/>
      <c r="DA5" s="1294"/>
      <c r="DB5" s="1294"/>
      <c r="DC5" s="1294"/>
      <c r="DD5" s="1294"/>
      <c r="DE5" s="1294"/>
      <c r="DF5" s="1294"/>
      <c r="DG5" s="1294"/>
      <c r="DH5" s="1294"/>
      <c r="DI5" s="1294"/>
      <c r="DJ5" s="1294"/>
      <c r="DK5" s="1294"/>
      <c r="DL5" s="1294"/>
      <c r="DM5" s="1294"/>
      <c r="DN5" s="1294"/>
      <c r="DO5" s="1294"/>
      <c r="DP5" s="1294"/>
      <c r="DQ5" s="1294"/>
      <c r="DR5" s="1294"/>
      <c r="DS5" s="1294"/>
      <c r="DT5" s="1294"/>
      <c r="DU5" s="1294"/>
      <c r="DV5" s="1294"/>
      <c r="DW5" s="1294"/>
      <c r="DX5" s="1294"/>
      <c r="DY5" s="1294"/>
      <c r="DZ5" s="1294"/>
      <c r="EA5" s="1294"/>
      <c r="EB5" s="1294"/>
      <c r="EC5" s="1294"/>
      <c r="ED5" s="1294"/>
      <c r="EE5" s="1294"/>
      <c r="EF5" s="1294"/>
      <c r="EG5" s="1294"/>
      <c r="EH5" s="1294"/>
      <c r="EI5" s="1294"/>
      <c r="EJ5" s="1294"/>
      <c r="EK5" s="1294"/>
      <c r="EL5" s="1294"/>
      <c r="EM5" s="1294"/>
      <c r="EN5" s="1294"/>
      <c r="EO5" s="1294"/>
      <c r="EP5" s="1294"/>
      <c r="EQ5" s="1294"/>
      <c r="ER5" s="1294"/>
      <c r="ES5" s="1294"/>
      <c r="ET5" s="1294"/>
      <c r="EU5" s="1294"/>
      <c r="EV5" s="1294"/>
      <c r="EW5" s="1294"/>
      <c r="EX5" s="1294"/>
      <c r="EY5" s="1294"/>
      <c r="EZ5" s="1294"/>
      <c r="FA5" s="1294"/>
      <c r="FB5" s="1294"/>
      <c r="FC5" s="1294"/>
      <c r="FD5" s="1294"/>
      <c r="FE5" s="1294"/>
      <c r="FF5" s="1294"/>
      <c r="FG5" s="1294"/>
      <c r="FH5" s="1294"/>
      <c r="FI5" s="1294"/>
      <c r="FJ5" s="1294"/>
      <c r="FK5" s="1294"/>
      <c r="FL5" s="1294"/>
      <c r="FM5" s="1294"/>
      <c r="FN5" s="1294"/>
      <c r="FO5" s="1294"/>
      <c r="FP5" s="1294"/>
      <c r="FQ5" s="1294"/>
      <c r="FR5" s="1294"/>
      <c r="FS5" s="1294"/>
      <c r="FT5" s="1294"/>
      <c r="FU5" s="1294"/>
      <c r="FV5" s="1294"/>
      <c r="FW5" s="1294"/>
      <c r="FX5" s="1294"/>
      <c r="FY5" s="1294"/>
      <c r="FZ5" s="1294"/>
      <c r="GA5" s="1294"/>
      <c r="GB5" s="1294"/>
      <c r="GC5" s="1294"/>
      <c r="GD5" s="1294"/>
      <c r="GE5" s="1294"/>
      <c r="GF5" s="1294"/>
      <c r="GG5" s="1294"/>
      <c r="GH5" s="1294"/>
      <c r="GI5" s="1294"/>
      <c r="GJ5" s="1294"/>
      <c r="GK5" s="1294"/>
      <c r="GL5" s="1294"/>
      <c r="GM5" s="1294"/>
      <c r="GN5" s="1294"/>
      <c r="GO5" s="1294"/>
      <c r="GP5" s="1294"/>
      <c r="GQ5" s="1294"/>
      <c r="GR5" s="1294"/>
      <c r="GS5" s="1294"/>
      <c r="GT5" s="1294"/>
      <c r="GU5" s="1294"/>
      <c r="GV5" s="1294"/>
      <c r="GW5" s="1294"/>
      <c r="GX5" s="1294"/>
      <c r="GY5" s="1294"/>
      <c r="GZ5" s="1294"/>
      <c r="HA5" s="1294"/>
      <c r="HB5" s="1294"/>
      <c r="HC5" s="1294"/>
      <c r="HD5" s="1294"/>
      <c r="HE5" s="1294"/>
      <c r="HF5" s="1294"/>
      <c r="HG5" s="1294"/>
      <c r="HH5" s="1294"/>
      <c r="HI5" s="1294"/>
      <c r="HJ5" s="1294"/>
      <c r="HK5" s="1294"/>
      <c r="HL5" s="1294"/>
      <c r="HM5" s="1294"/>
      <c r="HN5" s="1294"/>
      <c r="HO5" s="1294"/>
      <c r="HP5" s="1294"/>
      <c r="HQ5" s="1294"/>
      <c r="HR5" s="1294"/>
      <c r="HS5" s="1294"/>
      <c r="HT5" s="1294"/>
      <c r="HU5" s="1294"/>
      <c r="HV5" s="1294"/>
      <c r="HW5" s="1294"/>
      <c r="HX5" s="1294"/>
      <c r="HY5" s="1294"/>
      <c r="HZ5" s="1294"/>
      <c r="IA5" s="1294"/>
      <c r="IB5" s="1294"/>
      <c r="IC5" s="1294"/>
      <c r="ID5" s="1294"/>
      <c r="IE5" s="1294"/>
      <c r="IF5" s="1294"/>
      <c r="IG5" s="1294"/>
      <c r="IH5" s="1294"/>
      <c r="II5" s="1294"/>
      <c r="IJ5" s="1294"/>
      <c r="IK5" s="1294"/>
      <c r="IL5" s="1294"/>
      <c r="IM5" s="1294"/>
      <c r="IN5" s="1294"/>
      <c r="IO5" s="1294"/>
      <c r="IP5" s="1294"/>
      <c r="IQ5" s="1294"/>
      <c r="IR5" s="1294"/>
      <c r="IS5" s="1294"/>
      <c r="IT5" s="1294"/>
      <c r="IU5" s="1294"/>
      <c r="IV5" s="1294"/>
      <c r="IW5" s="1294"/>
      <c r="IX5" s="1294"/>
      <c r="IY5" s="1294"/>
      <c r="IZ5" s="1294"/>
      <c r="JA5" s="1294"/>
      <c r="JB5" s="1294"/>
      <c r="JC5" s="1294"/>
      <c r="JD5" s="1294"/>
      <c r="JE5" s="1294"/>
      <c r="JF5" s="1294"/>
      <c r="JG5" s="1294"/>
      <c r="JH5" s="1294"/>
      <c r="JI5" s="1294"/>
      <c r="JJ5" s="1294"/>
      <c r="JK5" s="1294"/>
      <c r="JL5" s="1294"/>
      <c r="JM5" s="1294"/>
      <c r="JN5" s="1294"/>
      <c r="JO5" s="1294"/>
      <c r="JP5" s="1294"/>
      <c r="JQ5" s="1294"/>
      <c r="JR5" s="1294"/>
      <c r="JS5" s="1294"/>
      <c r="JT5" s="1294"/>
      <c r="JU5" s="1294"/>
      <c r="JV5" s="1294"/>
      <c r="JW5" s="1294"/>
      <c r="JX5" s="1294"/>
      <c r="JY5" s="1294"/>
      <c r="JZ5" s="1294"/>
      <c r="KA5" s="1294"/>
      <c r="KB5" s="1294"/>
      <c r="KC5" s="1294"/>
      <c r="KD5" s="1294"/>
      <c r="KE5" s="1294"/>
      <c r="KF5" s="1294"/>
      <c r="KG5" s="1294"/>
      <c r="KH5" s="1294"/>
      <c r="KI5" s="1294"/>
      <c r="KJ5" s="1294"/>
      <c r="KK5" s="1294"/>
      <c r="KL5" s="1294"/>
      <c r="KM5" s="1294"/>
      <c r="KN5" s="1294"/>
      <c r="KO5" s="1294"/>
      <c r="KP5" s="1294"/>
      <c r="KQ5" s="1294"/>
      <c r="KR5" s="1294"/>
      <c r="KS5" s="1294"/>
      <c r="KT5" s="1294"/>
      <c r="KU5" s="1294"/>
      <c r="KV5" s="1294"/>
      <c r="KW5" s="1294"/>
      <c r="KX5" s="1294"/>
      <c r="KY5" s="1294"/>
      <c r="KZ5" s="1294"/>
      <c r="LA5" s="1294"/>
      <c r="LB5" s="1294"/>
      <c r="LC5" s="1294"/>
      <c r="LD5" s="1294"/>
      <c r="LE5" s="1294"/>
      <c r="LF5" s="1294"/>
      <c r="LG5" s="1294"/>
      <c r="LH5" s="1294"/>
      <c r="LI5" s="1294"/>
      <c r="LJ5" s="1294"/>
      <c r="LK5" s="1294"/>
      <c r="LL5" s="1294"/>
      <c r="LM5" s="1294"/>
      <c r="LN5" s="1294"/>
      <c r="LO5" s="1294"/>
      <c r="LP5" s="1294"/>
      <c r="LQ5" s="1294"/>
      <c r="LR5" s="1294"/>
      <c r="LS5" s="1294"/>
      <c r="LT5" s="1294"/>
      <c r="LU5" s="1294"/>
      <c r="LV5" s="1294"/>
      <c r="LW5" s="1294"/>
      <c r="LX5" s="1294"/>
      <c r="LY5" s="1294"/>
      <c r="LZ5" s="1294"/>
      <c r="MA5" s="1294"/>
      <c r="MB5" s="1294"/>
      <c r="MC5" s="1294"/>
      <c r="MD5" s="1294"/>
      <c r="ME5" s="1294"/>
      <c r="MF5" s="1294"/>
      <c r="MG5" s="1294"/>
      <c r="MH5" s="1294"/>
      <c r="MI5" s="1294"/>
      <c r="MJ5" s="1294"/>
      <c r="MK5" s="1294"/>
      <c r="ML5" s="1294"/>
      <c r="MM5" s="1294"/>
      <c r="MN5" s="1294"/>
      <c r="MO5" s="1294"/>
      <c r="MP5" s="1294"/>
      <c r="MQ5" s="1294"/>
      <c r="MR5" s="1294"/>
      <c r="MS5" s="1294"/>
      <c r="MT5" s="1294"/>
      <c r="MU5" s="1294"/>
      <c r="MV5" s="1294"/>
      <c r="MW5" s="1294"/>
      <c r="MX5" s="1294"/>
      <c r="MY5" s="1294"/>
      <c r="MZ5" s="1294"/>
      <c r="NA5" s="1294"/>
      <c r="NB5" s="1294"/>
      <c r="NC5" s="1294"/>
      <c r="ND5" s="1294"/>
      <c r="NE5" s="1294"/>
      <c r="NF5" s="1294"/>
      <c r="NG5" s="1294"/>
      <c r="NH5" s="1294"/>
      <c r="NI5" s="1294"/>
      <c r="NJ5" s="1294"/>
      <c r="NK5" s="1294"/>
      <c r="NL5" s="1294"/>
      <c r="NM5" s="1294"/>
      <c r="NN5" s="1294"/>
      <c r="NO5" s="1294"/>
      <c r="NP5" s="1294"/>
      <c r="NQ5" s="1294"/>
      <c r="NR5" s="1294"/>
      <c r="NS5" s="1294"/>
      <c r="NT5" s="1294"/>
      <c r="NU5" s="1294"/>
      <c r="NV5" s="1294"/>
      <c r="NW5" s="1294"/>
      <c r="NX5" s="1294"/>
      <c r="NY5" s="1294"/>
      <c r="NZ5" s="1294"/>
      <c r="OA5" s="1294"/>
      <c r="OB5" s="1294"/>
      <c r="OC5" s="1294"/>
      <c r="OD5" s="1294"/>
      <c r="OE5" s="1294"/>
      <c r="OF5" s="1294"/>
      <c r="OG5" s="1294"/>
      <c r="OH5" s="1294"/>
      <c r="OI5" s="1294"/>
      <c r="OJ5" s="1294"/>
      <c r="OK5" s="1294"/>
      <c r="OL5" s="1294"/>
      <c r="OM5" s="1294"/>
      <c r="ON5" s="1294"/>
      <c r="OO5" s="1294"/>
      <c r="OP5" s="1294"/>
      <c r="OQ5" s="1294"/>
      <c r="OR5" s="1294"/>
      <c r="OS5" s="1294"/>
      <c r="OT5" s="1294"/>
      <c r="OU5" s="1294"/>
      <c r="OV5" s="1294"/>
      <c r="OW5" s="1294"/>
      <c r="OX5" s="1294"/>
      <c r="OY5" s="1294"/>
      <c r="OZ5" s="1294"/>
      <c r="PA5" s="1294"/>
      <c r="PB5" s="1294"/>
      <c r="PC5" s="1294"/>
      <c r="PD5" s="1294"/>
      <c r="PE5" s="1294"/>
      <c r="PF5" s="1294"/>
      <c r="PG5" s="1294"/>
      <c r="PH5" s="1294"/>
      <c r="PI5" s="1294"/>
      <c r="PJ5" s="1294"/>
      <c r="PK5" s="1294"/>
      <c r="PL5" s="1294"/>
      <c r="PM5" s="1294"/>
      <c r="PN5" s="1294"/>
      <c r="PO5" s="1294"/>
      <c r="PP5" s="1294"/>
      <c r="PQ5" s="1294"/>
      <c r="PR5" s="1294"/>
      <c r="PS5" s="1294"/>
      <c r="PT5" s="1294"/>
      <c r="PU5" s="1294"/>
      <c r="PV5" s="1294"/>
      <c r="PW5" s="1294"/>
      <c r="PX5" s="1294"/>
      <c r="PY5" s="1294"/>
      <c r="PZ5" s="1294"/>
      <c r="QA5" s="1294"/>
      <c r="QB5" s="1294"/>
      <c r="QC5" s="1294"/>
      <c r="QD5" s="1294"/>
      <c r="QE5" s="1294"/>
      <c r="QF5" s="1294"/>
      <c r="QG5" s="1294"/>
      <c r="QH5" s="1294"/>
      <c r="QI5" s="1294"/>
      <c r="QJ5" s="1294"/>
      <c r="QK5" s="1294"/>
      <c r="QL5" s="1294"/>
      <c r="QM5" s="1294"/>
      <c r="QN5" s="1294"/>
      <c r="QO5" s="1294"/>
      <c r="QP5" s="1294"/>
      <c r="QQ5" s="1294"/>
      <c r="QR5" s="1294"/>
      <c r="QS5" s="1294"/>
      <c r="QT5" s="1294"/>
      <c r="QU5" s="1294"/>
      <c r="QV5" s="1294"/>
      <c r="QW5" s="1294"/>
      <c r="QX5" s="1294"/>
      <c r="QY5" s="1294"/>
      <c r="QZ5" s="1294"/>
      <c r="RA5" s="1294"/>
      <c r="RB5" s="1294"/>
      <c r="RC5" s="1294"/>
      <c r="RD5" s="1294"/>
      <c r="RE5" s="1294"/>
      <c r="RF5" s="1294"/>
      <c r="RG5" s="1294"/>
      <c r="RH5" s="1294"/>
      <c r="RI5" s="1294"/>
      <c r="RJ5" s="1294"/>
      <c r="RK5" s="1294"/>
      <c r="RL5" s="1294"/>
      <c r="RM5" s="1294"/>
      <c r="RN5" s="1294"/>
      <c r="RO5" s="1294"/>
      <c r="RP5" s="1294"/>
      <c r="RQ5" s="1294"/>
      <c r="RR5" s="1294"/>
      <c r="RS5" s="1294"/>
      <c r="RT5" s="1294"/>
      <c r="RU5" s="1294"/>
      <c r="RV5" s="1294"/>
      <c r="RW5" s="1294"/>
      <c r="RX5" s="1294"/>
      <c r="RY5" s="1294"/>
      <c r="RZ5" s="1294"/>
      <c r="SA5" s="1294"/>
      <c r="SB5" s="1294"/>
      <c r="SC5" s="1294"/>
      <c r="SD5" s="1294"/>
      <c r="SE5" s="1294"/>
      <c r="SF5" s="1294"/>
      <c r="SG5" s="1294"/>
      <c r="SH5" s="1294"/>
      <c r="SI5" s="1294"/>
      <c r="SJ5" s="1294"/>
      <c r="SK5" s="1294"/>
      <c r="SL5" s="1294"/>
      <c r="SM5" s="1294"/>
      <c r="SN5" s="1294"/>
      <c r="SO5" s="1294"/>
      <c r="SP5" s="1294"/>
      <c r="SQ5" s="1294"/>
      <c r="SR5" s="1294"/>
      <c r="SS5" s="1294"/>
      <c r="ST5" s="1294"/>
      <c r="SU5" s="1294"/>
      <c r="SV5" s="1294"/>
      <c r="SW5" s="1294"/>
      <c r="SX5" s="1294"/>
      <c r="SY5" s="1294"/>
      <c r="SZ5" s="1294"/>
      <c r="TA5" s="1294"/>
      <c r="TB5" s="1294"/>
      <c r="TC5" s="1294"/>
      <c r="TD5" s="1294"/>
      <c r="TE5" s="1294"/>
      <c r="TF5" s="1294"/>
      <c r="TG5" s="1294"/>
      <c r="TH5" s="1294"/>
      <c r="TI5" s="1294"/>
      <c r="TJ5" s="1294"/>
      <c r="TK5" s="1294"/>
      <c r="TL5" s="1294"/>
      <c r="TM5" s="1294"/>
      <c r="TN5" s="1294"/>
      <c r="TO5" s="1294"/>
      <c r="TP5" s="1294"/>
      <c r="TQ5" s="1294"/>
      <c r="TR5" s="1294"/>
      <c r="TS5" s="1294"/>
      <c r="TT5" s="1294"/>
      <c r="TU5" s="1294"/>
      <c r="TV5" s="1294"/>
      <c r="TW5" s="1294"/>
      <c r="TX5" s="1294"/>
      <c r="TY5" s="1294"/>
      <c r="TZ5" s="1294"/>
      <c r="UA5" s="1294"/>
      <c r="UB5" s="1294"/>
      <c r="UC5" s="1294"/>
      <c r="UD5" s="1294"/>
      <c r="UE5" s="1294"/>
      <c r="UF5" s="1294"/>
      <c r="UG5" s="1294"/>
      <c r="UH5" s="1294"/>
      <c r="UI5" s="1294"/>
      <c r="UJ5" s="1294"/>
      <c r="UK5" s="1294"/>
      <c r="UL5" s="1294"/>
      <c r="UM5" s="1294"/>
      <c r="UN5" s="1294"/>
      <c r="UO5" s="1294"/>
      <c r="UP5" s="1294"/>
      <c r="UQ5" s="1294"/>
      <c r="UR5" s="1294"/>
      <c r="US5" s="1294"/>
      <c r="UT5" s="1294"/>
      <c r="UU5" s="1294"/>
      <c r="UV5" s="1294"/>
      <c r="UW5" s="1294"/>
      <c r="UX5" s="1294"/>
      <c r="UY5" s="1294"/>
      <c r="UZ5" s="1294"/>
      <c r="VA5" s="1294"/>
      <c r="VB5" s="1294"/>
      <c r="VC5" s="1294"/>
      <c r="VD5" s="1294"/>
      <c r="VE5" s="1294"/>
      <c r="VF5" s="1294"/>
      <c r="VG5" s="1294"/>
      <c r="VH5" s="1294"/>
      <c r="VI5" s="1294"/>
      <c r="VJ5" s="1294"/>
      <c r="VK5" s="1294"/>
      <c r="VL5" s="1294"/>
      <c r="VM5" s="1294"/>
      <c r="VN5" s="1294"/>
      <c r="VO5" s="1294"/>
      <c r="VP5" s="1294"/>
      <c r="VQ5" s="1294"/>
      <c r="VR5" s="1294"/>
      <c r="VS5" s="1294"/>
      <c r="VT5" s="1294"/>
      <c r="VU5" s="1294"/>
      <c r="VV5" s="1294"/>
      <c r="VW5" s="1294"/>
      <c r="VX5" s="1294"/>
      <c r="VY5" s="1294"/>
      <c r="VZ5" s="1294"/>
      <c r="WA5" s="1294"/>
      <c r="WB5" s="1294"/>
      <c r="WC5" s="1294"/>
      <c r="WD5" s="1294"/>
      <c r="WE5" s="1294"/>
      <c r="WF5" s="1294"/>
      <c r="WG5" s="1294"/>
      <c r="WH5" s="1294"/>
      <c r="WI5" s="1294"/>
      <c r="WJ5" s="1294"/>
      <c r="WK5" s="1294"/>
      <c r="WL5" s="1294"/>
      <c r="WM5" s="1294"/>
      <c r="WN5" s="1294"/>
      <c r="WO5" s="1294"/>
      <c r="WP5" s="1294"/>
      <c r="WQ5" s="1294"/>
      <c r="WR5" s="1294"/>
      <c r="WS5" s="1294"/>
      <c r="WT5" s="1294"/>
      <c r="WU5" s="1294"/>
      <c r="WV5" s="1294"/>
      <c r="WW5" s="1294"/>
      <c r="WX5" s="1294"/>
      <c r="WY5" s="1294"/>
      <c r="WZ5" s="1294"/>
      <c r="XA5" s="1294"/>
      <c r="XB5" s="1294"/>
      <c r="XC5" s="1294"/>
      <c r="XD5" s="1294"/>
      <c r="XE5" s="1294"/>
      <c r="XF5" s="1294"/>
      <c r="XG5" s="1294"/>
      <c r="XH5" s="1294"/>
      <c r="XI5" s="1294"/>
      <c r="XJ5" s="1294"/>
      <c r="XK5" s="1294"/>
      <c r="XL5" s="1294"/>
      <c r="XM5" s="1294"/>
      <c r="XN5" s="1294"/>
      <c r="XO5" s="1294"/>
      <c r="XP5" s="1294"/>
      <c r="XQ5" s="1294"/>
      <c r="XR5" s="1294"/>
      <c r="XS5" s="1294"/>
      <c r="XT5" s="1294"/>
      <c r="XU5" s="1294"/>
      <c r="XV5" s="1294"/>
      <c r="XW5" s="1294"/>
      <c r="XX5" s="1294"/>
      <c r="XY5" s="1294"/>
      <c r="XZ5" s="1294"/>
      <c r="YA5" s="1294"/>
      <c r="YB5" s="1294"/>
      <c r="YC5" s="1294"/>
      <c r="YD5" s="1294"/>
      <c r="YE5" s="1294"/>
      <c r="YF5" s="1294"/>
      <c r="YG5" s="1294"/>
      <c r="YH5" s="1294"/>
      <c r="YI5" s="1294"/>
      <c r="YJ5" s="1294"/>
      <c r="YK5" s="1294"/>
      <c r="YL5" s="1294"/>
      <c r="YM5" s="1294"/>
      <c r="YN5" s="1294"/>
      <c r="YO5" s="1294"/>
      <c r="YP5" s="1294"/>
      <c r="YQ5" s="1294"/>
      <c r="YR5" s="1294"/>
      <c r="YS5" s="1294"/>
      <c r="YT5" s="1294"/>
      <c r="YU5" s="1294"/>
      <c r="YV5" s="1294"/>
      <c r="YW5" s="1294"/>
      <c r="YX5" s="1294"/>
      <c r="YY5" s="1294"/>
      <c r="YZ5" s="1294"/>
      <c r="ZA5" s="1294"/>
      <c r="ZB5" s="1294"/>
      <c r="ZC5" s="1294"/>
      <c r="ZD5" s="1294"/>
      <c r="ZE5" s="1294"/>
      <c r="ZF5" s="1294"/>
      <c r="ZG5" s="1294"/>
      <c r="ZH5" s="1294"/>
      <c r="ZI5" s="1294"/>
      <c r="ZJ5" s="1294"/>
      <c r="ZK5" s="1294"/>
      <c r="ZL5" s="1294"/>
      <c r="ZM5" s="1294"/>
      <c r="ZN5" s="1294"/>
      <c r="ZO5" s="1294"/>
      <c r="ZP5" s="1294"/>
      <c r="ZQ5" s="1294"/>
      <c r="ZR5" s="1294"/>
      <c r="ZS5" s="1294"/>
      <c r="ZT5" s="1294"/>
      <c r="ZU5" s="1294"/>
      <c r="ZV5" s="1294"/>
      <c r="ZW5" s="1294"/>
      <c r="ZX5" s="1294"/>
      <c r="ZY5" s="1294"/>
      <c r="ZZ5" s="1294"/>
      <c r="AAA5" s="1294"/>
      <c r="AAB5" s="793"/>
      <c r="AAC5" s="793"/>
      <c r="AAD5" s="793"/>
      <c r="AAE5" s="793"/>
      <c r="AAF5" s="793"/>
      <c r="AAG5" s="793"/>
      <c r="AAH5" s="793"/>
      <c r="AAI5" s="793"/>
      <c r="AAJ5" s="793"/>
      <c r="AAK5" s="793"/>
      <c r="AAL5" s="793"/>
      <c r="AAM5" s="793"/>
      <c r="AAN5" s="793"/>
      <c r="AAO5" s="793"/>
      <c r="AAP5" s="793"/>
      <c r="AAQ5" s="793"/>
      <c r="AAR5" s="793"/>
      <c r="AAS5" s="794"/>
      <c r="AAT5" s="791"/>
      <c r="AAU5" s="791"/>
    </row>
    <row r="6" spans="1:723" ht="21.95" customHeight="1" thickBot="1" x14ac:dyDescent="0.3">
      <c r="A6" s="1516"/>
      <c r="B6" s="1520"/>
      <c r="C6" s="1521"/>
      <c r="D6" s="1512" t="s">
        <v>902</v>
      </c>
      <c r="E6" s="1513"/>
      <c r="F6" s="1513"/>
      <c r="G6" s="1513"/>
      <c r="H6" s="1513"/>
      <c r="I6" s="1513"/>
      <c r="J6" s="1513"/>
      <c r="K6" s="1513"/>
      <c r="L6" s="1513"/>
      <c r="M6" s="1513"/>
      <c r="N6" s="1114"/>
      <c r="O6" s="1114"/>
      <c r="P6" s="1114"/>
      <c r="Q6" s="1114"/>
      <c r="R6" s="1114"/>
      <c r="S6" s="1114"/>
      <c r="T6" s="1114"/>
      <c r="U6" s="1114"/>
      <c r="V6" s="1114"/>
      <c r="W6" s="1114"/>
      <c r="X6" s="1114"/>
      <c r="Y6" s="1114"/>
      <c r="Z6" s="1114"/>
      <c r="AA6" s="1114"/>
      <c r="AB6" s="1114"/>
      <c r="AC6" s="1114"/>
      <c r="AD6" s="1114"/>
      <c r="AE6" s="1114"/>
      <c r="AF6" s="1114"/>
      <c r="AG6" s="1114"/>
      <c r="AH6" s="1114"/>
      <c r="AI6" s="1114"/>
      <c r="AJ6" s="1114"/>
      <c r="AK6" s="1114"/>
      <c r="AL6" s="1114"/>
      <c r="AM6" s="1114"/>
      <c r="AN6" s="792" t="s">
        <v>903</v>
      </c>
      <c r="AO6" s="1294"/>
      <c r="AP6" s="1294"/>
      <c r="AQ6" s="1294"/>
      <c r="AR6" s="1294"/>
      <c r="AS6" s="1294"/>
      <c r="AT6" s="1294"/>
      <c r="AU6" s="1294"/>
      <c r="AV6" s="1294"/>
      <c r="AW6" s="1294"/>
      <c r="AX6" s="1294"/>
      <c r="AY6" s="1294"/>
      <c r="AZ6" s="1294"/>
      <c r="BA6" s="1294"/>
      <c r="BB6" s="1294"/>
      <c r="BC6" s="1294"/>
      <c r="BD6" s="1294"/>
      <c r="BE6" s="1294"/>
      <c r="BF6" s="1294"/>
      <c r="BG6" s="1294"/>
      <c r="BH6" s="1294"/>
      <c r="BI6" s="1294"/>
      <c r="BJ6" s="1294"/>
      <c r="BK6" s="1294"/>
      <c r="BL6" s="1294"/>
      <c r="BM6" s="1294"/>
      <c r="BN6" s="1294"/>
      <c r="BO6" s="1294"/>
      <c r="BP6" s="1294"/>
      <c r="BQ6" s="1294"/>
      <c r="BR6" s="1294"/>
      <c r="BS6" s="1294"/>
      <c r="BT6" s="1294"/>
      <c r="BU6" s="1294"/>
      <c r="BV6" s="1294"/>
      <c r="BW6" s="1294"/>
      <c r="BX6" s="1294"/>
      <c r="BY6" s="1294"/>
      <c r="BZ6" s="1294"/>
      <c r="CA6" s="1294"/>
      <c r="CB6" s="1294"/>
      <c r="CC6" s="1294"/>
      <c r="CD6" s="1294"/>
      <c r="CE6" s="1294"/>
      <c r="CF6" s="1294"/>
      <c r="CG6" s="1294"/>
      <c r="CH6" s="1294"/>
      <c r="CI6" s="1294"/>
      <c r="CJ6" s="1294"/>
      <c r="CK6" s="1294"/>
      <c r="CL6" s="1294"/>
      <c r="CM6" s="1294"/>
      <c r="CN6" s="1294"/>
      <c r="CO6" s="1294"/>
      <c r="CP6" s="1294"/>
      <c r="CQ6" s="1294"/>
      <c r="CR6" s="1294"/>
      <c r="CS6" s="1294"/>
      <c r="CT6" s="1294"/>
      <c r="CU6" s="1294"/>
      <c r="CV6" s="1294"/>
      <c r="CW6" s="1294"/>
      <c r="CX6" s="1294"/>
      <c r="CY6" s="1294"/>
      <c r="CZ6" s="1294"/>
      <c r="DA6" s="1294"/>
      <c r="DB6" s="1294"/>
      <c r="DC6" s="1294"/>
      <c r="DD6" s="1294"/>
      <c r="DE6" s="1294"/>
      <c r="DF6" s="1294"/>
      <c r="DG6" s="1294"/>
      <c r="DH6" s="1294"/>
      <c r="DI6" s="1294"/>
      <c r="DJ6" s="1294"/>
      <c r="DK6" s="1294"/>
      <c r="DL6" s="1294"/>
      <c r="DM6" s="1294"/>
      <c r="DN6" s="1294"/>
      <c r="DO6" s="1294"/>
      <c r="DP6" s="1294"/>
      <c r="DQ6" s="1294"/>
      <c r="DR6" s="1294"/>
      <c r="DS6" s="1294"/>
      <c r="DT6" s="1294"/>
      <c r="DU6" s="1294"/>
      <c r="DV6" s="1294"/>
      <c r="DW6" s="1294"/>
      <c r="DX6" s="1294"/>
      <c r="DY6" s="1294"/>
      <c r="DZ6" s="1294"/>
      <c r="EA6" s="1294"/>
      <c r="EB6" s="1294"/>
      <c r="EC6" s="1294"/>
      <c r="ED6" s="1294"/>
      <c r="EE6" s="1294"/>
      <c r="EF6" s="1294"/>
      <c r="EG6" s="1294"/>
      <c r="EH6" s="1294"/>
      <c r="EI6" s="1294"/>
      <c r="EJ6" s="1294"/>
      <c r="EK6" s="1294"/>
      <c r="EL6" s="1294"/>
      <c r="EM6" s="1294"/>
      <c r="EN6" s="1294"/>
      <c r="EO6" s="1294"/>
      <c r="EP6" s="1294"/>
      <c r="EQ6" s="1294"/>
      <c r="ER6" s="1294"/>
      <c r="ES6" s="1294"/>
      <c r="ET6" s="1294"/>
      <c r="EU6" s="1294"/>
      <c r="EV6" s="1294"/>
      <c r="EW6" s="1294"/>
      <c r="EX6" s="1294"/>
      <c r="EY6" s="1294"/>
      <c r="EZ6" s="1294"/>
      <c r="FA6" s="1294"/>
      <c r="FB6" s="1294"/>
      <c r="FC6" s="1294"/>
      <c r="FD6" s="1294"/>
      <c r="FE6" s="1294"/>
      <c r="FF6" s="1294"/>
      <c r="FG6" s="1294"/>
      <c r="FH6" s="1294"/>
      <c r="FI6" s="1294"/>
      <c r="FJ6" s="1294"/>
      <c r="FK6" s="1294"/>
      <c r="FL6" s="1294"/>
      <c r="FM6" s="1294"/>
      <c r="FN6" s="1294"/>
      <c r="FO6" s="1294"/>
      <c r="FP6" s="1294"/>
      <c r="FQ6" s="1294"/>
      <c r="FR6" s="1294"/>
      <c r="FS6" s="1294"/>
      <c r="FT6" s="1294"/>
      <c r="FU6" s="1294"/>
      <c r="FV6" s="1294"/>
      <c r="FW6" s="1294"/>
      <c r="FX6" s="1294"/>
      <c r="FY6" s="1294"/>
      <c r="FZ6" s="1294"/>
      <c r="GA6" s="1294"/>
      <c r="GB6" s="1294"/>
      <c r="GC6" s="1294"/>
      <c r="GD6" s="1294"/>
      <c r="GE6" s="1294"/>
      <c r="GF6" s="1294"/>
      <c r="GG6" s="1294"/>
      <c r="GH6" s="1294"/>
      <c r="GI6" s="1294"/>
      <c r="GJ6" s="1294"/>
      <c r="GK6" s="1294"/>
      <c r="GL6" s="1294"/>
      <c r="GM6" s="1294"/>
      <c r="GN6" s="1294"/>
      <c r="GO6" s="1294"/>
      <c r="GP6" s="1294"/>
      <c r="GQ6" s="1294"/>
      <c r="GR6" s="1294"/>
      <c r="GS6" s="1294"/>
      <c r="GT6" s="1294"/>
      <c r="GU6" s="1294"/>
      <c r="GV6" s="1294"/>
      <c r="GW6" s="1294"/>
      <c r="GX6" s="1294"/>
      <c r="GY6" s="1294"/>
      <c r="GZ6" s="1294"/>
      <c r="HA6" s="1294"/>
      <c r="HB6" s="1294"/>
      <c r="HC6" s="1294"/>
      <c r="HD6" s="1294"/>
      <c r="HE6" s="1294"/>
      <c r="HF6" s="1294"/>
      <c r="HG6" s="1294"/>
      <c r="HH6" s="1294"/>
      <c r="HI6" s="1294"/>
      <c r="HJ6" s="1294"/>
      <c r="HK6" s="1294"/>
      <c r="HL6" s="1294"/>
      <c r="HM6" s="1294"/>
      <c r="HN6" s="1294"/>
      <c r="HO6" s="1294"/>
      <c r="HP6" s="1294"/>
      <c r="HQ6" s="1294"/>
      <c r="HR6" s="1294"/>
      <c r="HS6" s="1294"/>
      <c r="HT6" s="1294"/>
      <c r="HU6" s="1294"/>
      <c r="HV6" s="1294"/>
      <c r="HW6" s="1294"/>
      <c r="HX6" s="1294"/>
      <c r="HY6" s="1294"/>
      <c r="HZ6" s="1294"/>
      <c r="IA6" s="1294"/>
      <c r="IB6" s="1294"/>
      <c r="IC6" s="1294"/>
      <c r="ID6" s="1294"/>
      <c r="IE6" s="1294"/>
      <c r="IF6" s="1294"/>
      <c r="IG6" s="1294"/>
      <c r="IH6" s="1294"/>
      <c r="II6" s="1294"/>
      <c r="IJ6" s="1294"/>
      <c r="IK6" s="1294"/>
      <c r="IL6" s="1294"/>
      <c r="IM6" s="1294"/>
      <c r="IN6" s="1294"/>
      <c r="IO6" s="1294"/>
      <c r="IP6" s="1294"/>
      <c r="IQ6" s="1294"/>
      <c r="IR6" s="1294"/>
      <c r="IS6" s="1294"/>
      <c r="IT6" s="1294"/>
      <c r="IU6" s="1294"/>
      <c r="IV6" s="1294"/>
      <c r="IW6" s="1294"/>
      <c r="IX6" s="1294"/>
      <c r="IY6" s="1294"/>
      <c r="IZ6" s="1294"/>
      <c r="JA6" s="1294"/>
      <c r="JB6" s="1294"/>
      <c r="JC6" s="1294"/>
      <c r="JD6" s="1294"/>
      <c r="JE6" s="1294"/>
      <c r="JF6" s="1294"/>
      <c r="JG6" s="1294"/>
      <c r="JH6" s="1294"/>
      <c r="JI6" s="1294"/>
      <c r="JJ6" s="1294"/>
      <c r="JK6" s="1294"/>
      <c r="JL6" s="1294"/>
      <c r="JM6" s="1294"/>
      <c r="JN6" s="1294"/>
      <c r="JO6" s="1294"/>
      <c r="JP6" s="1294"/>
      <c r="JQ6" s="1294"/>
      <c r="JR6" s="1294"/>
      <c r="JS6" s="1294"/>
      <c r="JT6" s="1294"/>
      <c r="JU6" s="1294"/>
      <c r="JV6" s="1294"/>
      <c r="JW6" s="1294"/>
      <c r="JX6" s="1294"/>
      <c r="JY6" s="1294"/>
      <c r="JZ6" s="1294"/>
      <c r="KA6" s="1294"/>
      <c r="KB6" s="1294"/>
      <c r="KC6" s="1294"/>
      <c r="KD6" s="1294"/>
      <c r="KE6" s="1294"/>
      <c r="KF6" s="1294"/>
      <c r="KG6" s="1294"/>
      <c r="KH6" s="1294"/>
      <c r="KI6" s="1294"/>
      <c r="KJ6" s="1294"/>
      <c r="KK6" s="1294"/>
      <c r="KL6" s="1294"/>
      <c r="KM6" s="1294"/>
      <c r="KN6" s="1294"/>
      <c r="KO6" s="1294"/>
      <c r="KP6" s="1294"/>
      <c r="KQ6" s="1294"/>
      <c r="KR6" s="1294"/>
      <c r="KS6" s="1294"/>
      <c r="KT6" s="1294"/>
      <c r="KU6" s="1294"/>
      <c r="KV6" s="1294"/>
      <c r="KW6" s="1294"/>
      <c r="KX6" s="1294"/>
      <c r="KY6" s="1294"/>
      <c r="KZ6" s="1294"/>
      <c r="LA6" s="1294"/>
      <c r="LB6" s="1294"/>
      <c r="LC6" s="1294"/>
      <c r="LD6" s="1294"/>
      <c r="LE6" s="1294"/>
      <c r="LF6" s="1294"/>
      <c r="LG6" s="1294"/>
      <c r="LH6" s="1294"/>
      <c r="LI6" s="1294"/>
      <c r="LJ6" s="1294"/>
      <c r="LK6" s="1294"/>
      <c r="LL6" s="1294"/>
      <c r="LM6" s="1294"/>
      <c r="LN6" s="1294"/>
      <c r="LO6" s="1294"/>
      <c r="LP6" s="1294"/>
      <c r="LQ6" s="1294"/>
      <c r="LR6" s="1294"/>
      <c r="LS6" s="1294"/>
      <c r="LT6" s="1294"/>
      <c r="LU6" s="1294"/>
      <c r="LV6" s="1294"/>
      <c r="LW6" s="1294"/>
      <c r="LX6" s="1294"/>
      <c r="LY6" s="1294"/>
      <c r="LZ6" s="1294"/>
      <c r="MA6" s="1294"/>
      <c r="MB6" s="1294"/>
      <c r="MC6" s="1294"/>
      <c r="MD6" s="1294"/>
      <c r="ME6" s="1294"/>
      <c r="MF6" s="1294"/>
      <c r="MG6" s="1294"/>
      <c r="MH6" s="1294"/>
      <c r="MI6" s="1294"/>
      <c r="MJ6" s="1294"/>
      <c r="MK6" s="1294"/>
      <c r="ML6" s="1294"/>
      <c r="MM6" s="1294"/>
      <c r="MN6" s="1294"/>
      <c r="MO6" s="1294"/>
      <c r="MP6" s="1294"/>
      <c r="MQ6" s="1294"/>
      <c r="MR6" s="1294"/>
      <c r="MS6" s="1294"/>
      <c r="MT6" s="1294"/>
      <c r="MU6" s="1294"/>
      <c r="MV6" s="1294"/>
      <c r="MW6" s="1294"/>
      <c r="MX6" s="1294"/>
      <c r="MY6" s="1294"/>
      <c r="MZ6" s="1294"/>
      <c r="NA6" s="1294"/>
      <c r="NB6" s="1294"/>
      <c r="NC6" s="1294"/>
      <c r="ND6" s="1294"/>
      <c r="NE6" s="1294"/>
      <c r="NF6" s="1294"/>
      <c r="NG6" s="1294"/>
      <c r="NH6" s="1294"/>
      <c r="NI6" s="1294"/>
      <c r="NJ6" s="1294"/>
      <c r="NK6" s="1294"/>
      <c r="NL6" s="1294"/>
      <c r="NM6" s="1294"/>
      <c r="NN6" s="1294"/>
      <c r="NO6" s="1294"/>
      <c r="NP6" s="1294"/>
      <c r="NQ6" s="1294"/>
      <c r="NR6" s="1294"/>
      <c r="NS6" s="1294"/>
      <c r="NT6" s="1294"/>
      <c r="NU6" s="1294"/>
      <c r="NV6" s="1294"/>
      <c r="NW6" s="1294"/>
      <c r="NX6" s="1294"/>
      <c r="NY6" s="1294"/>
      <c r="NZ6" s="1294"/>
      <c r="OA6" s="1294"/>
      <c r="OB6" s="1294"/>
      <c r="OC6" s="1294"/>
      <c r="OD6" s="1294"/>
      <c r="OE6" s="1294"/>
      <c r="OF6" s="1294"/>
      <c r="OG6" s="1294"/>
      <c r="OH6" s="1294"/>
      <c r="OI6" s="1294"/>
      <c r="OJ6" s="1294"/>
      <c r="OK6" s="1294"/>
      <c r="OL6" s="1294"/>
      <c r="OM6" s="1294"/>
      <c r="ON6" s="1294"/>
      <c r="OO6" s="1294"/>
      <c r="OP6" s="1294"/>
      <c r="OQ6" s="1294"/>
      <c r="OR6" s="1294"/>
      <c r="OS6" s="1294"/>
      <c r="OT6" s="1294"/>
      <c r="OU6" s="1294"/>
      <c r="OV6" s="1294"/>
      <c r="OW6" s="1294"/>
      <c r="OX6" s="1294"/>
      <c r="OY6" s="1294"/>
      <c r="OZ6" s="1294"/>
      <c r="PA6" s="1294"/>
      <c r="PB6" s="1294"/>
      <c r="PC6" s="1294"/>
      <c r="PD6" s="1294"/>
      <c r="PE6" s="1294"/>
      <c r="PF6" s="1294"/>
      <c r="PG6" s="1294"/>
      <c r="PH6" s="1294"/>
      <c r="PI6" s="1294"/>
      <c r="PJ6" s="1294"/>
      <c r="PK6" s="1294"/>
      <c r="PL6" s="1294"/>
      <c r="PM6" s="1294"/>
      <c r="PN6" s="1294"/>
      <c r="PO6" s="1294"/>
      <c r="PP6" s="1294"/>
      <c r="PQ6" s="1294"/>
      <c r="PR6" s="1294"/>
      <c r="PS6" s="1294"/>
      <c r="PT6" s="1294"/>
      <c r="PU6" s="1294"/>
      <c r="PV6" s="1294"/>
      <c r="PW6" s="1294"/>
      <c r="PX6" s="1294"/>
      <c r="PY6" s="1294"/>
      <c r="PZ6" s="1294"/>
      <c r="QA6" s="1294"/>
      <c r="QB6" s="1294"/>
      <c r="QC6" s="1294"/>
      <c r="QD6" s="1294"/>
      <c r="QE6" s="1294"/>
      <c r="QF6" s="1294"/>
      <c r="QG6" s="1294"/>
      <c r="QH6" s="1294"/>
      <c r="QI6" s="1294"/>
      <c r="QJ6" s="1294"/>
      <c r="QK6" s="1294"/>
      <c r="QL6" s="1294"/>
      <c r="QM6" s="1294"/>
      <c r="QN6" s="1294"/>
      <c r="QO6" s="1294"/>
      <c r="QP6" s="1294"/>
      <c r="QQ6" s="1294"/>
      <c r="QR6" s="1294"/>
      <c r="QS6" s="1294"/>
      <c r="QT6" s="1294"/>
      <c r="QU6" s="1294"/>
      <c r="QV6" s="1294"/>
      <c r="QW6" s="1294"/>
      <c r="QX6" s="1294"/>
      <c r="QY6" s="1294"/>
      <c r="QZ6" s="1294"/>
      <c r="RA6" s="1294"/>
      <c r="RB6" s="1294"/>
      <c r="RC6" s="1294"/>
      <c r="RD6" s="1294"/>
      <c r="RE6" s="1294"/>
      <c r="RF6" s="1294"/>
      <c r="RG6" s="1294"/>
      <c r="RH6" s="1294"/>
      <c r="RI6" s="1294"/>
      <c r="RJ6" s="1294"/>
      <c r="RK6" s="1294"/>
      <c r="RL6" s="1294"/>
      <c r="RM6" s="1294"/>
      <c r="RN6" s="1294"/>
      <c r="RO6" s="1294"/>
      <c r="RP6" s="1294"/>
      <c r="RQ6" s="1294"/>
      <c r="RR6" s="1294"/>
      <c r="RS6" s="1294"/>
      <c r="RT6" s="1294"/>
      <c r="RU6" s="1294"/>
      <c r="RV6" s="1294"/>
      <c r="RW6" s="1294"/>
      <c r="RX6" s="1294"/>
      <c r="RY6" s="1294"/>
      <c r="RZ6" s="1294"/>
      <c r="SA6" s="1294"/>
      <c r="SB6" s="1294"/>
      <c r="SC6" s="1294"/>
      <c r="SD6" s="1294"/>
      <c r="SE6" s="1294"/>
      <c r="SF6" s="1294"/>
      <c r="SG6" s="1294"/>
      <c r="SH6" s="1294"/>
      <c r="SI6" s="1294"/>
      <c r="SJ6" s="1294"/>
      <c r="SK6" s="1294"/>
      <c r="SL6" s="1294"/>
      <c r="SM6" s="1294"/>
      <c r="SN6" s="1294"/>
      <c r="SO6" s="1294"/>
      <c r="SP6" s="1294"/>
      <c r="SQ6" s="1294"/>
      <c r="SR6" s="1294"/>
      <c r="SS6" s="1294"/>
      <c r="ST6" s="1294"/>
      <c r="SU6" s="1294"/>
      <c r="SV6" s="1294"/>
      <c r="SW6" s="1294"/>
      <c r="SX6" s="1294"/>
      <c r="SY6" s="1294"/>
      <c r="SZ6" s="1294"/>
      <c r="TA6" s="1294"/>
      <c r="TB6" s="1294"/>
      <c r="TC6" s="1294"/>
      <c r="TD6" s="1294"/>
      <c r="TE6" s="1294"/>
      <c r="TF6" s="1294"/>
      <c r="TG6" s="1294"/>
      <c r="TH6" s="1294"/>
      <c r="TI6" s="1294"/>
      <c r="TJ6" s="1294"/>
      <c r="TK6" s="1294"/>
      <c r="TL6" s="1294"/>
      <c r="TM6" s="1294"/>
      <c r="TN6" s="1294"/>
      <c r="TO6" s="1294"/>
      <c r="TP6" s="1294"/>
      <c r="TQ6" s="1294"/>
      <c r="TR6" s="1294"/>
      <c r="TS6" s="1294"/>
      <c r="TT6" s="1294"/>
      <c r="TU6" s="1294"/>
      <c r="TV6" s="1294"/>
      <c r="TW6" s="1294"/>
      <c r="TX6" s="1294"/>
      <c r="TY6" s="1294"/>
      <c r="TZ6" s="1294"/>
      <c r="UA6" s="1294"/>
      <c r="UB6" s="1294"/>
      <c r="UC6" s="1294"/>
      <c r="UD6" s="1294"/>
      <c r="UE6" s="1294"/>
      <c r="UF6" s="1294"/>
      <c r="UG6" s="1294"/>
      <c r="UH6" s="1294"/>
      <c r="UI6" s="1294"/>
      <c r="UJ6" s="1294"/>
      <c r="UK6" s="1294"/>
      <c r="UL6" s="1294"/>
      <c r="UM6" s="1294"/>
      <c r="UN6" s="1294"/>
      <c r="UO6" s="1294"/>
      <c r="UP6" s="1294"/>
      <c r="UQ6" s="1294"/>
      <c r="UR6" s="1294"/>
      <c r="US6" s="1294"/>
      <c r="UT6" s="1294"/>
      <c r="UU6" s="1294"/>
      <c r="UV6" s="1294"/>
      <c r="UW6" s="1294"/>
      <c r="UX6" s="1294"/>
      <c r="UY6" s="1294"/>
      <c r="UZ6" s="1294"/>
      <c r="VA6" s="1307"/>
      <c r="VB6" s="1512" t="s">
        <v>904</v>
      </c>
      <c r="VC6" s="1513"/>
      <c r="VD6" s="1513"/>
      <c r="VE6" s="1513"/>
      <c r="VF6" s="1513"/>
      <c r="VG6" s="1513"/>
      <c r="VH6" s="1513"/>
      <c r="VI6" s="1513"/>
      <c r="VJ6" s="1513"/>
      <c r="VK6" s="1513"/>
      <c r="VL6" s="1513"/>
      <c r="VM6" s="1513"/>
      <c r="VN6" s="1114"/>
      <c r="VO6" s="1114"/>
      <c r="VP6" s="1114"/>
      <c r="VQ6" s="1114"/>
      <c r="VR6" s="1114"/>
      <c r="VS6" s="1114"/>
      <c r="VT6" s="1114"/>
      <c r="VU6" s="1114"/>
      <c r="VV6" s="1114"/>
      <c r="VW6" s="1114"/>
      <c r="VX6" s="1114"/>
      <c r="VY6" s="1114"/>
      <c r="VZ6" s="1114"/>
      <c r="WA6" s="1114"/>
      <c r="WB6" s="1114"/>
      <c r="WC6" s="1114"/>
      <c r="WD6" s="1114"/>
      <c r="WE6" s="1114"/>
      <c r="WF6" s="1114"/>
      <c r="WG6" s="1114"/>
      <c r="WH6" s="1114"/>
      <c r="WI6" s="1114"/>
      <c r="WJ6" s="1582" t="s">
        <v>905</v>
      </c>
      <c r="WK6" s="1583"/>
      <c r="WL6" s="1583"/>
      <c r="WM6" s="1583"/>
      <c r="WN6" s="1583"/>
      <c r="WO6" s="1583"/>
      <c r="WP6" s="1583"/>
      <c r="WQ6" s="1583"/>
      <c r="WR6" s="1583"/>
      <c r="WS6" s="1583"/>
      <c r="WT6" s="1583"/>
      <c r="WU6" s="1583"/>
      <c r="WV6" s="1583"/>
      <c r="WW6" s="1583"/>
      <c r="WX6" s="1583"/>
      <c r="WY6" s="1583"/>
      <c r="WZ6" s="1583"/>
      <c r="XA6" s="1583"/>
      <c r="XB6" s="1294"/>
      <c r="XC6" s="1294"/>
      <c r="XD6" s="1294"/>
      <c r="XE6" s="1294"/>
      <c r="XF6" s="1294"/>
      <c r="XG6" s="1294"/>
      <c r="XH6" s="1294"/>
      <c r="XI6" s="1294"/>
      <c r="XJ6" s="1294"/>
      <c r="XK6" s="1294"/>
      <c r="XL6" s="1294"/>
      <c r="XM6" s="1294"/>
      <c r="XN6" s="1294"/>
      <c r="XO6" s="1294"/>
      <c r="XP6" s="1294"/>
      <c r="XQ6" s="1294"/>
      <c r="XR6" s="1294"/>
      <c r="XS6" s="1294"/>
      <c r="XT6" s="1294"/>
      <c r="XU6" s="1294"/>
      <c r="XV6" s="1294"/>
      <c r="XW6" s="1294"/>
      <c r="XX6" s="1294"/>
      <c r="XY6" s="1294"/>
      <c r="XZ6" s="1294"/>
      <c r="YA6" s="1294"/>
      <c r="YB6" s="1294"/>
      <c r="YC6" s="1294"/>
      <c r="YD6" s="1294"/>
      <c r="YE6" s="1294"/>
      <c r="YF6" s="1294"/>
      <c r="YG6" s="1294"/>
      <c r="YH6" s="1294"/>
      <c r="YI6" s="1294"/>
      <c r="YJ6" s="1294"/>
      <c r="YK6" s="1294"/>
      <c r="YL6" s="1294"/>
      <c r="YM6" s="1294"/>
      <c r="YN6" s="1294"/>
      <c r="YO6" s="1294"/>
      <c r="YP6" s="1294"/>
      <c r="YQ6" s="1294"/>
      <c r="YR6" s="1294"/>
      <c r="YS6" s="1294"/>
      <c r="YT6" s="1294"/>
      <c r="YU6" s="1294"/>
      <c r="YV6" s="1294"/>
      <c r="YW6" s="1294"/>
      <c r="YX6" s="1294"/>
      <c r="YY6" s="1294"/>
      <c r="YZ6" s="1294"/>
      <c r="ZA6" s="1294"/>
      <c r="ZB6" s="1294"/>
      <c r="ZC6" s="1294"/>
      <c r="ZD6" s="1294"/>
      <c r="ZE6" s="1294"/>
      <c r="ZF6" s="1294"/>
      <c r="ZG6" s="1294"/>
      <c r="ZH6" s="1294"/>
      <c r="ZI6" s="1294"/>
      <c r="ZJ6" s="1294"/>
      <c r="ZK6" s="1294"/>
      <c r="ZL6" s="1294"/>
      <c r="ZM6" s="1294"/>
      <c r="ZN6" s="1294"/>
      <c r="ZO6" s="1294"/>
      <c r="ZP6" s="1294"/>
      <c r="ZQ6" s="1294"/>
      <c r="ZR6" s="1294"/>
      <c r="ZS6" s="1294"/>
      <c r="ZT6" s="1294"/>
      <c r="ZU6" s="1294"/>
      <c r="ZV6" s="1294"/>
      <c r="ZW6" s="1294"/>
      <c r="ZX6" s="1294"/>
      <c r="ZY6" s="1294"/>
      <c r="ZZ6" s="1294"/>
      <c r="AAA6" s="1294"/>
      <c r="AAB6" s="1515" t="s">
        <v>264</v>
      </c>
      <c r="AAC6" s="1515" t="s">
        <v>268</v>
      </c>
      <c r="AAD6" s="1572" t="s">
        <v>906</v>
      </c>
      <c r="AAE6" s="1573"/>
      <c r="AAF6" s="1573"/>
      <c r="AAG6" s="1573"/>
      <c r="AAH6" s="1573"/>
      <c r="AAI6" s="1573"/>
      <c r="AAJ6" s="1573"/>
      <c r="AAK6" s="1574"/>
      <c r="AAL6" s="1578" t="s">
        <v>907</v>
      </c>
      <c r="AAM6" s="1579"/>
      <c r="AAN6" s="1579"/>
      <c r="AAO6" s="1579"/>
      <c r="AAP6" s="1579"/>
      <c r="AAQ6" s="1579"/>
      <c r="AAR6" s="1579"/>
      <c r="AAS6" s="1580"/>
      <c r="AAT6" s="791"/>
      <c r="AAU6" s="791"/>
    </row>
    <row r="7" spans="1:723" ht="36" customHeight="1" thickBot="1" x14ac:dyDescent="0.3">
      <c r="A7" s="1516"/>
      <c r="B7" s="1522"/>
      <c r="C7" s="1523"/>
      <c r="D7" s="1515" t="s">
        <v>264</v>
      </c>
      <c r="E7" s="1515" t="s">
        <v>268</v>
      </c>
      <c r="F7" s="1563" t="s">
        <v>908</v>
      </c>
      <c r="G7" s="1571"/>
      <c r="H7" s="1571"/>
      <c r="I7" s="1571"/>
      <c r="J7" s="1571"/>
      <c r="K7" s="1571"/>
      <c r="L7" s="1571"/>
      <c r="M7" s="1581"/>
      <c r="N7" s="1563" t="s">
        <v>909</v>
      </c>
      <c r="O7" s="1571"/>
      <c r="P7" s="1571"/>
      <c r="Q7" s="1571"/>
      <c r="R7" s="1571"/>
      <c r="S7" s="1571"/>
      <c r="T7" s="1571"/>
      <c r="U7" s="1571"/>
      <c r="V7" s="1563" t="s">
        <v>910</v>
      </c>
      <c r="W7" s="1571"/>
      <c r="X7" s="1571"/>
      <c r="Y7" s="1571"/>
      <c r="Z7" s="1571"/>
      <c r="AA7" s="1571"/>
      <c r="AB7" s="1571"/>
      <c r="AC7" s="1571"/>
      <c r="AD7" s="1571"/>
      <c r="AE7" s="1571"/>
      <c r="AF7" s="1571"/>
      <c r="AG7" s="1571"/>
      <c r="AH7" s="1571"/>
      <c r="AI7" s="1571"/>
      <c r="AJ7" s="1571"/>
      <c r="AK7" s="1571"/>
      <c r="AL7" s="1571"/>
      <c r="AM7" s="1581"/>
      <c r="AN7" s="1516" t="s">
        <v>264</v>
      </c>
      <c r="AO7" s="1516" t="s">
        <v>268</v>
      </c>
      <c r="AP7" s="1512" t="s">
        <v>911</v>
      </c>
      <c r="AQ7" s="1513"/>
      <c r="AR7" s="1513"/>
      <c r="AS7" s="1513"/>
      <c r="AT7" s="1513"/>
      <c r="AU7" s="1513"/>
      <c r="AV7" s="1513"/>
      <c r="AW7" s="1513"/>
      <c r="AX7" s="1513"/>
      <c r="AY7" s="1513"/>
      <c r="AZ7" s="1512" t="s">
        <v>912</v>
      </c>
      <c r="BA7" s="1513"/>
      <c r="BB7" s="1513"/>
      <c r="BC7" s="1513"/>
      <c r="BD7" s="1513"/>
      <c r="BE7" s="1513"/>
      <c r="BF7" s="1513"/>
      <c r="BG7" s="1513"/>
      <c r="BH7" s="1513"/>
      <c r="BI7" s="1513"/>
      <c r="BJ7" s="1513"/>
      <c r="BK7" s="1514"/>
      <c r="BL7" s="1512" t="s">
        <v>269</v>
      </c>
      <c r="BM7" s="1513"/>
      <c r="BN7" s="1513"/>
      <c r="BO7" s="1513"/>
      <c r="BP7" s="1513"/>
      <c r="BQ7" s="1513"/>
      <c r="BR7" s="1513"/>
      <c r="BS7" s="1514"/>
      <c r="BT7" s="1512" t="s">
        <v>913</v>
      </c>
      <c r="BU7" s="1513"/>
      <c r="BV7" s="1513"/>
      <c r="BW7" s="1513"/>
      <c r="BX7" s="1513"/>
      <c r="BY7" s="1514"/>
      <c r="BZ7" s="1512" t="s">
        <v>914</v>
      </c>
      <c r="CA7" s="1513"/>
      <c r="CB7" s="1513"/>
      <c r="CC7" s="1513"/>
      <c r="CD7" s="1513"/>
      <c r="CE7" s="1513"/>
      <c r="CF7" s="1513"/>
      <c r="CG7" s="1514"/>
      <c r="CH7" s="1512" t="s">
        <v>915</v>
      </c>
      <c r="CI7" s="1513"/>
      <c r="CJ7" s="1513"/>
      <c r="CK7" s="1513"/>
      <c r="CL7" s="1513"/>
      <c r="CM7" s="1514"/>
      <c r="CN7" s="1512" t="s">
        <v>271</v>
      </c>
      <c r="CO7" s="1513"/>
      <c r="CP7" s="1513"/>
      <c r="CQ7" s="1513"/>
      <c r="CR7" s="1513"/>
      <c r="CS7" s="1513"/>
      <c r="CT7" s="1513"/>
      <c r="CU7" s="1513"/>
      <c r="CV7" s="1513"/>
      <c r="CW7" s="1513"/>
      <c r="CX7" s="1513"/>
      <c r="CY7" s="1513"/>
      <c r="CZ7" s="1513"/>
      <c r="DA7" s="1513"/>
      <c r="DB7" s="1513"/>
      <c r="DC7" s="1513"/>
      <c r="DD7" s="1513"/>
      <c r="DE7" s="1513"/>
      <c r="DF7" s="1513"/>
      <c r="DG7" s="1513"/>
      <c r="DH7" s="1513"/>
      <c r="DI7" s="1513"/>
      <c r="DJ7" s="1513"/>
      <c r="DK7" s="1513"/>
      <c r="DL7" s="1512" t="s">
        <v>916</v>
      </c>
      <c r="DM7" s="1513"/>
      <c r="DN7" s="1513"/>
      <c r="DO7" s="1513"/>
      <c r="DP7" s="1513"/>
      <c r="DQ7" s="1513"/>
      <c r="DR7" s="1513"/>
      <c r="DS7" s="1514"/>
      <c r="DT7" s="1512" t="s">
        <v>272</v>
      </c>
      <c r="DU7" s="1513"/>
      <c r="DV7" s="1513"/>
      <c r="DW7" s="1513"/>
      <c r="DX7" s="1513"/>
      <c r="DY7" s="1514"/>
      <c r="DZ7" s="1584" t="s">
        <v>273</v>
      </c>
      <c r="EA7" s="1585"/>
      <c r="EB7" s="1585"/>
      <c r="EC7" s="1585"/>
      <c r="ED7" s="1585"/>
      <c r="EE7" s="1585"/>
      <c r="EF7" s="1512" t="s">
        <v>274</v>
      </c>
      <c r="EG7" s="1513"/>
      <c r="EH7" s="1513"/>
      <c r="EI7" s="1513"/>
      <c r="EJ7" s="1513"/>
      <c r="EK7" s="1513"/>
      <c r="EL7" s="1513"/>
      <c r="EM7" s="1514"/>
      <c r="EN7" s="1512" t="s">
        <v>917</v>
      </c>
      <c r="EO7" s="1513"/>
      <c r="EP7" s="1513"/>
      <c r="EQ7" s="1513"/>
      <c r="ER7" s="1513"/>
      <c r="ES7" s="1514"/>
      <c r="ET7" s="1512" t="s">
        <v>918</v>
      </c>
      <c r="EU7" s="1513"/>
      <c r="EV7" s="1513"/>
      <c r="EW7" s="1513"/>
      <c r="EX7" s="1513"/>
      <c r="EY7" s="1513"/>
      <c r="EZ7" s="1513"/>
      <c r="FA7" s="1513"/>
      <c r="FB7" s="1513"/>
      <c r="FC7" s="1513"/>
      <c r="FD7" s="1513"/>
      <c r="FE7" s="1513"/>
      <c r="FF7" s="1513"/>
      <c r="FG7" s="1513"/>
      <c r="FH7" s="1513"/>
      <c r="FI7" s="1513"/>
      <c r="FJ7" s="1513"/>
      <c r="FK7" s="1513"/>
      <c r="FL7" s="1513"/>
      <c r="FM7" s="1513"/>
      <c r="FN7" s="1513"/>
      <c r="FO7" s="1513"/>
      <c r="FP7" s="1513"/>
      <c r="FQ7" s="1514"/>
      <c r="FR7" s="1512" t="s">
        <v>277</v>
      </c>
      <c r="FS7" s="1513"/>
      <c r="FT7" s="1513"/>
      <c r="FU7" s="1513"/>
      <c r="FV7" s="1513"/>
      <c r="FW7" s="1514"/>
      <c r="FX7" s="1512" t="s">
        <v>278</v>
      </c>
      <c r="FY7" s="1513"/>
      <c r="FZ7" s="1513"/>
      <c r="GA7" s="1513"/>
      <c r="GB7" s="1513"/>
      <c r="GC7" s="1513"/>
      <c r="GD7" s="1513"/>
      <c r="GE7" s="1513"/>
      <c r="GF7" s="1513"/>
      <c r="GG7" s="1513"/>
      <c r="GH7" s="1513"/>
      <c r="GI7" s="1513"/>
      <c r="GJ7" s="1513"/>
      <c r="GK7" s="1513"/>
      <c r="GL7" s="1513"/>
      <c r="GM7" s="1514"/>
      <c r="GN7" s="1512" t="s">
        <v>279</v>
      </c>
      <c r="GO7" s="1513"/>
      <c r="GP7" s="1513"/>
      <c r="GQ7" s="1513"/>
      <c r="GR7" s="1513"/>
      <c r="GS7" s="1513"/>
      <c r="GT7" s="1513"/>
      <c r="GU7" s="1513"/>
      <c r="GV7" s="1513"/>
      <c r="GW7" s="1513"/>
      <c r="GX7" s="1513"/>
      <c r="GY7" s="1513"/>
      <c r="GZ7" s="1513"/>
      <c r="HA7" s="1513"/>
      <c r="HB7" s="1513"/>
      <c r="HC7" s="1514"/>
      <c r="HD7" s="1512" t="s">
        <v>919</v>
      </c>
      <c r="HE7" s="1513"/>
      <c r="HF7" s="1513"/>
      <c r="HG7" s="1513"/>
      <c r="HH7" s="1513"/>
      <c r="HI7" s="1514"/>
      <c r="HJ7" s="1512" t="s">
        <v>280</v>
      </c>
      <c r="HK7" s="1513"/>
      <c r="HL7" s="1513"/>
      <c r="HM7" s="1513"/>
      <c r="HN7" s="1513"/>
      <c r="HO7" s="1513"/>
      <c r="HP7" s="1513"/>
      <c r="HQ7" s="1513"/>
      <c r="HR7" s="1513"/>
      <c r="HS7" s="1513"/>
      <c r="HT7" s="1513"/>
      <c r="HU7" s="1513"/>
      <c r="HV7" s="1513"/>
      <c r="HW7" s="1513"/>
      <c r="HX7" s="1513"/>
      <c r="HY7" s="1513"/>
      <c r="HZ7" s="1513"/>
      <c r="IA7" s="1513"/>
      <c r="IB7" s="1513"/>
      <c r="IC7" s="1513"/>
      <c r="ID7" s="1513"/>
      <c r="IE7" s="1513"/>
      <c r="IF7" s="1513"/>
      <c r="IG7" s="1514"/>
      <c r="IH7" s="1512" t="s">
        <v>281</v>
      </c>
      <c r="II7" s="1513"/>
      <c r="IJ7" s="1513"/>
      <c r="IK7" s="1513"/>
      <c r="IL7" s="1513"/>
      <c r="IM7" s="1513"/>
      <c r="IN7" s="1513"/>
      <c r="IO7" s="1513"/>
      <c r="IP7" s="1513"/>
      <c r="IQ7" s="1513"/>
      <c r="IR7" s="1513"/>
      <c r="IS7" s="1513"/>
      <c r="IT7" s="1513"/>
      <c r="IU7" s="1513"/>
      <c r="IV7" s="1513"/>
      <c r="IW7" s="1514"/>
      <c r="IX7" s="1512" t="s">
        <v>282</v>
      </c>
      <c r="IY7" s="1513"/>
      <c r="IZ7" s="1513"/>
      <c r="JA7" s="1513"/>
      <c r="JB7" s="1513"/>
      <c r="JC7" s="1513"/>
      <c r="JD7" s="1512" t="s">
        <v>920</v>
      </c>
      <c r="JE7" s="1513"/>
      <c r="JF7" s="1513"/>
      <c r="JG7" s="1513"/>
      <c r="JH7" s="1513"/>
      <c r="JI7" s="1513"/>
      <c r="JJ7" s="1512" t="s">
        <v>921</v>
      </c>
      <c r="JK7" s="1513"/>
      <c r="JL7" s="1513"/>
      <c r="JM7" s="1513"/>
      <c r="JN7" s="1513"/>
      <c r="JO7" s="1513"/>
      <c r="JP7" s="1513"/>
      <c r="JQ7" s="1513"/>
      <c r="JR7" s="1513"/>
      <c r="JS7" s="1513"/>
      <c r="JT7" s="1513"/>
      <c r="JU7" s="1513"/>
      <c r="JV7" s="1513"/>
      <c r="JW7" s="1513"/>
      <c r="JX7" s="1513"/>
      <c r="JY7" s="1513"/>
      <c r="JZ7" s="1513"/>
      <c r="KA7" s="1513"/>
      <c r="KB7" s="1513"/>
      <c r="KC7" s="1513"/>
      <c r="KD7" s="1513"/>
      <c r="KE7" s="1513"/>
      <c r="KF7" s="1513"/>
      <c r="KG7" s="1514"/>
      <c r="KH7" s="1512" t="s">
        <v>285</v>
      </c>
      <c r="KI7" s="1513"/>
      <c r="KJ7" s="1513"/>
      <c r="KK7" s="1513"/>
      <c r="KL7" s="1513"/>
      <c r="KM7" s="1513"/>
      <c r="KN7" s="1513"/>
      <c r="KO7" s="1513"/>
      <c r="KP7" s="1513"/>
      <c r="KQ7" s="1513"/>
      <c r="KR7" s="1513"/>
      <c r="KS7" s="1513"/>
      <c r="KT7" s="1513"/>
      <c r="KU7" s="1513"/>
      <c r="KV7" s="1513"/>
      <c r="KW7" s="1513"/>
      <c r="KX7" s="1513"/>
      <c r="KY7" s="1513"/>
      <c r="KZ7" s="1513"/>
      <c r="LA7" s="1513"/>
      <c r="LB7" s="1513"/>
      <c r="LC7" s="1513"/>
      <c r="LD7" s="1513"/>
      <c r="LE7" s="1513"/>
      <c r="LF7" s="1513"/>
      <c r="LG7" s="1513"/>
      <c r="LH7" s="1513"/>
      <c r="LI7" s="1513"/>
      <c r="LJ7" s="1513"/>
      <c r="LK7" s="1513"/>
      <c r="LL7" s="1513"/>
      <c r="LM7" s="1513"/>
      <c r="LN7" s="1512" t="s">
        <v>286</v>
      </c>
      <c r="LO7" s="1513"/>
      <c r="LP7" s="1513"/>
      <c r="LQ7" s="1513"/>
      <c r="LR7" s="1513"/>
      <c r="LS7" s="1513"/>
      <c r="LT7" s="1513"/>
      <c r="LU7" s="1513"/>
      <c r="LV7" s="1513"/>
      <c r="LW7" s="1513"/>
      <c r="LX7" s="1513"/>
      <c r="LY7" s="1513"/>
      <c r="LZ7" s="1513"/>
      <c r="MA7" s="1513"/>
      <c r="MB7" s="1513"/>
      <c r="MC7" s="1513"/>
      <c r="MD7" s="1513"/>
      <c r="ME7" s="1513"/>
      <c r="MF7" s="1513"/>
      <c r="MG7" s="1513"/>
      <c r="MH7" s="1513"/>
      <c r="MI7" s="1513"/>
      <c r="MJ7" s="1513"/>
      <c r="MK7" s="1513"/>
      <c r="ML7" s="1513"/>
      <c r="MM7" s="1513"/>
      <c r="MN7" s="1513"/>
      <c r="MO7" s="1513"/>
      <c r="MP7" s="1513"/>
      <c r="MQ7" s="1513"/>
      <c r="MR7" s="1513"/>
      <c r="MS7" s="1514"/>
      <c r="MT7" s="1512" t="s">
        <v>287</v>
      </c>
      <c r="MU7" s="1513"/>
      <c r="MV7" s="1513"/>
      <c r="MW7" s="1513"/>
      <c r="MX7" s="1513"/>
      <c r="MY7" s="1513"/>
      <c r="MZ7" s="1513"/>
      <c r="NA7" s="1513"/>
      <c r="NB7" s="1513"/>
      <c r="NC7" s="1513"/>
      <c r="ND7" s="1513"/>
      <c r="NE7" s="1513"/>
      <c r="NF7" s="1513"/>
      <c r="NG7" s="1513"/>
      <c r="NH7" s="1513"/>
      <c r="NI7" s="1513"/>
      <c r="NJ7" s="1513"/>
      <c r="NK7" s="1513"/>
      <c r="NL7" s="1513"/>
      <c r="NM7" s="1513"/>
      <c r="NN7" s="1513"/>
      <c r="NO7" s="1513"/>
      <c r="NP7" s="1513"/>
      <c r="NQ7" s="1513"/>
      <c r="NR7" s="1513"/>
      <c r="NS7" s="1513"/>
      <c r="NT7" s="1513"/>
      <c r="NU7" s="1513"/>
      <c r="NV7" s="1513"/>
      <c r="NW7" s="1513"/>
      <c r="NX7" s="1513"/>
      <c r="NY7" s="1513"/>
      <c r="NZ7" s="1513"/>
      <c r="OA7" s="1513"/>
      <c r="OB7" s="1512" t="s">
        <v>288</v>
      </c>
      <c r="OC7" s="1513"/>
      <c r="OD7" s="1513"/>
      <c r="OE7" s="1513"/>
      <c r="OF7" s="1513"/>
      <c r="OG7" s="1513"/>
      <c r="OH7" s="1513"/>
      <c r="OI7" s="1514"/>
      <c r="OJ7" s="1512" t="s">
        <v>922</v>
      </c>
      <c r="OK7" s="1513"/>
      <c r="OL7" s="1513"/>
      <c r="OM7" s="1513"/>
      <c r="ON7" s="1513"/>
      <c r="OO7" s="1513"/>
      <c r="OP7" s="1513"/>
      <c r="OQ7" s="1513"/>
      <c r="OR7" s="1513"/>
      <c r="OS7" s="1513"/>
      <c r="OT7" s="1513"/>
      <c r="OU7" s="1513"/>
      <c r="OV7" s="1513"/>
      <c r="OW7" s="1513"/>
      <c r="OX7" s="1513"/>
      <c r="OY7" s="1513"/>
      <c r="OZ7" s="1513"/>
      <c r="PA7" s="1513"/>
      <c r="PB7" s="1513"/>
      <c r="PC7" s="1513"/>
      <c r="PD7" s="1513"/>
      <c r="PE7" s="1513"/>
      <c r="PF7" s="1513"/>
      <c r="PG7" s="1513"/>
      <c r="PH7" s="1513"/>
      <c r="PI7" s="1513"/>
      <c r="PJ7" s="1513"/>
      <c r="PK7" s="1513"/>
      <c r="PL7" s="1513"/>
      <c r="PM7" s="1513"/>
      <c r="PN7" s="1513"/>
      <c r="PO7" s="1514"/>
      <c r="PP7" s="1512" t="s">
        <v>290</v>
      </c>
      <c r="PQ7" s="1513"/>
      <c r="PR7" s="1513"/>
      <c r="PS7" s="1513"/>
      <c r="PT7" s="1513"/>
      <c r="PU7" s="1513"/>
      <c r="PV7" s="1513"/>
      <c r="PW7" s="1513"/>
      <c r="PX7" s="1513"/>
      <c r="PY7" s="1513"/>
      <c r="PZ7" s="1513"/>
      <c r="QA7" s="1513"/>
      <c r="QB7" s="1513"/>
      <c r="QC7" s="1513"/>
      <c r="QD7" s="1513"/>
      <c r="QE7" s="1513"/>
      <c r="QF7" s="1513"/>
      <c r="QG7" s="1513"/>
      <c r="QH7" s="1513"/>
      <c r="QI7" s="1513"/>
      <c r="QJ7" s="1513"/>
      <c r="QK7" s="1513"/>
      <c r="QL7" s="1513"/>
      <c r="QM7" s="1513"/>
      <c r="QN7" s="1513"/>
      <c r="QO7" s="1513"/>
      <c r="QP7" s="1513"/>
      <c r="QQ7" s="1514"/>
      <c r="QR7" s="1512" t="s">
        <v>291</v>
      </c>
      <c r="QS7" s="1513"/>
      <c r="QT7" s="1513"/>
      <c r="QU7" s="1513"/>
      <c r="QV7" s="1513"/>
      <c r="QW7" s="1513"/>
      <c r="QX7" s="1512" t="s">
        <v>292</v>
      </c>
      <c r="QY7" s="1513"/>
      <c r="QZ7" s="1513"/>
      <c r="RA7" s="1513"/>
      <c r="RB7" s="1513"/>
      <c r="RC7" s="1513"/>
      <c r="RD7" s="1513"/>
      <c r="RE7" s="1513"/>
      <c r="RF7" s="1513"/>
      <c r="RG7" s="1513"/>
      <c r="RH7" s="1513"/>
      <c r="RI7" s="1513"/>
      <c r="RJ7" s="1513"/>
      <c r="RK7" s="1513"/>
      <c r="RL7" s="1513"/>
      <c r="RM7" s="1513"/>
      <c r="RN7" s="1513"/>
      <c r="RO7" s="1513"/>
      <c r="RP7" s="1513"/>
      <c r="RQ7" s="1513"/>
      <c r="RR7" s="1513"/>
      <c r="RS7" s="1513"/>
      <c r="RT7" s="1513"/>
      <c r="RU7" s="1514"/>
      <c r="RV7" s="1512" t="s">
        <v>725</v>
      </c>
      <c r="RW7" s="1513"/>
      <c r="RX7" s="1513"/>
      <c r="RY7" s="1513"/>
      <c r="RZ7" s="1513"/>
      <c r="SA7" s="1514"/>
      <c r="SB7" s="1512" t="s">
        <v>726</v>
      </c>
      <c r="SC7" s="1513"/>
      <c r="SD7" s="1513"/>
      <c r="SE7" s="1513"/>
      <c r="SF7" s="1513"/>
      <c r="SG7" s="1513"/>
      <c r="SH7" s="1513"/>
      <c r="SI7" s="1514"/>
      <c r="SJ7" s="1512" t="s">
        <v>727</v>
      </c>
      <c r="SK7" s="1513"/>
      <c r="SL7" s="1513"/>
      <c r="SM7" s="1513"/>
      <c r="SN7" s="1513"/>
      <c r="SO7" s="1514"/>
      <c r="SP7" s="1512" t="s">
        <v>296</v>
      </c>
      <c r="SQ7" s="1513"/>
      <c r="SR7" s="1513"/>
      <c r="SS7" s="1513"/>
      <c r="ST7" s="1513"/>
      <c r="SU7" s="1513"/>
      <c r="SV7" s="1513"/>
      <c r="SW7" s="1513"/>
      <c r="SX7" s="1513"/>
      <c r="SY7" s="1513"/>
      <c r="SZ7" s="1513"/>
      <c r="TA7" s="1513"/>
      <c r="TB7" s="1513"/>
      <c r="TC7" s="1513"/>
      <c r="TD7" s="1513"/>
      <c r="TE7" s="1513"/>
      <c r="TF7" s="1513"/>
      <c r="TG7" s="1513"/>
      <c r="TH7" s="1513"/>
      <c r="TI7" s="1513"/>
      <c r="TJ7" s="1513"/>
      <c r="TK7" s="1513"/>
      <c r="TL7" s="1513"/>
      <c r="TM7" s="1513"/>
      <c r="TN7" s="1513"/>
      <c r="TO7" s="1513"/>
      <c r="TP7" s="1513"/>
      <c r="TQ7" s="1513"/>
      <c r="TR7" s="1513"/>
      <c r="TS7" s="1513"/>
      <c r="TT7" s="1513"/>
      <c r="TU7" s="1513"/>
      <c r="TV7" s="1513"/>
      <c r="TW7" s="1513"/>
      <c r="TX7" s="1513"/>
      <c r="TY7" s="1513"/>
      <c r="TZ7" s="1513"/>
      <c r="UA7" s="1513"/>
      <c r="UB7" s="1513"/>
      <c r="UC7" s="1513"/>
      <c r="UD7" s="1513"/>
      <c r="UE7" s="1513"/>
      <c r="UF7" s="1513"/>
      <c r="UG7" s="1513"/>
      <c r="UH7" s="1513"/>
      <c r="UI7" s="1513"/>
      <c r="UJ7" s="1513"/>
      <c r="UK7" s="1513"/>
      <c r="UL7" s="1513"/>
      <c r="UM7" s="1513"/>
      <c r="UN7" s="1513"/>
      <c r="UO7" s="1513"/>
      <c r="UP7" s="1513"/>
      <c r="UQ7" s="1513"/>
      <c r="UR7" s="1513"/>
      <c r="US7" s="1514"/>
      <c r="UT7" s="1512" t="s">
        <v>923</v>
      </c>
      <c r="UU7" s="1513"/>
      <c r="UV7" s="1513"/>
      <c r="UW7" s="1513"/>
      <c r="UX7" s="1513"/>
      <c r="UY7" s="1513"/>
      <c r="UZ7" s="1513"/>
      <c r="VA7" s="1514"/>
      <c r="VB7" s="1516" t="s">
        <v>264</v>
      </c>
      <c r="VC7" s="1537" t="s">
        <v>924</v>
      </c>
      <c r="VD7" s="1601" t="s">
        <v>925</v>
      </c>
      <c r="VE7" s="1515" t="s">
        <v>268</v>
      </c>
      <c r="VF7" s="1538" t="s">
        <v>924</v>
      </c>
      <c r="VG7" s="1601" t="s">
        <v>925</v>
      </c>
      <c r="VH7" s="1522" t="s">
        <v>926</v>
      </c>
      <c r="VI7" s="1645"/>
      <c r="VJ7" s="1522" t="s">
        <v>927</v>
      </c>
      <c r="VK7" s="1645"/>
      <c r="VL7" s="1512" t="s">
        <v>928</v>
      </c>
      <c r="VM7" s="1513"/>
      <c r="VN7" s="1513"/>
      <c r="VO7" s="1514"/>
      <c r="VP7" s="1522" t="s">
        <v>929</v>
      </c>
      <c r="VQ7" s="1523"/>
      <c r="VR7" s="1522" t="s">
        <v>930</v>
      </c>
      <c r="VS7" s="1587"/>
      <c r="VT7" s="1512" t="s">
        <v>931</v>
      </c>
      <c r="VU7" s="1514"/>
      <c r="VV7" s="1512" t="s">
        <v>732</v>
      </c>
      <c r="VW7" s="1514"/>
      <c r="VX7" s="1512" t="s">
        <v>733</v>
      </c>
      <c r="VY7" s="1513"/>
      <c r="VZ7" s="1513"/>
      <c r="WA7" s="1513"/>
      <c r="WB7" s="1513"/>
      <c r="WC7" s="1514"/>
      <c r="WD7" s="1563" t="s">
        <v>932</v>
      </c>
      <c r="WE7" s="1571"/>
      <c r="WF7" s="1571"/>
      <c r="WG7" s="1571"/>
      <c r="WH7" s="1571"/>
      <c r="WI7" s="1571"/>
      <c r="WJ7" s="1518" t="s">
        <v>264</v>
      </c>
      <c r="WK7" s="1515" t="s">
        <v>268</v>
      </c>
      <c r="WL7" s="1612" t="s">
        <v>1361</v>
      </c>
      <c r="WM7" s="1613"/>
      <c r="WN7" s="1613"/>
      <c r="WO7" s="1613"/>
      <c r="WP7" s="1613"/>
      <c r="WQ7" s="1614"/>
      <c r="WR7" s="1522" t="s">
        <v>735</v>
      </c>
      <c r="WS7" s="1587"/>
      <c r="WT7" s="1587"/>
      <c r="WU7" s="1587"/>
      <c r="WV7" s="1587"/>
      <c r="WW7" s="1523"/>
      <c r="WX7" s="1512" t="s">
        <v>736</v>
      </c>
      <c r="WY7" s="1513"/>
      <c r="WZ7" s="1513"/>
      <c r="XA7" s="1513"/>
      <c r="XB7" s="1513"/>
      <c r="XC7" s="1514"/>
      <c r="XD7" s="1512" t="s">
        <v>737</v>
      </c>
      <c r="XE7" s="1513"/>
      <c r="XF7" s="1513"/>
      <c r="XG7" s="1513"/>
      <c r="XH7" s="1513"/>
      <c r="XI7" s="1514"/>
      <c r="XJ7" s="1512" t="s">
        <v>933</v>
      </c>
      <c r="XK7" s="1513"/>
      <c r="XL7" s="1513"/>
      <c r="XM7" s="1513"/>
      <c r="XN7" s="1513"/>
      <c r="XO7" s="1513"/>
      <c r="XP7" s="1513"/>
      <c r="XQ7" s="1513"/>
      <c r="XR7" s="1513"/>
      <c r="XS7" s="1513"/>
      <c r="XT7" s="1513"/>
      <c r="XU7" s="1514"/>
      <c r="XV7" s="1518" t="s">
        <v>934</v>
      </c>
      <c r="XW7" s="1519"/>
      <c r="XX7" s="1519"/>
      <c r="XY7" s="1519"/>
      <c r="XZ7" s="1519"/>
      <c r="YA7" s="1519"/>
      <c r="YB7" s="1519"/>
      <c r="YC7" s="1519"/>
      <c r="YD7" s="1519"/>
      <c r="YE7" s="1519"/>
      <c r="YF7" s="1519"/>
      <c r="YG7" s="1519"/>
      <c r="YH7" s="1519"/>
      <c r="YI7" s="1519"/>
      <c r="YJ7" s="1519"/>
      <c r="YK7" s="1519"/>
      <c r="YL7" s="1519"/>
      <c r="YM7" s="1519"/>
      <c r="YN7" s="1519"/>
      <c r="YO7" s="1519"/>
      <c r="YP7" s="1519"/>
      <c r="YQ7" s="1519"/>
      <c r="YR7" s="1519"/>
      <c r="YS7" s="1519"/>
      <c r="YT7" s="1519"/>
      <c r="YU7" s="1519"/>
      <c r="YV7" s="1519"/>
      <c r="YW7" s="1519"/>
      <c r="YX7" s="1519"/>
      <c r="YY7" s="1519"/>
      <c r="YZ7" s="1519"/>
      <c r="ZA7" s="1519"/>
      <c r="ZB7" s="1519"/>
      <c r="ZC7" s="1519"/>
      <c r="ZD7" s="1519"/>
      <c r="ZE7" s="1519"/>
      <c r="ZF7" s="1519"/>
      <c r="ZG7" s="1519"/>
      <c r="ZH7" s="1519"/>
      <c r="ZI7" s="1519"/>
      <c r="ZJ7" s="1519"/>
      <c r="ZK7" s="1519"/>
      <c r="ZL7" s="1519"/>
      <c r="ZM7" s="1519"/>
      <c r="ZN7" s="1519"/>
      <c r="ZO7" s="1519"/>
      <c r="ZP7" s="1519"/>
      <c r="ZQ7" s="1519"/>
      <c r="ZR7" s="1519"/>
      <c r="ZS7" s="1519"/>
      <c r="ZT7" s="1519"/>
      <c r="ZU7" s="1519"/>
      <c r="ZV7" s="1519"/>
      <c r="ZW7" s="1519"/>
      <c r="ZX7" s="1519"/>
      <c r="ZY7" s="1519"/>
      <c r="ZZ7" s="1519"/>
      <c r="AAA7" s="1519"/>
      <c r="AAB7" s="1516"/>
      <c r="AAC7" s="1516"/>
      <c r="AAD7" s="1575"/>
      <c r="AAE7" s="1576"/>
      <c r="AAF7" s="1576"/>
      <c r="AAG7" s="1576"/>
      <c r="AAH7" s="1576"/>
      <c r="AAI7" s="1576"/>
      <c r="AAJ7" s="1576"/>
      <c r="AAK7" s="1577"/>
      <c r="AAL7" s="1575"/>
      <c r="AAM7" s="1576"/>
      <c r="AAN7" s="1576"/>
      <c r="AAO7" s="1576"/>
      <c r="AAP7" s="1576"/>
      <c r="AAQ7" s="1576"/>
      <c r="AAR7" s="1576"/>
      <c r="AAS7" s="1577"/>
      <c r="AAT7" s="791"/>
      <c r="AAU7" s="791"/>
    </row>
    <row r="8" spans="1:723" ht="95.25" customHeight="1" thickBot="1" x14ac:dyDescent="0.3">
      <c r="A8" s="1516"/>
      <c r="B8" s="1518" t="s">
        <v>935</v>
      </c>
      <c r="C8" s="1559"/>
      <c r="D8" s="1516"/>
      <c r="E8" s="1516"/>
      <c r="F8" s="1524" t="s">
        <v>936</v>
      </c>
      <c r="G8" s="1525"/>
      <c r="H8" s="1524" t="s">
        <v>937</v>
      </c>
      <c r="I8" s="1526"/>
      <c r="J8" s="1560" t="s">
        <v>938</v>
      </c>
      <c r="K8" s="1561"/>
      <c r="L8" s="1561"/>
      <c r="M8" s="1562"/>
      <c r="N8" s="1563" t="s">
        <v>939</v>
      </c>
      <c r="O8" s="1564"/>
      <c r="P8" s="1565" t="s">
        <v>940</v>
      </c>
      <c r="Q8" s="1566"/>
      <c r="R8" s="1534" t="s">
        <v>938</v>
      </c>
      <c r="S8" s="1535"/>
      <c r="T8" s="1535"/>
      <c r="U8" s="1536"/>
      <c r="V8" s="1524" t="s">
        <v>941</v>
      </c>
      <c r="W8" s="1525"/>
      <c r="X8" s="1525"/>
      <c r="Y8" s="1525"/>
      <c r="Z8" s="1525"/>
      <c r="AA8" s="1525"/>
      <c r="AB8" s="1525"/>
      <c r="AC8" s="1526"/>
      <c r="AD8" s="1524" t="s">
        <v>942</v>
      </c>
      <c r="AE8" s="1525"/>
      <c r="AF8" s="1525"/>
      <c r="AG8" s="1525"/>
      <c r="AH8" s="1525"/>
      <c r="AI8" s="1526"/>
      <c r="AJ8" s="1534" t="s">
        <v>938</v>
      </c>
      <c r="AK8" s="1535"/>
      <c r="AL8" s="1535"/>
      <c r="AM8" s="1536"/>
      <c r="AN8" s="1516"/>
      <c r="AO8" s="1516"/>
      <c r="AP8" s="1518" t="s">
        <v>943</v>
      </c>
      <c r="AQ8" s="1519"/>
      <c r="AR8" s="1519"/>
      <c r="AS8" s="1519"/>
      <c r="AT8" s="1519"/>
      <c r="AU8" s="1519"/>
      <c r="AV8" s="1537" t="s">
        <v>812</v>
      </c>
      <c r="AW8" s="1538"/>
      <c r="AX8" s="1538"/>
      <c r="AY8" s="1538"/>
      <c r="AZ8" s="1512" t="s">
        <v>944</v>
      </c>
      <c r="BA8" s="1513"/>
      <c r="BB8" s="1513"/>
      <c r="BC8" s="1514"/>
      <c r="BD8" s="1518" t="s">
        <v>945</v>
      </c>
      <c r="BE8" s="1519"/>
      <c r="BF8" s="1519"/>
      <c r="BG8" s="1559"/>
      <c r="BH8" s="1543" t="s">
        <v>938</v>
      </c>
      <c r="BI8" s="1544"/>
      <c r="BJ8" s="1544"/>
      <c r="BK8" s="1545"/>
      <c r="BL8" s="1537" t="s">
        <v>946</v>
      </c>
      <c r="BM8" s="1546"/>
      <c r="BN8" s="1537" t="s">
        <v>947</v>
      </c>
      <c r="BO8" s="1546"/>
      <c r="BP8" s="1549" t="s">
        <v>938</v>
      </c>
      <c r="BQ8" s="1550"/>
      <c r="BR8" s="1550"/>
      <c r="BS8" s="1550"/>
      <c r="BT8" s="1512" t="s">
        <v>948</v>
      </c>
      <c r="BU8" s="1513"/>
      <c r="BV8" s="1513"/>
      <c r="BW8" s="1513"/>
      <c r="BX8" s="1513"/>
      <c r="BY8" s="1514"/>
      <c r="BZ8" s="1549" t="s">
        <v>949</v>
      </c>
      <c r="CA8" s="1550"/>
      <c r="CB8" s="1537" t="s">
        <v>950</v>
      </c>
      <c r="CC8" s="1546"/>
      <c r="CD8" s="1549" t="s">
        <v>938</v>
      </c>
      <c r="CE8" s="1550"/>
      <c r="CF8" s="1550"/>
      <c r="CG8" s="1597"/>
      <c r="CH8" s="1512" t="s">
        <v>951</v>
      </c>
      <c r="CI8" s="1513"/>
      <c r="CJ8" s="1513"/>
      <c r="CK8" s="1513"/>
      <c r="CL8" s="1513"/>
      <c r="CM8" s="1514"/>
      <c r="CN8" s="1512" t="s">
        <v>952</v>
      </c>
      <c r="CO8" s="1513"/>
      <c r="CP8" s="1513"/>
      <c r="CQ8" s="1513"/>
      <c r="CR8" s="1513"/>
      <c r="CS8" s="1513"/>
      <c r="CT8" s="1513"/>
      <c r="CU8" s="1513"/>
      <c r="CV8" s="1513"/>
      <c r="CW8" s="1513"/>
      <c r="CX8" s="1513"/>
      <c r="CY8" s="1513"/>
      <c r="CZ8" s="1513"/>
      <c r="DA8" s="1514"/>
      <c r="DB8" s="1518" t="s">
        <v>824</v>
      </c>
      <c r="DC8" s="1519"/>
      <c r="DD8" s="1519"/>
      <c r="DE8" s="1519"/>
      <c r="DF8" s="1519"/>
      <c r="DG8" s="1559"/>
      <c r="DH8" s="1543" t="s">
        <v>938</v>
      </c>
      <c r="DI8" s="1544"/>
      <c r="DJ8" s="1544"/>
      <c r="DK8" s="1545"/>
      <c r="DL8" s="1512" t="s">
        <v>953</v>
      </c>
      <c r="DM8" s="1513"/>
      <c r="DN8" s="1513"/>
      <c r="DO8" s="1513"/>
      <c r="DP8" s="1513"/>
      <c r="DQ8" s="1513"/>
      <c r="DR8" s="1513"/>
      <c r="DS8" s="1514"/>
      <c r="DT8" s="1512" t="s">
        <v>954</v>
      </c>
      <c r="DU8" s="1513"/>
      <c r="DV8" s="1513"/>
      <c r="DW8" s="1513"/>
      <c r="DX8" s="1513"/>
      <c r="DY8" s="1514"/>
      <c r="DZ8" s="1584" t="s">
        <v>955</v>
      </c>
      <c r="EA8" s="1585"/>
      <c r="EB8" s="1585"/>
      <c r="EC8" s="1585"/>
      <c r="ED8" s="1585"/>
      <c r="EE8" s="1585"/>
      <c r="EF8" s="1512" t="s">
        <v>956</v>
      </c>
      <c r="EG8" s="1513"/>
      <c r="EH8" s="1513"/>
      <c r="EI8" s="1513"/>
      <c r="EJ8" s="1513"/>
      <c r="EK8" s="1513"/>
      <c r="EL8" s="1513"/>
      <c r="EM8" s="1514"/>
      <c r="EN8" s="1512" t="s">
        <v>957</v>
      </c>
      <c r="EO8" s="1513"/>
      <c r="EP8" s="1513"/>
      <c r="EQ8" s="1513"/>
      <c r="ER8" s="1513"/>
      <c r="ES8" s="1514"/>
      <c r="ET8" s="1512" t="s">
        <v>958</v>
      </c>
      <c r="EU8" s="1513"/>
      <c r="EV8" s="1513"/>
      <c r="EW8" s="1513"/>
      <c r="EX8" s="1513"/>
      <c r="EY8" s="1514"/>
      <c r="EZ8" s="1518" t="s">
        <v>959</v>
      </c>
      <c r="FA8" s="1519"/>
      <c r="FB8" s="1519"/>
      <c r="FC8" s="1519"/>
      <c r="FD8" s="1519"/>
      <c r="FE8" s="1559"/>
      <c r="FF8" s="1615" t="s">
        <v>938</v>
      </c>
      <c r="FG8" s="1616"/>
      <c r="FH8" s="1616"/>
      <c r="FI8" s="1616"/>
      <c r="FJ8" s="1616"/>
      <c r="FK8" s="1616"/>
      <c r="FL8" s="1616"/>
      <c r="FM8" s="1616"/>
      <c r="FN8" s="1616"/>
      <c r="FO8" s="1616"/>
      <c r="FP8" s="1616"/>
      <c r="FQ8" s="1617"/>
      <c r="FR8" s="1512" t="s">
        <v>960</v>
      </c>
      <c r="FS8" s="1513"/>
      <c r="FT8" s="1513"/>
      <c r="FU8" s="1513"/>
      <c r="FV8" s="1513"/>
      <c r="FW8" s="1514"/>
      <c r="FX8" s="1512" t="s">
        <v>961</v>
      </c>
      <c r="FY8" s="1513"/>
      <c r="FZ8" s="1513"/>
      <c r="GA8" s="1513"/>
      <c r="GB8" s="1513"/>
      <c r="GC8" s="1514"/>
      <c r="GD8" s="1606" t="s">
        <v>1263</v>
      </c>
      <c r="GE8" s="1607"/>
      <c r="GF8" s="1607"/>
      <c r="GG8" s="1607"/>
      <c r="GH8" s="1607"/>
      <c r="GI8" s="1608"/>
      <c r="GJ8" s="1615" t="s">
        <v>375</v>
      </c>
      <c r="GK8" s="1616"/>
      <c r="GL8" s="1616"/>
      <c r="GM8" s="1617"/>
      <c r="GN8" s="1512" t="s">
        <v>962</v>
      </c>
      <c r="GO8" s="1513"/>
      <c r="GP8" s="1513"/>
      <c r="GQ8" s="1513"/>
      <c r="GR8" s="1513"/>
      <c r="GS8" s="1513"/>
      <c r="GT8" s="1513"/>
      <c r="GU8" s="1514"/>
      <c r="GV8" s="1606" t="s">
        <v>820</v>
      </c>
      <c r="GW8" s="1607"/>
      <c r="GX8" s="1607"/>
      <c r="GY8" s="1608"/>
      <c r="GZ8" s="1615" t="s">
        <v>938</v>
      </c>
      <c r="HA8" s="1616"/>
      <c r="HB8" s="1616"/>
      <c r="HC8" s="1617"/>
      <c r="HD8" s="1512" t="s">
        <v>963</v>
      </c>
      <c r="HE8" s="1513"/>
      <c r="HF8" s="1513"/>
      <c r="HG8" s="1513"/>
      <c r="HH8" s="1513"/>
      <c r="HI8" s="1514"/>
      <c r="HJ8" s="1512" t="s">
        <v>964</v>
      </c>
      <c r="HK8" s="1513"/>
      <c r="HL8" s="1513"/>
      <c r="HM8" s="1513"/>
      <c r="HN8" s="1513"/>
      <c r="HO8" s="1514"/>
      <c r="HP8" s="1518" t="s">
        <v>818</v>
      </c>
      <c r="HQ8" s="1519"/>
      <c r="HR8" s="1519"/>
      <c r="HS8" s="1519"/>
      <c r="HT8" s="1519"/>
      <c r="HU8" s="1559"/>
      <c r="HV8" s="1615" t="s">
        <v>938</v>
      </c>
      <c r="HW8" s="1616"/>
      <c r="HX8" s="1616"/>
      <c r="HY8" s="1616"/>
      <c r="HZ8" s="1616"/>
      <c r="IA8" s="1616"/>
      <c r="IB8" s="1616"/>
      <c r="IC8" s="1616"/>
      <c r="ID8" s="1616"/>
      <c r="IE8" s="1616"/>
      <c r="IF8" s="1616"/>
      <c r="IG8" s="1617"/>
      <c r="IH8" s="1512" t="s">
        <v>965</v>
      </c>
      <c r="II8" s="1513"/>
      <c r="IJ8" s="1513"/>
      <c r="IK8" s="1513"/>
      <c r="IL8" s="1513"/>
      <c r="IM8" s="1514"/>
      <c r="IN8" s="1606" t="s">
        <v>1271</v>
      </c>
      <c r="IO8" s="1607"/>
      <c r="IP8" s="1607"/>
      <c r="IQ8" s="1607"/>
      <c r="IR8" s="1607"/>
      <c r="IS8" s="1608"/>
      <c r="IT8" s="1615" t="s">
        <v>938</v>
      </c>
      <c r="IU8" s="1616"/>
      <c r="IV8" s="1616"/>
      <c r="IW8" s="1617"/>
      <c r="IX8" s="1512" t="s">
        <v>966</v>
      </c>
      <c r="IY8" s="1513"/>
      <c r="IZ8" s="1513"/>
      <c r="JA8" s="1513"/>
      <c r="JB8" s="1513"/>
      <c r="JC8" s="1513"/>
      <c r="JD8" s="1512" t="s">
        <v>967</v>
      </c>
      <c r="JE8" s="1513"/>
      <c r="JF8" s="1513"/>
      <c r="JG8" s="1513"/>
      <c r="JH8" s="1513"/>
      <c r="JI8" s="1514"/>
      <c r="JJ8" s="1518" t="s">
        <v>968</v>
      </c>
      <c r="JK8" s="1519"/>
      <c r="JL8" s="1519"/>
      <c r="JM8" s="1519"/>
      <c r="JN8" s="1519"/>
      <c r="JO8" s="1559"/>
      <c r="JP8" s="1537" t="s">
        <v>969</v>
      </c>
      <c r="JQ8" s="1538"/>
      <c r="JR8" s="1538"/>
      <c r="JS8" s="1538"/>
      <c r="JT8" s="1538"/>
      <c r="JU8" s="1546"/>
      <c r="JV8" s="1598" t="s">
        <v>938</v>
      </c>
      <c r="JW8" s="1599"/>
      <c r="JX8" s="1599"/>
      <c r="JY8" s="1599"/>
      <c r="JZ8" s="1599"/>
      <c r="KA8" s="1599"/>
      <c r="KB8" s="1599"/>
      <c r="KC8" s="1599"/>
      <c r="KD8" s="1599"/>
      <c r="KE8" s="1599"/>
      <c r="KF8" s="1599"/>
      <c r="KG8" s="1600"/>
      <c r="KH8" s="1551" t="s">
        <v>970</v>
      </c>
      <c r="KI8" s="1552"/>
      <c r="KJ8" s="1552"/>
      <c r="KK8" s="1552"/>
      <c r="KL8" s="1552"/>
      <c r="KM8" s="1552"/>
      <c r="KN8" s="1552"/>
      <c r="KO8" s="1552"/>
      <c r="KP8" s="1552"/>
      <c r="KQ8" s="1553"/>
      <c r="KR8" s="1537" t="s">
        <v>971</v>
      </c>
      <c r="KS8" s="1538"/>
      <c r="KT8" s="1538"/>
      <c r="KU8" s="1538"/>
      <c r="KV8" s="1538"/>
      <c r="KW8" s="1538"/>
      <c r="KX8" s="1538"/>
      <c r="KY8" s="1538"/>
      <c r="KZ8" s="1538"/>
      <c r="LA8" s="1546"/>
      <c r="LB8" s="1588" t="s">
        <v>938</v>
      </c>
      <c r="LC8" s="1589"/>
      <c r="LD8" s="1589"/>
      <c r="LE8" s="1589"/>
      <c r="LF8" s="1589"/>
      <c r="LG8" s="1589"/>
      <c r="LH8" s="1589"/>
      <c r="LI8" s="1589"/>
      <c r="LJ8" s="1589"/>
      <c r="LK8" s="1589"/>
      <c r="LL8" s="1589"/>
      <c r="LM8" s="1589"/>
      <c r="LN8" s="1551" t="s">
        <v>972</v>
      </c>
      <c r="LO8" s="1552"/>
      <c r="LP8" s="1552"/>
      <c r="LQ8" s="1552"/>
      <c r="LR8" s="1552"/>
      <c r="LS8" s="1552"/>
      <c r="LT8" s="1552"/>
      <c r="LU8" s="1553"/>
      <c r="LV8" s="1565" t="s">
        <v>973</v>
      </c>
      <c r="LW8" s="1664"/>
      <c r="LX8" s="1664"/>
      <c r="LY8" s="1664"/>
      <c r="LZ8" s="1664"/>
      <c r="MA8" s="1664"/>
      <c r="MB8" s="1664"/>
      <c r="MC8" s="1566"/>
      <c r="MD8" s="1588" t="s">
        <v>938</v>
      </c>
      <c r="ME8" s="1589"/>
      <c r="MF8" s="1589"/>
      <c r="MG8" s="1589"/>
      <c r="MH8" s="1589"/>
      <c r="MI8" s="1589"/>
      <c r="MJ8" s="1589"/>
      <c r="MK8" s="1589"/>
      <c r="ML8" s="1589"/>
      <c r="MM8" s="1589"/>
      <c r="MN8" s="1589"/>
      <c r="MO8" s="1589"/>
      <c r="MP8" s="1589"/>
      <c r="MQ8" s="1589"/>
      <c r="MR8" s="1589"/>
      <c r="MS8" s="1590"/>
      <c r="MT8" s="1520" t="s">
        <v>974</v>
      </c>
      <c r="MU8" s="1586"/>
      <c r="MV8" s="1586"/>
      <c r="MW8" s="1586"/>
      <c r="MX8" s="1586"/>
      <c r="MY8" s="1586"/>
      <c r="MZ8" s="1586"/>
      <c r="NA8" s="1586"/>
      <c r="NB8" s="1586"/>
      <c r="NC8" s="1586"/>
      <c r="ND8" s="1586"/>
      <c r="NE8" s="1586"/>
      <c r="NF8" s="1586"/>
      <c r="NG8" s="1586"/>
      <c r="NH8" s="1586"/>
      <c r="NI8" s="1586"/>
      <c r="NJ8" s="1518" t="s">
        <v>975</v>
      </c>
      <c r="NK8" s="1519"/>
      <c r="NL8" s="1519"/>
      <c r="NM8" s="1519"/>
      <c r="NN8" s="1519"/>
      <c r="NO8" s="1559"/>
      <c r="NP8" s="1534" t="s">
        <v>938</v>
      </c>
      <c r="NQ8" s="1535"/>
      <c r="NR8" s="1535"/>
      <c r="NS8" s="1535"/>
      <c r="NT8" s="1535"/>
      <c r="NU8" s="1535"/>
      <c r="NV8" s="1535"/>
      <c r="NW8" s="1535"/>
      <c r="NX8" s="1535"/>
      <c r="NY8" s="1535"/>
      <c r="NZ8" s="1535"/>
      <c r="OA8" s="1535"/>
      <c r="OB8" s="1549" t="s">
        <v>976</v>
      </c>
      <c r="OC8" s="1550"/>
      <c r="OD8" s="1550"/>
      <c r="OE8" s="1550"/>
      <c r="OF8" s="1550"/>
      <c r="OG8" s="1550"/>
      <c r="OH8" s="1550"/>
      <c r="OI8" s="1597"/>
      <c r="OJ8" s="1518" t="s">
        <v>977</v>
      </c>
      <c r="OK8" s="1519"/>
      <c r="OL8" s="1519"/>
      <c r="OM8" s="1519"/>
      <c r="ON8" s="1519"/>
      <c r="OO8" s="1519"/>
      <c r="OP8" s="1519"/>
      <c r="OQ8" s="1559"/>
      <c r="OR8" s="1518" t="s">
        <v>978</v>
      </c>
      <c r="OS8" s="1519"/>
      <c r="OT8" s="1519"/>
      <c r="OU8" s="1519"/>
      <c r="OV8" s="1519"/>
      <c r="OW8" s="1519"/>
      <c r="OX8" s="1519"/>
      <c r="OY8" s="1559"/>
      <c r="OZ8" s="1534" t="s">
        <v>938</v>
      </c>
      <c r="PA8" s="1535"/>
      <c r="PB8" s="1535"/>
      <c r="PC8" s="1535"/>
      <c r="PD8" s="1535"/>
      <c r="PE8" s="1535"/>
      <c r="PF8" s="1535"/>
      <c r="PG8" s="1535"/>
      <c r="PH8" s="1535"/>
      <c r="PI8" s="1535"/>
      <c r="PJ8" s="1535"/>
      <c r="PK8" s="1535"/>
      <c r="PL8" s="1535"/>
      <c r="PM8" s="1535"/>
      <c r="PN8" s="1535"/>
      <c r="PO8" s="1536"/>
      <c r="PP8" s="1551" t="s">
        <v>979</v>
      </c>
      <c r="PQ8" s="1552"/>
      <c r="PR8" s="1552"/>
      <c r="PS8" s="1552"/>
      <c r="PT8" s="1552"/>
      <c r="PU8" s="1552"/>
      <c r="PV8" s="1552"/>
      <c r="PW8" s="1552"/>
      <c r="PX8" s="1552"/>
      <c r="PY8" s="1553"/>
      <c r="PZ8" s="1518" t="s">
        <v>822</v>
      </c>
      <c r="QA8" s="1519"/>
      <c r="QB8" s="1519"/>
      <c r="QC8" s="1519"/>
      <c r="QD8" s="1519"/>
      <c r="QE8" s="1559"/>
      <c r="QF8" s="1543" t="s">
        <v>938</v>
      </c>
      <c r="QG8" s="1544"/>
      <c r="QH8" s="1544"/>
      <c r="QI8" s="1544"/>
      <c r="QJ8" s="1544"/>
      <c r="QK8" s="1544"/>
      <c r="QL8" s="1544"/>
      <c r="QM8" s="1544"/>
      <c r="QN8" s="1544"/>
      <c r="QO8" s="1544"/>
      <c r="QP8" s="1544"/>
      <c r="QQ8" s="1545"/>
      <c r="QR8" s="1512" t="s">
        <v>980</v>
      </c>
      <c r="QS8" s="1513"/>
      <c r="QT8" s="1513"/>
      <c r="QU8" s="1513"/>
      <c r="QV8" s="1513"/>
      <c r="QW8" s="1513"/>
      <c r="QX8" s="1512" t="s">
        <v>981</v>
      </c>
      <c r="QY8" s="1513"/>
      <c r="QZ8" s="1513"/>
      <c r="RA8" s="1513"/>
      <c r="RB8" s="1513"/>
      <c r="RC8" s="1513"/>
      <c r="RD8" s="1537" t="s">
        <v>826</v>
      </c>
      <c r="RE8" s="1538"/>
      <c r="RF8" s="1538"/>
      <c r="RG8" s="1538"/>
      <c r="RH8" s="1538"/>
      <c r="RI8" s="1546"/>
      <c r="RJ8" s="1543" t="s">
        <v>938</v>
      </c>
      <c r="RK8" s="1544"/>
      <c r="RL8" s="1544"/>
      <c r="RM8" s="1544"/>
      <c r="RN8" s="1544"/>
      <c r="RO8" s="1544"/>
      <c r="RP8" s="1544"/>
      <c r="RQ8" s="1544"/>
      <c r="RR8" s="1544"/>
      <c r="RS8" s="1544"/>
      <c r="RT8" s="1544"/>
      <c r="RU8" s="1545"/>
      <c r="RV8" s="1512" t="s">
        <v>982</v>
      </c>
      <c r="RW8" s="1513"/>
      <c r="RX8" s="1513"/>
      <c r="RY8" s="1513"/>
      <c r="RZ8" s="1513"/>
      <c r="SA8" s="1514"/>
      <c r="SB8" s="1512" t="s">
        <v>983</v>
      </c>
      <c r="SC8" s="1513"/>
      <c r="SD8" s="1513"/>
      <c r="SE8" s="1513"/>
      <c r="SF8" s="1513"/>
      <c r="SG8" s="1513"/>
      <c r="SH8" s="1513"/>
      <c r="SI8" s="1514"/>
      <c r="SJ8" s="1512" t="s">
        <v>984</v>
      </c>
      <c r="SK8" s="1513"/>
      <c r="SL8" s="1513"/>
      <c r="SM8" s="1513"/>
      <c r="SN8" s="1513"/>
      <c r="SO8" s="1514"/>
      <c r="SP8" s="1518" t="s">
        <v>985</v>
      </c>
      <c r="SQ8" s="1519"/>
      <c r="SR8" s="1519"/>
      <c r="SS8" s="1519"/>
      <c r="ST8" s="1519"/>
      <c r="SU8" s="1519"/>
      <c r="SV8" s="1519"/>
      <c r="SW8" s="1519"/>
      <c r="SX8" s="1519"/>
      <c r="SY8" s="1519"/>
      <c r="SZ8" s="1519"/>
      <c r="TA8" s="1519"/>
      <c r="TB8" s="1519"/>
      <c r="TC8" s="1559"/>
      <c r="TD8" s="1518" t="s">
        <v>823</v>
      </c>
      <c r="TE8" s="1519"/>
      <c r="TF8" s="1519"/>
      <c r="TG8" s="1519"/>
      <c r="TH8" s="1519"/>
      <c r="TI8" s="1519"/>
      <c r="TJ8" s="1519"/>
      <c r="TK8" s="1519"/>
      <c r="TL8" s="1519"/>
      <c r="TM8" s="1519"/>
      <c r="TN8" s="1519"/>
      <c r="TO8" s="1519"/>
      <c r="TP8" s="1519"/>
      <c r="TQ8" s="1559"/>
      <c r="TR8" s="1603" t="s">
        <v>938</v>
      </c>
      <c r="TS8" s="1604"/>
      <c r="TT8" s="1604"/>
      <c r="TU8" s="1604"/>
      <c r="TV8" s="1604"/>
      <c r="TW8" s="1604"/>
      <c r="TX8" s="1604"/>
      <c r="TY8" s="1604"/>
      <c r="TZ8" s="1604"/>
      <c r="UA8" s="1604"/>
      <c r="UB8" s="1604"/>
      <c r="UC8" s="1604"/>
      <c r="UD8" s="1604"/>
      <c r="UE8" s="1604"/>
      <c r="UF8" s="1604"/>
      <c r="UG8" s="1604"/>
      <c r="UH8" s="1604"/>
      <c r="UI8" s="1604"/>
      <c r="UJ8" s="1604"/>
      <c r="UK8" s="1604"/>
      <c r="UL8" s="1604"/>
      <c r="UM8" s="1604"/>
      <c r="UN8" s="1604"/>
      <c r="UO8" s="1604"/>
      <c r="UP8" s="1604"/>
      <c r="UQ8" s="1604"/>
      <c r="UR8" s="1604"/>
      <c r="US8" s="1605"/>
      <c r="UT8" s="1512" t="s">
        <v>986</v>
      </c>
      <c r="UU8" s="1514"/>
      <c r="UV8" s="1518" t="s">
        <v>881</v>
      </c>
      <c r="UW8" s="1559"/>
      <c r="UX8" s="1534" t="s">
        <v>938</v>
      </c>
      <c r="UY8" s="1535"/>
      <c r="UZ8" s="1535"/>
      <c r="VA8" s="1536"/>
      <c r="VB8" s="1516"/>
      <c r="VC8" s="1539"/>
      <c r="VD8" s="1602"/>
      <c r="VE8" s="1516"/>
      <c r="VF8" s="1540"/>
      <c r="VG8" s="1602"/>
      <c r="VH8" s="1512" t="s">
        <v>987</v>
      </c>
      <c r="VI8" s="1640"/>
      <c r="VJ8" s="1512" t="s">
        <v>988</v>
      </c>
      <c r="VK8" s="1640"/>
      <c r="VL8" s="1518" t="s">
        <v>989</v>
      </c>
      <c r="VM8" s="1559"/>
      <c r="VN8" s="1518" t="s">
        <v>990</v>
      </c>
      <c r="VO8" s="1559"/>
      <c r="VP8" s="1512" t="s">
        <v>991</v>
      </c>
      <c r="VQ8" s="1514"/>
      <c r="VR8" s="1512" t="s">
        <v>992</v>
      </c>
      <c r="VS8" s="1514"/>
      <c r="VT8" s="1512" t="s">
        <v>993</v>
      </c>
      <c r="VU8" s="1514"/>
      <c r="VV8" s="1512" t="s">
        <v>994</v>
      </c>
      <c r="VW8" s="1514"/>
      <c r="VX8" s="1512" t="s">
        <v>995</v>
      </c>
      <c r="VY8" s="1513"/>
      <c r="VZ8" s="1513"/>
      <c r="WA8" s="1513"/>
      <c r="WB8" s="1513"/>
      <c r="WC8" s="1514"/>
      <c r="WD8" s="1563" t="s">
        <v>996</v>
      </c>
      <c r="WE8" s="1571"/>
      <c r="WF8" s="1571"/>
      <c r="WG8" s="1571"/>
      <c r="WH8" s="1571"/>
      <c r="WI8" s="1571"/>
      <c r="WJ8" s="1520"/>
      <c r="WK8" s="1516"/>
      <c r="WL8" s="1612" t="s">
        <v>1362</v>
      </c>
      <c r="WM8" s="1613"/>
      <c r="WN8" s="1613"/>
      <c r="WO8" s="1613"/>
      <c r="WP8" s="1613"/>
      <c r="WQ8" s="1614"/>
      <c r="WR8" s="1512" t="s">
        <v>997</v>
      </c>
      <c r="WS8" s="1513"/>
      <c r="WT8" s="1513"/>
      <c r="WU8" s="1513"/>
      <c r="WV8" s="1513"/>
      <c r="WW8" s="1514"/>
      <c r="WX8" s="1512" t="s">
        <v>998</v>
      </c>
      <c r="WY8" s="1513"/>
      <c r="WZ8" s="1513"/>
      <c r="XA8" s="1513"/>
      <c r="XB8" s="1513"/>
      <c r="XC8" s="1514"/>
      <c r="XD8" s="1512" t="s">
        <v>999</v>
      </c>
      <c r="XE8" s="1513"/>
      <c r="XF8" s="1513"/>
      <c r="XG8" s="1513"/>
      <c r="XH8" s="1513"/>
      <c r="XI8" s="1514"/>
      <c r="XJ8" s="1518" t="s">
        <v>1000</v>
      </c>
      <c r="XK8" s="1519"/>
      <c r="XL8" s="1519"/>
      <c r="XM8" s="1519"/>
      <c r="XN8" s="1518" t="s">
        <v>829</v>
      </c>
      <c r="XO8" s="1519"/>
      <c r="XP8" s="1519"/>
      <c r="XQ8" s="1519"/>
      <c r="XR8" s="1615" t="s">
        <v>938</v>
      </c>
      <c r="XS8" s="1616"/>
      <c r="XT8" s="1616"/>
      <c r="XU8" s="1617"/>
      <c r="XV8" s="1518" t="s">
        <v>1001</v>
      </c>
      <c r="XW8" s="1519"/>
      <c r="XX8" s="1519"/>
      <c r="XY8" s="1519"/>
      <c r="XZ8" s="1519"/>
      <c r="YA8" s="1519"/>
      <c r="YB8" s="1519"/>
      <c r="YC8" s="1519"/>
      <c r="YD8" s="1519"/>
      <c r="YE8" s="1519"/>
      <c r="YF8" s="1519"/>
      <c r="YG8" s="1519"/>
      <c r="YH8" s="1519"/>
      <c r="YI8" s="1519"/>
      <c r="YJ8" s="1519"/>
      <c r="YK8" s="1519"/>
      <c r="YL8" s="1519"/>
      <c r="YM8" s="1519"/>
      <c r="YN8" s="1519"/>
      <c r="YO8" s="1519"/>
      <c r="YP8" s="1519"/>
      <c r="YQ8" s="1519"/>
      <c r="YR8" s="1518" t="s">
        <v>1002</v>
      </c>
      <c r="YS8" s="1519"/>
      <c r="YT8" s="1519"/>
      <c r="YU8" s="1519"/>
      <c r="YV8" s="1519"/>
      <c r="YW8" s="1519"/>
      <c r="YX8" s="1519"/>
      <c r="YY8" s="1519"/>
      <c r="YZ8" s="1519"/>
      <c r="ZA8" s="1519"/>
      <c r="ZB8" s="1519"/>
      <c r="ZC8" s="1519"/>
      <c r="ZD8" s="1543" t="s">
        <v>938</v>
      </c>
      <c r="ZE8" s="1544"/>
      <c r="ZF8" s="1544"/>
      <c r="ZG8" s="1544"/>
      <c r="ZH8" s="1544"/>
      <c r="ZI8" s="1544"/>
      <c r="ZJ8" s="1544"/>
      <c r="ZK8" s="1544"/>
      <c r="ZL8" s="1544"/>
      <c r="ZM8" s="1544"/>
      <c r="ZN8" s="1544"/>
      <c r="ZO8" s="1544"/>
      <c r="ZP8" s="1544"/>
      <c r="ZQ8" s="1544"/>
      <c r="ZR8" s="1544"/>
      <c r="ZS8" s="1544"/>
      <c r="ZT8" s="1544"/>
      <c r="ZU8" s="1544"/>
      <c r="ZV8" s="1544"/>
      <c r="ZW8" s="1544"/>
      <c r="ZX8" s="1544"/>
      <c r="ZY8" s="1544"/>
      <c r="ZZ8" s="1544"/>
      <c r="AAA8" s="1544"/>
      <c r="AAB8" s="1516"/>
      <c r="AAC8" s="1516"/>
      <c r="AAD8" s="1635" t="s">
        <v>1003</v>
      </c>
      <c r="AAE8" s="1636"/>
      <c r="AAF8" s="1578" t="s">
        <v>1004</v>
      </c>
      <c r="AAG8" s="1580"/>
      <c r="AAH8" s="1628" t="s">
        <v>938</v>
      </c>
      <c r="AAI8" s="1629"/>
      <c r="AAJ8" s="1629"/>
      <c r="AAK8" s="1630"/>
      <c r="AAL8" s="1575" t="s">
        <v>1005</v>
      </c>
      <c r="AAM8" s="1577"/>
      <c r="AAN8" s="1578" t="s">
        <v>1006</v>
      </c>
      <c r="AAO8" s="1580"/>
      <c r="AAP8" s="1628" t="s">
        <v>938</v>
      </c>
      <c r="AAQ8" s="1629"/>
      <c r="AAR8" s="1629"/>
      <c r="AAS8" s="1630"/>
      <c r="AAT8" s="791"/>
      <c r="AAU8" s="791"/>
    </row>
    <row r="9" spans="1:723" ht="96.75" customHeight="1" thickBot="1" x14ac:dyDescent="0.3">
      <c r="A9" s="1516"/>
      <c r="B9" s="1520"/>
      <c r="C9" s="1521"/>
      <c r="D9" s="1516"/>
      <c r="E9" s="1516"/>
      <c r="F9" s="1563" t="s">
        <v>1007</v>
      </c>
      <c r="G9" s="1571"/>
      <c r="H9" s="1527"/>
      <c r="I9" s="1530"/>
      <c r="J9" s="1631" t="s">
        <v>1008</v>
      </c>
      <c r="K9" s="1632"/>
      <c r="L9" s="1631" t="s">
        <v>1009</v>
      </c>
      <c r="M9" s="1632"/>
      <c r="N9" s="1563" t="s">
        <v>1010</v>
      </c>
      <c r="O9" s="1564"/>
      <c r="P9" s="1567"/>
      <c r="Q9" s="1568"/>
      <c r="R9" s="1554" t="s">
        <v>1011</v>
      </c>
      <c r="S9" s="1555"/>
      <c r="T9" s="1554" t="s">
        <v>1012</v>
      </c>
      <c r="U9" s="1555"/>
      <c r="V9" s="1551" t="s">
        <v>1013</v>
      </c>
      <c r="W9" s="1552"/>
      <c r="X9" s="1552"/>
      <c r="Y9" s="1552"/>
      <c r="Z9" s="1552"/>
      <c r="AA9" s="1552"/>
      <c r="AB9" s="1552"/>
      <c r="AC9" s="1553"/>
      <c r="AD9" s="1527"/>
      <c r="AE9" s="1528"/>
      <c r="AF9" s="1528"/>
      <c r="AG9" s="1529"/>
      <c r="AH9" s="1529"/>
      <c r="AI9" s="1530"/>
      <c r="AJ9" s="1554" t="s">
        <v>1014</v>
      </c>
      <c r="AK9" s="1555"/>
      <c r="AL9" s="1554" t="s">
        <v>1015</v>
      </c>
      <c r="AM9" s="1555"/>
      <c r="AN9" s="1516"/>
      <c r="AO9" s="1520"/>
      <c r="AP9" s="1512" t="s">
        <v>1016</v>
      </c>
      <c r="AQ9" s="1513"/>
      <c r="AR9" s="1513"/>
      <c r="AS9" s="1513"/>
      <c r="AT9" s="1513"/>
      <c r="AU9" s="1513"/>
      <c r="AV9" s="1539"/>
      <c r="AW9" s="1540"/>
      <c r="AX9" s="1540"/>
      <c r="AY9" s="1540"/>
      <c r="AZ9" s="1512" t="s">
        <v>1017</v>
      </c>
      <c r="BA9" s="1513"/>
      <c r="BB9" s="1513"/>
      <c r="BC9" s="1514"/>
      <c r="BD9" s="1520"/>
      <c r="BE9" s="1586"/>
      <c r="BF9" s="1586"/>
      <c r="BG9" s="1521"/>
      <c r="BH9" s="1591" t="s">
        <v>1018</v>
      </c>
      <c r="BI9" s="1593"/>
      <c r="BJ9" s="1591" t="s">
        <v>1019</v>
      </c>
      <c r="BK9" s="1593"/>
      <c r="BL9" s="1537" t="s">
        <v>1020</v>
      </c>
      <c r="BM9" s="1546"/>
      <c r="BN9" s="1539"/>
      <c r="BO9" s="1547"/>
      <c r="BP9" s="1537" t="s">
        <v>1021</v>
      </c>
      <c r="BQ9" s="1546"/>
      <c r="BR9" s="1537" t="s">
        <v>1022</v>
      </c>
      <c r="BS9" s="1546"/>
      <c r="BT9" s="1512" t="s">
        <v>1023</v>
      </c>
      <c r="BU9" s="1513"/>
      <c r="BV9" s="1513"/>
      <c r="BW9" s="1513"/>
      <c r="BX9" s="1513"/>
      <c r="BY9" s="1514"/>
      <c r="BZ9" s="1549" t="s">
        <v>1024</v>
      </c>
      <c r="CA9" s="1597"/>
      <c r="CB9" s="1539"/>
      <c r="CC9" s="1547"/>
      <c r="CD9" s="1537" t="s">
        <v>1025</v>
      </c>
      <c r="CE9" s="1538"/>
      <c r="CF9" s="1537" t="s">
        <v>1026</v>
      </c>
      <c r="CG9" s="1546"/>
      <c r="CH9" s="1512" t="s">
        <v>1027</v>
      </c>
      <c r="CI9" s="1513"/>
      <c r="CJ9" s="1513"/>
      <c r="CK9" s="1513"/>
      <c r="CL9" s="1513"/>
      <c r="CM9" s="1514"/>
      <c r="CN9" s="1512" t="s">
        <v>1028</v>
      </c>
      <c r="CO9" s="1513"/>
      <c r="CP9" s="1513"/>
      <c r="CQ9" s="1513"/>
      <c r="CR9" s="1513"/>
      <c r="CS9" s="1513"/>
      <c r="CT9" s="1513"/>
      <c r="CU9" s="1513"/>
      <c r="CV9" s="1513"/>
      <c r="CW9" s="1513"/>
      <c r="CX9" s="1513"/>
      <c r="CY9" s="1513"/>
      <c r="CZ9" s="1513"/>
      <c r="DA9" s="1514"/>
      <c r="DB9" s="1520"/>
      <c r="DC9" s="1586"/>
      <c r="DD9" s="1586"/>
      <c r="DE9" s="1586"/>
      <c r="DF9" s="1586"/>
      <c r="DG9" s="1521"/>
      <c r="DH9" s="1591" t="s">
        <v>1029</v>
      </c>
      <c r="DI9" s="1592"/>
      <c r="DJ9" s="1591" t="s">
        <v>1030</v>
      </c>
      <c r="DK9" s="1593"/>
      <c r="DL9" s="1512" t="s">
        <v>1031</v>
      </c>
      <c r="DM9" s="1513"/>
      <c r="DN9" s="1513"/>
      <c r="DO9" s="1513"/>
      <c r="DP9" s="1513"/>
      <c r="DQ9" s="1513"/>
      <c r="DR9" s="1513"/>
      <c r="DS9" s="1514"/>
      <c r="DT9" s="1512" t="s">
        <v>1032</v>
      </c>
      <c r="DU9" s="1513"/>
      <c r="DV9" s="1513"/>
      <c r="DW9" s="1513"/>
      <c r="DX9" s="1513"/>
      <c r="DY9" s="1514"/>
      <c r="DZ9" s="1637" t="s">
        <v>1033</v>
      </c>
      <c r="EA9" s="1638"/>
      <c r="EB9" s="1638"/>
      <c r="EC9" s="1638"/>
      <c r="ED9" s="1638"/>
      <c r="EE9" s="1638"/>
      <c r="EF9" s="1512" t="s">
        <v>1034</v>
      </c>
      <c r="EG9" s="1513"/>
      <c r="EH9" s="1513"/>
      <c r="EI9" s="1513"/>
      <c r="EJ9" s="1513"/>
      <c r="EK9" s="1513"/>
      <c r="EL9" s="1513"/>
      <c r="EM9" s="1514"/>
      <c r="EN9" s="1512" t="s">
        <v>1035</v>
      </c>
      <c r="EO9" s="1513"/>
      <c r="EP9" s="1513"/>
      <c r="EQ9" s="1513"/>
      <c r="ER9" s="1513"/>
      <c r="ES9" s="1514"/>
      <c r="ET9" s="1512" t="s">
        <v>1036</v>
      </c>
      <c r="EU9" s="1513"/>
      <c r="EV9" s="1513"/>
      <c r="EW9" s="1513"/>
      <c r="EX9" s="1513"/>
      <c r="EY9" s="1514"/>
      <c r="EZ9" s="1520"/>
      <c r="FA9" s="1586"/>
      <c r="FB9" s="1586"/>
      <c r="FC9" s="1586"/>
      <c r="FD9" s="1586"/>
      <c r="FE9" s="1521"/>
      <c r="FF9" s="1618" t="s">
        <v>1037</v>
      </c>
      <c r="FG9" s="1623"/>
      <c r="FH9" s="1623"/>
      <c r="FI9" s="1623"/>
      <c r="FJ9" s="1623"/>
      <c r="FK9" s="1619"/>
      <c r="FL9" s="1618" t="s">
        <v>1038</v>
      </c>
      <c r="FM9" s="1623"/>
      <c r="FN9" s="1623"/>
      <c r="FO9" s="1623"/>
      <c r="FP9" s="1623"/>
      <c r="FQ9" s="1619"/>
      <c r="FR9" s="1549" t="s">
        <v>1039</v>
      </c>
      <c r="FS9" s="1550"/>
      <c r="FT9" s="1550"/>
      <c r="FU9" s="1550"/>
      <c r="FV9" s="1550"/>
      <c r="FW9" s="1597"/>
      <c r="FX9" s="1512" t="s">
        <v>1040</v>
      </c>
      <c r="FY9" s="1513"/>
      <c r="FZ9" s="1513"/>
      <c r="GA9" s="1513"/>
      <c r="GB9" s="1513"/>
      <c r="GC9" s="1514"/>
      <c r="GD9" s="1609"/>
      <c r="GE9" s="1610"/>
      <c r="GF9" s="1610"/>
      <c r="GG9" s="1610"/>
      <c r="GH9" s="1610"/>
      <c r="GI9" s="1611"/>
      <c r="GJ9" s="1618" t="s">
        <v>1264</v>
      </c>
      <c r="GK9" s="1619"/>
      <c r="GL9" s="1618" t="s">
        <v>1265</v>
      </c>
      <c r="GM9" s="1619"/>
      <c r="GN9" s="1512" t="s">
        <v>1041</v>
      </c>
      <c r="GO9" s="1513"/>
      <c r="GP9" s="1513"/>
      <c r="GQ9" s="1513"/>
      <c r="GR9" s="1513"/>
      <c r="GS9" s="1513"/>
      <c r="GT9" s="1513"/>
      <c r="GU9" s="1514"/>
      <c r="GV9" s="1609"/>
      <c r="GW9" s="1622"/>
      <c r="GX9" s="1622"/>
      <c r="GY9" s="1611"/>
      <c r="GZ9" s="1618" t="s">
        <v>1042</v>
      </c>
      <c r="HA9" s="1623"/>
      <c r="HB9" s="1618" t="s">
        <v>1043</v>
      </c>
      <c r="HC9" s="1623"/>
      <c r="HD9" s="1512" t="s">
        <v>1044</v>
      </c>
      <c r="HE9" s="1513"/>
      <c r="HF9" s="1513"/>
      <c r="HG9" s="1513"/>
      <c r="HH9" s="1513"/>
      <c r="HI9" s="1514"/>
      <c r="HJ9" s="1512" t="s">
        <v>1045</v>
      </c>
      <c r="HK9" s="1513"/>
      <c r="HL9" s="1513"/>
      <c r="HM9" s="1513"/>
      <c r="HN9" s="1513"/>
      <c r="HO9" s="1514"/>
      <c r="HP9" s="1520"/>
      <c r="HQ9" s="1586"/>
      <c r="HR9" s="1586"/>
      <c r="HS9" s="1586"/>
      <c r="HT9" s="1586"/>
      <c r="HU9" s="1521"/>
      <c r="HV9" s="1618" t="s">
        <v>1046</v>
      </c>
      <c r="HW9" s="1623"/>
      <c r="HX9" s="1623"/>
      <c r="HY9" s="1623"/>
      <c r="HZ9" s="1623"/>
      <c r="IA9" s="1619"/>
      <c r="IB9" s="1618" t="s">
        <v>1047</v>
      </c>
      <c r="IC9" s="1623"/>
      <c r="ID9" s="1623"/>
      <c r="IE9" s="1623"/>
      <c r="IF9" s="1623"/>
      <c r="IG9" s="1619"/>
      <c r="IH9" s="1512" t="s">
        <v>1048</v>
      </c>
      <c r="II9" s="1513"/>
      <c r="IJ9" s="1513"/>
      <c r="IK9" s="1513"/>
      <c r="IL9" s="1513"/>
      <c r="IM9" s="1514"/>
      <c r="IN9" s="1609"/>
      <c r="IO9" s="1610"/>
      <c r="IP9" s="1610"/>
      <c r="IQ9" s="1610"/>
      <c r="IR9" s="1610"/>
      <c r="IS9" s="1611"/>
      <c r="IT9" s="1618" t="s">
        <v>1272</v>
      </c>
      <c r="IU9" s="1623"/>
      <c r="IV9" s="1618" t="s">
        <v>1273</v>
      </c>
      <c r="IW9" s="1623"/>
      <c r="IX9" s="1512" t="s">
        <v>1049</v>
      </c>
      <c r="IY9" s="1513"/>
      <c r="IZ9" s="1513"/>
      <c r="JA9" s="1513"/>
      <c r="JB9" s="1513"/>
      <c r="JC9" s="1513"/>
      <c r="JD9" s="1512" t="s">
        <v>1050</v>
      </c>
      <c r="JE9" s="1513"/>
      <c r="JF9" s="1513"/>
      <c r="JG9" s="1513"/>
      <c r="JH9" s="1513"/>
      <c r="JI9" s="1514"/>
      <c r="JJ9" s="1512" t="s">
        <v>1051</v>
      </c>
      <c r="JK9" s="1513"/>
      <c r="JL9" s="1513"/>
      <c r="JM9" s="1513"/>
      <c r="JN9" s="1513"/>
      <c r="JO9" s="1514"/>
      <c r="JP9" s="1539"/>
      <c r="JQ9" s="1540"/>
      <c r="JR9" s="1540"/>
      <c r="JS9" s="1540"/>
      <c r="JT9" s="1540"/>
      <c r="JU9" s="1547"/>
      <c r="JV9" s="1537" t="s">
        <v>1052</v>
      </c>
      <c r="JW9" s="1538"/>
      <c r="JX9" s="1538"/>
      <c r="JY9" s="1538"/>
      <c r="JZ9" s="1538"/>
      <c r="KA9" s="1546"/>
      <c r="KB9" s="1537" t="s">
        <v>1053</v>
      </c>
      <c r="KC9" s="1538"/>
      <c r="KD9" s="1538"/>
      <c r="KE9" s="1538"/>
      <c r="KF9" s="1538"/>
      <c r="KG9" s="1546"/>
      <c r="KH9" s="1520" t="s">
        <v>1054</v>
      </c>
      <c r="KI9" s="1586"/>
      <c r="KJ9" s="1586"/>
      <c r="KK9" s="1586"/>
      <c r="KL9" s="1586"/>
      <c r="KM9" s="1586"/>
      <c r="KN9" s="1586"/>
      <c r="KO9" s="1586"/>
      <c r="KP9" s="1586"/>
      <c r="KQ9" s="1521"/>
      <c r="KR9" s="1539"/>
      <c r="KS9" s="1540"/>
      <c r="KT9" s="1540"/>
      <c r="KU9" s="1540"/>
      <c r="KV9" s="1540"/>
      <c r="KW9" s="1540"/>
      <c r="KX9" s="1540"/>
      <c r="KY9" s="1540"/>
      <c r="KZ9" s="1540"/>
      <c r="LA9" s="1547"/>
      <c r="LB9" s="1537" t="s">
        <v>1055</v>
      </c>
      <c r="LC9" s="1538"/>
      <c r="LD9" s="1538"/>
      <c r="LE9" s="1538"/>
      <c r="LF9" s="1538"/>
      <c r="LG9" s="1546"/>
      <c r="LH9" s="1537" t="s">
        <v>1056</v>
      </c>
      <c r="LI9" s="1538"/>
      <c r="LJ9" s="1538"/>
      <c r="LK9" s="1538"/>
      <c r="LL9" s="1538"/>
      <c r="LM9" s="1546"/>
      <c r="LN9" s="1551" t="s">
        <v>1057</v>
      </c>
      <c r="LO9" s="1552"/>
      <c r="LP9" s="1552"/>
      <c r="LQ9" s="1552"/>
      <c r="LR9" s="1552"/>
      <c r="LS9" s="1552"/>
      <c r="LT9" s="1552"/>
      <c r="LU9" s="1553"/>
      <c r="LV9" s="1567"/>
      <c r="LW9" s="1665"/>
      <c r="LX9" s="1665"/>
      <c r="LY9" s="1665"/>
      <c r="LZ9" s="1665"/>
      <c r="MA9" s="1665"/>
      <c r="MB9" s="1665"/>
      <c r="MC9" s="1568"/>
      <c r="MD9" s="1658" t="s">
        <v>1058</v>
      </c>
      <c r="ME9" s="1659"/>
      <c r="MF9" s="1659"/>
      <c r="MG9" s="1659"/>
      <c r="MH9" s="1659"/>
      <c r="MI9" s="1659"/>
      <c r="MJ9" s="1659"/>
      <c r="MK9" s="1660"/>
      <c r="ML9" s="1658" t="s">
        <v>1059</v>
      </c>
      <c r="MM9" s="1659"/>
      <c r="MN9" s="1659"/>
      <c r="MO9" s="1659"/>
      <c r="MP9" s="1659"/>
      <c r="MQ9" s="1659"/>
      <c r="MR9" s="1659"/>
      <c r="MS9" s="1660"/>
      <c r="MT9" s="1512" t="s">
        <v>1060</v>
      </c>
      <c r="MU9" s="1513"/>
      <c r="MV9" s="1513"/>
      <c r="MW9" s="1513"/>
      <c r="MX9" s="1513"/>
      <c r="MY9" s="1513"/>
      <c r="MZ9" s="1513"/>
      <c r="NA9" s="1513"/>
      <c r="NB9" s="1513"/>
      <c r="NC9" s="1513"/>
      <c r="ND9" s="1513"/>
      <c r="NE9" s="1513"/>
      <c r="NF9" s="1513"/>
      <c r="NG9" s="1513"/>
      <c r="NH9" s="1513"/>
      <c r="NI9" s="1513"/>
      <c r="NJ9" s="1520"/>
      <c r="NK9" s="1586"/>
      <c r="NL9" s="1586"/>
      <c r="NM9" s="1586"/>
      <c r="NN9" s="1586"/>
      <c r="NO9" s="1521"/>
      <c r="NP9" s="1618" t="s">
        <v>1061</v>
      </c>
      <c r="NQ9" s="1623"/>
      <c r="NR9" s="1623"/>
      <c r="NS9" s="1623"/>
      <c r="NT9" s="1623"/>
      <c r="NU9" s="1619"/>
      <c r="NV9" s="1591" t="s">
        <v>1062</v>
      </c>
      <c r="NW9" s="1592"/>
      <c r="NX9" s="1592"/>
      <c r="NY9" s="1592"/>
      <c r="NZ9" s="1592"/>
      <c r="OA9" s="1592"/>
      <c r="OB9" s="1549" t="s">
        <v>1063</v>
      </c>
      <c r="OC9" s="1550"/>
      <c r="OD9" s="1550"/>
      <c r="OE9" s="1550"/>
      <c r="OF9" s="1550"/>
      <c r="OG9" s="1550"/>
      <c r="OH9" s="1550"/>
      <c r="OI9" s="1597"/>
      <c r="OJ9" s="1512" t="s">
        <v>1064</v>
      </c>
      <c r="OK9" s="1513"/>
      <c r="OL9" s="1513"/>
      <c r="OM9" s="1513"/>
      <c r="ON9" s="1513"/>
      <c r="OO9" s="1513"/>
      <c r="OP9" s="1513"/>
      <c r="OQ9" s="1514"/>
      <c r="OR9" s="1520"/>
      <c r="OS9" s="1586"/>
      <c r="OT9" s="1586"/>
      <c r="OU9" s="1586"/>
      <c r="OV9" s="1586"/>
      <c r="OW9" s="1586"/>
      <c r="OX9" s="1586"/>
      <c r="OY9" s="1521"/>
      <c r="OZ9" s="1591" t="s">
        <v>1065</v>
      </c>
      <c r="PA9" s="1592"/>
      <c r="PB9" s="1592"/>
      <c r="PC9" s="1592"/>
      <c r="PD9" s="1592"/>
      <c r="PE9" s="1592"/>
      <c r="PF9" s="1592"/>
      <c r="PG9" s="1593"/>
      <c r="PH9" s="1591" t="s">
        <v>1066</v>
      </c>
      <c r="PI9" s="1592"/>
      <c r="PJ9" s="1592"/>
      <c r="PK9" s="1592"/>
      <c r="PL9" s="1592"/>
      <c r="PM9" s="1592"/>
      <c r="PN9" s="1592"/>
      <c r="PO9" s="1593"/>
      <c r="PP9" s="1512" t="s">
        <v>1067</v>
      </c>
      <c r="PQ9" s="1513"/>
      <c r="PR9" s="1513"/>
      <c r="PS9" s="1513"/>
      <c r="PT9" s="1513"/>
      <c r="PU9" s="1513"/>
      <c r="PV9" s="1513"/>
      <c r="PW9" s="1513"/>
      <c r="PX9" s="1513"/>
      <c r="PY9" s="1514"/>
      <c r="PZ9" s="1520"/>
      <c r="QA9" s="1586"/>
      <c r="QB9" s="1586"/>
      <c r="QC9" s="1586"/>
      <c r="QD9" s="1586"/>
      <c r="QE9" s="1521"/>
      <c r="QF9" s="1591" t="s">
        <v>1068</v>
      </c>
      <c r="QG9" s="1592"/>
      <c r="QH9" s="1592"/>
      <c r="QI9" s="1592"/>
      <c r="QJ9" s="1592"/>
      <c r="QK9" s="1593"/>
      <c r="QL9" s="1591" t="s">
        <v>1069</v>
      </c>
      <c r="QM9" s="1592"/>
      <c r="QN9" s="1592"/>
      <c r="QO9" s="1592"/>
      <c r="QP9" s="1592"/>
      <c r="QQ9" s="1593"/>
      <c r="QR9" s="1512" t="s">
        <v>1070</v>
      </c>
      <c r="QS9" s="1513"/>
      <c r="QT9" s="1513"/>
      <c r="QU9" s="1513"/>
      <c r="QV9" s="1513"/>
      <c r="QW9" s="1513"/>
      <c r="QX9" s="1512" t="s">
        <v>1071</v>
      </c>
      <c r="QY9" s="1513"/>
      <c r="QZ9" s="1513"/>
      <c r="RA9" s="1513"/>
      <c r="RB9" s="1513"/>
      <c r="RC9" s="1513"/>
      <c r="RD9" s="1539"/>
      <c r="RE9" s="1540"/>
      <c r="RF9" s="1540"/>
      <c r="RG9" s="1540"/>
      <c r="RH9" s="1540"/>
      <c r="RI9" s="1547"/>
      <c r="RJ9" s="1537" t="s">
        <v>1072</v>
      </c>
      <c r="RK9" s="1538"/>
      <c r="RL9" s="1538"/>
      <c r="RM9" s="1538"/>
      <c r="RN9" s="1538"/>
      <c r="RO9" s="1546"/>
      <c r="RP9" s="1537" t="s">
        <v>1073</v>
      </c>
      <c r="RQ9" s="1538"/>
      <c r="RR9" s="1538"/>
      <c r="RS9" s="1538"/>
      <c r="RT9" s="1538"/>
      <c r="RU9" s="1546"/>
      <c r="RV9" s="1549" t="s">
        <v>1074</v>
      </c>
      <c r="RW9" s="1550"/>
      <c r="RX9" s="1550"/>
      <c r="RY9" s="1550"/>
      <c r="RZ9" s="1550"/>
      <c r="SA9" s="1597"/>
      <c r="SB9" s="1512" t="s">
        <v>294</v>
      </c>
      <c r="SC9" s="1513"/>
      <c r="SD9" s="1513"/>
      <c r="SE9" s="1513"/>
      <c r="SF9" s="1513"/>
      <c r="SG9" s="1513"/>
      <c r="SH9" s="1513"/>
      <c r="SI9" s="1514"/>
      <c r="SJ9" s="1512" t="s">
        <v>295</v>
      </c>
      <c r="SK9" s="1513"/>
      <c r="SL9" s="1513"/>
      <c r="SM9" s="1513"/>
      <c r="SN9" s="1513"/>
      <c r="SO9" s="1514"/>
      <c r="SP9" s="1512" t="s">
        <v>1075</v>
      </c>
      <c r="SQ9" s="1513"/>
      <c r="SR9" s="1513"/>
      <c r="SS9" s="1513"/>
      <c r="ST9" s="1513"/>
      <c r="SU9" s="1513"/>
      <c r="SV9" s="1513"/>
      <c r="SW9" s="1513"/>
      <c r="SX9" s="1513"/>
      <c r="SY9" s="1513"/>
      <c r="SZ9" s="1513"/>
      <c r="TA9" s="1513"/>
      <c r="TB9" s="1513"/>
      <c r="TC9" s="1514"/>
      <c r="TD9" s="1520"/>
      <c r="TE9" s="1586"/>
      <c r="TF9" s="1586"/>
      <c r="TG9" s="1586"/>
      <c r="TH9" s="1586"/>
      <c r="TI9" s="1586"/>
      <c r="TJ9" s="1586"/>
      <c r="TK9" s="1586"/>
      <c r="TL9" s="1586"/>
      <c r="TM9" s="1586"/>
      <c r="TN9" s="1586"/>
      <c r="TO9" s="1586"/>
      <c r="TP9" s="1586"/>
      <c r="TQ9" s="1521"/>
      <c r="TR9" s="1618" t="s">
        <v>1076</v>
      </c>
      <c r="TS9" s="1623"/>
      <c r="TT9" s="1623"/>
      <c r="TU9" s="1623"/>
      <c r="TV9" s="1623"/>
      <c r="TW9" s="1623"/>
      <c r="TX9" s="1623"/>
      <c r="TY9" s="1623"/>
      <c r="TZ9" s="1623"/>
      <c r="UA9" s="1623"/>
      <c r="UB9" s="1623"/>
      <c r="UC9" s="1623"/>
      <c r="UD9" s="1623"/>
      <c r="UE9" s="1619"/>
      <c r="UF9" s="1618" t="s">
        <v>1077</v>
      </c>
      <c r="UG9" s="1623"/>
      <c r="UH9" s="1623"/>
      <c r="UI9" s="1623"/>
      <c r="UJ9" s="1623"/>
      <c r="UK9" s="1623"/>
      <c r="UL9" s="1623"/>
      <c r="UM9" s="1623"/>
      <c r="UN9" s="1623"/>
      <c r="UO9" s="1623"/>
      <c r="UP9" s="1623"/>
      <c r="UQ9" s="1623"/>
      <c r="UR9" s="1623"/>
      <c r="US9" s="1619"/>
      <c r="UT9" s="1512" t="s">
        <v>1078</v>
      </c>
      <c r="UU9" s="1514"/>
      <c r="UV9" s="1520"/>
      <c r="UW9" s="1521"/>
      <c r="UX9" s="1591" t="s">
        <v>1079</v>
      </c>
      <c r="UY9" s="1593"/>
      <c r="UZ9" s="1591" t="s">
        <v>1080</v>
      </c>
      <c r="VA9" s="1593"/>
      <c r="VB9" s="1516"/>
      <c r="VC9" s="1539"/>
      <c r="VD9" s="1602"/>
      <c r="VE9" s="1516"/>
      <c r="VF9" s="1540"/>
      <c r="VG9" s="1602"/>
      <c r="VH9" s="1512" t="s">
        <v>1081</v>
      </c>
      <c r="VI9" s="1564"/>
      <c r="VJ9" s="1512" t="s">
        <v>1082</v>
      </c>
      <c r="VK9" s="1640"/>
      <c r="VL9" s="1520"/>
      <c r="VM9" s="1521"/>
      <c r="VN9" s="1520"/>
      <c r="VO9" s="1521"/>
      <c r="VP9" s="1512" t="s">
        <v>1083</v>
      </c>
      <c r="VQ9" s="1514"/>
      <c r="VR9" s="1512" t="s">
        <v>1084</v>
      </c>
      <c r="VS9" s="1514"/>
      <c r="VT9" s="1512" t="s">
        <v>1085</v>
      </c>
      <c r="VU9" s="1514"/>
      <c r="VV9" s="1512" t="s">
        <v>1086</v>
      </c>
      <c r="VW9" s="1514"/>
      <c r="VX9" s="1512" t="s">
        <v>1087</v>
      </c>
      <c r="VY9" s="1513"/>
      <c r="VZ9" s="1513"/>
      <c r="WA9" s="1513"/>
      <c r="WB9" s="1513"/>
      <c r="WC9" s="1514"/>
      <c r="WD9" s="1563" t="s">
        <v>1088</v>
      </c>
      <c r="WE9" s="1571"/>
      <c r="WF9" s="1571"/>
      <c r="WG9" s="1571"/>
      <c r="WH9" s="1571"/>
      <c r="WI9" s="1571"/>
      <c r="WJ9" s="1520"/>
      <c r="WK9" s="1516"/>
      <c r="WL9" s="1612" t="s">
        <v>1363</v>
      </c>
      <c r="WM9" s="1613"/>
      <c r="WN9" s="1613"/>
      <c r="WO9" s="1613"/>
      <c r="WP9" s="1613"/>
      <c r="WQ9" s="1614"/>
      <c r="WR9" s="1512" t="s">
        <v>1089</v>
      </c>
      <c r="WS9" s="1513"/>
      <c r="WT9" s="1513"/>
      <c r="WU9" s="1513"/>
      <c r="WV9" s="1513"/>
      <c r="WW9" s="1514"/>
      <c r="WX9" s="1512" t="s">
        <v>1090</v>
      </c>
      <c r="WY9" s="1513"/>
      <c r="WZ9" s="1513"/>
      <c r="XA9" s="1513"/>
      <c r="XB9" s="1513"/>
      <c r="XC9" s="1514"/>
      <c r="XD9" s="1512" t="s">
        <v>1091</v>
      </c>
      <c r="XE9" s="1513"/>
      <c r="XF9" s="1513"/>
      <c r="XG9" s="1513"/>
      <c r="XH9" s="1513"/>
      <c r="XI9" s="1514"/>
      <c r="XJ9" s="1635" t="s">
        <v>1092</v>
      </c>
      <c r="XK9" s="1639"/>
      <c r="XL9" s="1639"/>
      <c r="XM9" s="1639"/>
      <c r="XN9" s="1520"/>
      <c r="XO9" s="1586"/>
      <c r="XP9" s="1586"/>
      <c r="XQ9" s="1586"/>
      <c r="XR9" s="1618" t="s">
        <v>1093</v>
      </c>
      <c r="XS9" s="1619"/>
      <c r="XT9" s="1618" t="s">
        <v>1094</v>
      </c>
      <c r="XU9" s="1619"/>
      <c r="XV9" s="1512" t="s">
        <v>1095</v>
      </c>
      <c r="XW9" s="1513"/>
      <c r="XX9" s="1513"/>
      <c r="XY9" s="1513"/>
      <c r="XZ9" s="1513"/>
      <c r="YA9" s="1513"/>
      <c r="YB9" s="1513"/>
      <c r="YC9" s="1513"/>
      <c r="YD9" s="1513"/>
      <c r="YE9" s="1513"/>
      <c r="YF9" s="1513"/>
      <c r="YG9" s="1513"/>
      <c r="YH9" s="1513"/>
      <c r="YI9" s="1513"/>
      <c r="YJ9" s="1513"/>
      <c r="YK9" s="1513"/>
      <c r="YL9" s="1513"/>
      <c r="YM9" s="1513"/>
      <c r="YN9" s="1513"/>
      <c r="YO9" s="1513"/>
      <c r="YP9" s="1513"/>
      <c r="YQ9" s="1513"/>
      <c r="YR9" s="1520"/>
      <c r="YS9" s="1586"/>
      <c r="YT9" s="1586"/>
      <c r="YU9" s="1586"/>
      <c r="YV9" s="1586"/>
      <c r="YW9" s="1586"/>
      <c r="YX9" s="1586"/>
      <c r="YY9" s="1586"/>
      <c r="YZ9" s="1586"/>
      <c r="ZA9" s="1586"/>
      <c r="ZB9" s="1586"/>
      <c r="ZC9" s="1586"/>
      <c r="ZD9" s="1591" t="s">
        <v>1096</v>
      </c>
      <c r="ZE9" s="1592"/>
      <c r="ZF9" s="1592"/>
      <c r="ZG9" s="1592"/>
      <c r="ZH9" s="1592"/>
      <c r="ZI9" s="1592"/>
      <c r="ZJ9" s="1592"/>
      <c r="ZK9" s="1592"/>
      <c r="ZL9" s="1592"/>
      <c r="ZM9" s="1592"/>
      <c r="ZN9" s="1592"/>
      <c r="ZO9" s="1592"/>
      <c r="ZP9" s="1591" t="s">
        <v>1097</v>
      </c>
      <c r="ZQ9" s="1592"/>
      <c r="ZR9" s="1592"/>
      <c r="ZS9" s="1592"/>
      <c r="ZT9" s="1592"/>
      <c r="ZU9" s="1592"/>
      <c r="ZV9" s="1592"/>
      <c r="ZW9" s="1592"/>
      <c r="ZX9" s="1592"/>
      <c r="ZY9" s="1592"/>
      <c r="ZZ9" s="1592"/>
      <c r="AAA9" s="1592"/>
      <c r="AAB9" s="1516"/>
      <c r="AAC9" s="1516"/>
      <c r="AAD9" s="1635" t="s">
        <v>1098</v>
      </c>
      <c r="AAE9" s="1636"/>
      <c r="AAF9" s="1572"/>
      <c r="AAG9" s="1574"/>
      <c r="AAH9" s="1641" t="s">
        <v>1099</v>
      </c>
      <c r="AAI9" s="1642"/>
      <c r="AAJ9" s="1641" t="s">
        <v>1100</v>
      </c>
      <c r="AAK9" s="1642"/>
      <c r="AAL9" s="1635" t="s">
        <v>1101</v>
      </c>
      <c r="AAM9" s="1636"/>
      <c r="AAN9" s="1572"/>
      <c r="AAO9" s="1574"/>
      <c r="AAP9" s="1641" t="s">
        <v>1102</v>
      </c>
      <c r="AAQ9" s="1642"/>
      <c r="AAR9" s="1641" t="s">
        <v>1103</v>
      </c>
      <c r="AAS9" s="1642"/>
      <c r="AAT9" s="791"/>
      <c r="AAU9" s="791"/>
    </row>
    <row r="10" spans="1:723" ht="98.25" customHeight="1" thickBot="1" x14ac:dyDescent="0.3">
      <c r="A10" s="1516"/>
      <c r="B10" s="1520"/>
      <c r="C10" s="1521"/>
      <c r="D10" s="1516"/>
      <c r="E10" s="1520"/>
      <c r="F10" s="1563" t="s">
        <v>1104</v>
      </c>
      <c r="G10" s="1571"/>
      <c r="H10" s="1531"/>
      <c r="I10" s="1533"/>
      <c r="J10" s="1633"/>
      <c r="K10" s="1634"/>
      <c r="L10" s="1633"/>
      <c r="M10" s="1634"/>
      <c r="N10" s="1563" t="s">
        <v>1105</v>
      </c>
      <c r="O10" s="1564"/>
      <c r="P10" s="1569"/>
      <c r="Q10" s="1570"/>
      <c r="R10" s="1556"/>
      <c r="S10" s="1557"/>
      <c r="T10" s="1556"/>
      <c r="U10" s="1557"/>
      <c r="V10" s="1551" t="s">
        <v>1106</v>
      </c>
      <c r="W10" s="1552"/>
      <c r="X10" s="1552"/>
      <c r="Y10" s="1552"/>
      <c r="Z10" s="1552"/>
      <c r="AA10" s="1552"/>
      <c r="AB10" s="1552"/>
      <c r="AC10" s="1553"/>
      <c r="AD10" s="1531"/>
      <c r="AE10" s="1532"/>
      <c r="AF10" s="1532"/>
      <c r="AG10" s="1532"/>
      <c r="AH10" s="1532"/>
      <c r="AI10" s="1533"/>
      <c r="AJ10" s="1556"/>
      <c r="AK10" s="1557"/>
      <c r="AL10" s="1556"/>
      <c r="AM10" s="1557"/>
      <c r="AN10" s="1521"/>
      <c r="AO10" s="1520"/>
      <c r="AP10" s="1512" t="s">
        <v>1107</v>
      </c>
      <c r="AQ10" s="1513"/>
      <c r="AR10" s="1513"/>
      <c r="AS10" s="1513"/>
      <c r="AT10" s="1513"/>
      <c r="AU10" s="1513"/>
      <c r="AV10" s="1541"/>
      <c r="AW10" s="1542"/>
      <c r="AX10" s="1542"/>
      <c r="AY10" s="1542"/>
      <c r="AZ10" s="1512" t="s">
        <v>1108</v>
      </c>
      <c r="BA10" s="1513"/>
      <c r="BB10" s="1513"/>
      <c r="BC10" s="1514"/>
      <c r="BD10" s="1522"/>
      <c r="BE10" s="1587"/>
      <c r="BF10" s="1587"/>
      <c r="BG10" s="1523"/>
      <c r="BH10" s="1594"/>
      <c r="BI10" s="1596"/>
      <c r="BJ10" s="1594"/>
      <c r="BK10" s="1596"/>
      <c r="BL10" s="1537" t="s">
        <v>1109</v>
      </c>
      <c r="BM10" s="1546"/>
      <c r="BN10" s="1541"/>
      <c r="BO10" s="1548"/>
      <c r="BP10" s="1541"/>
      <c r="BQ10" s="1548"/>
      <c r="BR10" s="1541"/>
      <c r="BS10" s="1548"/>
      <c r="BT10" s="1625" t="s">
        <v>1110</v>
      </c>
      <c r="BU10" s="1626"/>
      <c r="BV10" s="1626"/>
      <c r="BW10" s="1626"/>
      <c r="BX10" s="1626"/>
      <c r="BY10" s="1627"/>
      <c r="BZ10" s="1549" t="s">
        <v>1111</v>
      </c>
      <c r="CA10" s="1597"/>
      <c r="CB10" s="1541"/>
      <c r="CC10" s="1548"/>
      <c r="CD10" s="1541"/>
      <c r="CE10" s="1542"/>
      <c r="CF10" s="1541"/>
      <c r="CG10" s="1548"/>
      <c r="CH10" s="1512" t="s">
        <v>1112</v>
      </c>
      <c r="CI10" s="1513"/>
      <c r="CJ10" s="1513"/>
      <c r="CK10" s="1513"/>
      <c r="CL10" s="1513"/>
      <c r="CM10" s="1514"/>
      <c r="CN10" s="1512" t="s">
        <v>1113</v>
      </c>
      <c r="CO10" s="1513"/>
      <c r="CP10" s="1513"/>
      <c r="CQ10" s="1513"/>
      <c r="CR10" s="1513"/>
      <c r="CS10" s="1513"/>
      <c r="CT10" s="1513"/>
      <c r="CU10" s="1513"/>
      <c r="CV10" s="1513"/>
      <c r="CW10" s="1513"/>
      <c r="CX10" s="1513"/>
      <c r="CY10" s="1513"/>
      <c r="CZ10" s="1513"/>
      <c r="DA10" s="1514"/>
      <c r="DB10" s="1522"/>
      <c r="DC10" s="1587"/>
      <c r="DD10" s="1587"/>
      <c r="DE10" s="1587"/>
      <c r="DF10" s="1587"/>
      <c r="DG10" s="1523"/>
      <c r="DH10" s="1594"/>
      <c r="DI10" s="1595"/>
      <c r="DJ10" s="1594"/>
      <c r="DK10" s="1596"/>
      <c r="DL10" s="1512" t="s">
        <v>1114</v>
      </c>
      <c r="DM10" s="1513"/>
      <c r="DN10" s="1513"/>
      <c r="DO10" s="1513"/>
      <c r="DP10" s="1513"/>
      <c r="DQ10" s="1513"/>
      <c r="DR10" s="1513"/>
      <c r="DS10" s="1514"/>
      <c r="DT10" s="1512" t="s">
        <v>1115</v>
      </c>
      <c r="DU10" s="1513"/>
      <c r="DV10" s="1513"/>
      <c r="DW10" s="1513"/>
      <c r="DX10" s="1513"/>
      <c r="DY10" s="1514"/>
      <c r="DZ10" s="1637" t="s">
        <v>1116</v>
      </c>
      <c r="EA10" s="1638"/>
      <c r="EB10" s="1638"/>
      <c r="EC10" s="1638"/>
      <c r="ED10" s="1638"/>
      <c r="EE10" s="1638"/>
      <c r="EF10" s="1512" t="s">
        <v>1117</v>
      </c>
      <c r="EG10" s="1513"/>
      <c r="EH10" s="1513"/>
      <c r="EI10" s="1513"/>
      <c r="EJ10" s="1513"/>
      <c r="EK10" s="1513"/>
      <c r="EL10" s="1513"/>
      <c r="EM10" s="1514"/>
      <c r="EN10" s="1512" t="s">
        <v>1118</v>
      </c>
      <c r="EO10" s="1513"/>
      <c r="EP10" s="1513"/>
      <c r="EQ10" s="1513"/>
      <c r="ER10" s="1513"/>
      <c r="ES10" s="1514"/>
      <c r="ET10" s="1625" t="s">
        <v>1119</v>
      </c>
      <c r="EU10" s="1626"/>
      <c r="EV10" s="1626"/>
      <c r="EW10" s="1626"/>
      <c r="EX10" s="1626"/>
      <c r="EY10" s="1627"/>
      <c r="EZ10" s="1522"/>
      <c r="FA10" s="1587"/>
      <c r="FB10" s="1587"/>
      <c r="FC10" s="1587"/>
      <c r="FD10" s="1587"/>
      <c r="FE10" s="1523"/>
      <c r="FF10" s="1620"/>
      <c r="FG10" s="1624"/>
      <c r="FH10" s="1624"/>
      <c r="FI10" s="1624"/>
      <c r="FJ10" s="1624"/>
      <c r="FK10" s="1621"/>
      <c r="FL10" s="1620"/>
      <c r="FM10" s="1624"/>
      <c r="FN10" s="1624"/>
      <c r="FO10" s="1624"/>
      <c r="FP10" s="1624"/>
      <c r="FQ10" s="1621"/>
      <c r="FR10" s="1549" t="s">
        <v>1120</v>
      </c>
      <c r="FS10" s="1550"/>
      <c r="FT10" s="1550"/>
      <c r="FU10" s="1550"/>
      <c r="FV10" s="1550"/>
      <c r="FW10" s="1597"/>
      <c r="FX10" s="1625" t="s">
        <v>1121</v>
      </c>
      <c r="FY10" s="1626"/>
      <c r="FZ10" s="1626"/>
      <c r="GA10" s="1626"/>
      <c r="GB10" s="1626"/>
      <c r="GC10" s="1627"/>
      <c r="GD10" s="1612"/>
      <c r="GE10" s="1613"/>
      <c r="GF10" s="1613"/>
      <c r="GG10" s="1613"/>
      <c r="GH10" s="1613"/>
      <c r="GI10" s="1614"/>
      <c r="GJ10" s="1620"/>
      <c r="GK10" s="1621"/>
      <c r="GL10" s="1620"/>
      <c r="GM10" s="1621"/>
      <c r="GN10" s="1512" t="s">
        <v>1122</v>
      </c>
      <c r="GO10" s="1513"/>
      <c r="GP10" s="1513"/>
      <c r="GQ10" s="1513"/>
      <c r="GR10" s="1513"/>
      <c r="GS10" s="1513"/>
      <c r="GT10" s="1513"/>
      <c r="GU10" s="1514"/>
      <c r="GV10" s="1612"/>
      <c r="GW10" s="1613"/>
      <c r="GX10" s="1613"/>
      <c r="GY10" s="1614"/>
      <c r="GZ10" s="1620"/>
      <c r="HA10" s="1624"/>
      <c r="HB10" s="1620"/>
      <c r="HC10" s="1624"/>
      <c r="HD10" s="1512" t="s">
        <v>1123</v>
      </c>
      <c r="HE10" s="1513"/>
      <c r="HF10" s="1513"/>
      <c r="HG10" s="1513"/>
      <c r="HH10" s="1513"/>
      <c r="HI10" s="1514"/>
      <c r="HJ10" s="1512" t="s">
        <v>1124</v>
      </c>
      <c r="HK10" s="1513"/>
      <c r="HL10" s="1513"/>
      <c r="HM10" s="1513"/>
      <c r="HN10" s="1513"/>
      <c r="HO10" s="1514"/>
      <c r="HP10" s="1522"/>
      <c r="HQ10" s="1587"/>
      <c r="HR10" s="1587"/>
      <c r="HS10" s="1587"/>
      <c r="HT10" s="1587"/>
      <c r="HU10" s="1523"/>
      <c r="HV10" s="1620"/>
      <c r="HW10" s="1624"/>
      <c r="HX10" s="1624"/>
      <c r="HY10" s="1624"/>
      <c r="HZ10" s="1624"/>
      <c r="IA10" s="1621"/>
      <c r="IB10" s="1620"/>
      <c r="IC10" s="1624"/>
      <c r="ID10" s="1624"/>
      <c r="IE10" s="1624"/>
      <c r="IF10" s="1624"/>
      <c r="IG10" s="1621"/>
      <c r="IH10" s="1512" t="s">
        <v>1125</v>
      </c>
      <c r="II10" s="1513"/>
      <c r="IJ10" s="1513"/>
      <c r="IK10" s="1513"/>
      <c r="IL10" s="1513"/>
      <c r="IM10" s="1514"/>
      <c r="IN10" s="1612"/>
      <c r="IO10" s="1613"/>
      <c r="IP10" s="1613"/>
      <c r="IQ10" s="1613"/>
      <c r="IR10" s="1613"/>
      <c r="IS10" s="1614"/>
      <c r="IT10" s="1620"/>
      <c r="IU10" s="1624"/>
      <c r="IV10" s="1620"/>
      <c r="IW10" s="1624"/>
      <c r="IX10" s="1625" t="s">
        <v>1126</v>
      </c>
      <c r="IY10" s="1626"/>
      <c r="IZ10" s="1626"/>
      <c r="JA10" s="1626"/>
      <c r="JB10" s="1626"/>
      <c r="JC10" s="1626"/>
      <c r="JD10" s="1512" t="s">
        <v>1127</v>
      </c>
      <c r="JE10" s="1513"/>
      <c r="JF10" s="1513"/>
      <c r="JG10" s="1513"/>
      <c r="JH10" s="1513"/>
      <c r="JI10" s="1514"/>
      <c r="JJ10" s="1549" t="s">
        <v>1128</v>
      </c>
      <c r="JK10" s="1550"/>
      <c r="JL10" s="1550"/>
      <c r="JM10" s="1550"/>
      <c r="JN10" s="1550"/>
      <c r="JO10" s="1597"/>
      <c r="JP10" s="1541"/>
      <c r="JQ10" s="1542"/>
      <c r="JR10" s="1542"/>
      <c r="JS10" s="1542"/>
      <c r="JT10" s="1542"/>
      <c r="JU10" s="1548"/>
      <c r="JV10" s="1541"/>
      <c r="JW10" s="1542"/>
      <c r="JX10" s="1542"/>
      <c r="JY10" s="1542"/>
      <c r="JZ10" s="1542"/>
      <c r="KA10" s="1548"/>
      <c r="KB10" s="1541"/>
      <c r="KC10" s="1542"/>
      <c r="KD10" s="1542"/>
      <c r="KE10" s="1542"/>
      <c r="KF10" s="1542"/>
      <c r="KG10" s="1548"/>
      <c r="KH10" s="1512" t="s">
        <v>1129</v>
      </c>
      <c r="KI10" s="1513"/>
      <c r="KJ10" s="1513"/>
      <c r="KK10" s="1513"/>
      <c r="KL10" s="1513"/>
      <c r="KM10" s="1513"/>
      <c r="KN10" s="1513"/>
      <c r="KO10" s="1513"/>
      <c r="KP10" s="1513"/>
      <c r="KQ10" s="1514"/>
      <c r="KR10" s="1541"/>
      <c r="KS10" s="1542"/>
      <c r="KT10" s="1542"/>
      <c r="KU10" s="1542"/>
      <c r="KV10" s="1542"/>
      <c r="KW10" s="1542"/>
      <c r="KX10" s="1542"/>
      <c r="KY10" s="1542"/>
      <c r="KZ10" s="1542"/>
      <c r="LA10" s="1548"/>
      <c r="LB10" s="1541"/>
      <c r="LC10" s="1542"/>
      <c r="LD10" s="1542"/>
      <c r="LE10" s="1542"/>
      <c r="LF10" s="1542"/>
      <c r="LG10" s="1548"/>
      <c r="LH10" s="1541"/>
      <c r="LI10" s="1542"/>
      <c r="LJ10" s="1542"/>
      <c r="LK10" s="1542"/>
      <c r="LL10" s="1542"/>
      <c r="LM10" s="1548"/>
      <c r="LN10" s="1551" t="s">
        <v>1130</v>
      </c>
      <c r="LO10" s="1552"/>
      <c r="LP10" s="1552"/>
      <c r="LQ10" s="1552"/>
      <c r="LR10" s="1552"/>
      <c r="LS10" s="1552"/>
      <c r="LT10" s="1552"/>
      <c r="LU10" s="1553"/>
      <c r="LV10" s="1569"/>
      <c r="LW10" s="1666"/>
      <c r="LX10" s="1666"/>
      <c r="LY10" s="1666"/>
      <c r="LZ10" s="1666"/>
      <c r="MA10" s="1666"/>
      <c r="MB10" s="1666"/>
      <c r="MC10" s="1570"/>
      <c r="MD10" s="1661"/>
      <c r="ME10" s="1662"/>
      <c r="MF10" s="1662"/>
      <c r="MG10" s="1662"/>
      <c r="MH10" s="1662"/>
      <c r="MI10" s="1662"/>
      <c r="MJ10" s="1662"/>
      <c r="MK10" s="1663"/>
      <c r="ML10" s="1661"/>
      <c r="MM10" s="1662"/>
      <c r="MN10" s="1662"/>
      <c r="MO10" s="1662"/>
      <c r="MP10" s="1662"/>
      <c r="MQ10" s="1662"/>
      <c r="MR10" s="1662"/>
      <c r="MS10" s="1663"/>
      <c r="MT10" s="1512" t="s">
        <v>1131</v>
      </c>
      <c r="MU10" s="1513"/>
      <c r="MV10" s="1513"/>
      <c r="MW10" s="1513"/>
      <c r="MX10" s="1513"/>
      <c r="MY10" s="1513"/>
      <c r="MZ10" s="1513"/>
      <c r="NA10" s="1513"/>
      <c r="NB10" s="1513"/>
      <c r="NC10" s="1513"/>
      <c r="ND10" s="1513"/>
      <c r="NE10" s="1513"/>
      <c r="NF10" s="1513"/>
      <c r="NG10" s="1513"/>
      <c r="NH10" s="1513"/>
      <c r="NI10" s="1513"/>
      <c r="NJ10" s="1522"/>
      <c r="NK10" s="1587"/>
      <c r="NL10" s="1587"/>
      <c r="NM10" s="1587"/>
      <c r="NN10" s="1587"/>
      <c r="NO10" s="1523"/>
      <c r="NP10" s="1620"/>
      <c r="NQ10" s="1624"/>
      <c r="NR10" s="1624"/>
      <c r="NS10" s="1624"/>
      <c r="NT10" s="1624"/>
      <c r="NU10" s="1621"/>
      <c r="NV10" s="1594"/>
      <c r="NW10" s="1595"/>
      <c r="NX10" s="1595"/>
      <c r="NY10" s="1595"/>
      <c r="NZ10" s="1595"/>
      <c r="OA10" s="1595"/>
      <c r="OB10" s="1549" t="s">
        <v>1132</v>
      </c>
      <c r="OC10" s="1550"/>
      <c r="OD10" s="1550"/>
      <c r="OE10" s="1550"/>
      <c r="OF10" s="1550"/>
      <c r="OG10" s="1550"/>
      <c r="OH10" s="1550"/>
      <c r="OI10" s="1597"/>
      <c r="OJ10" s="1512" t="s">
        <v>1133</v>
      </c>
      <c r="OK10" s="1513"/>
      <c r="OL10" s="1513"/>
      <c r="OM10" s="1513"/>
      <c r="ON10" s="1513"/>
      <c r="OO10" s="1513"/>
      <c r="OP10" s="1513"/>
      <c r="OQ10" s="1514"/>
      <c r="OR10" s="1522"/>
      <c r="OS10" s="1587"/>
      <c r="OT10" s="1587"/>
      <c r="OU10" s="1587"/>
      <c r="OV10" s="1587"/>
      <c r="OW10" s="1587"/>
      <c r="OX10" s="1587"/>
      <c r="OY10" s="1523"/>
      <c r="OZ10" s="1594"/>
      <c r="PA10" s="1595"/>
      <c r="PB10" s="1595"/>
      <c r="PC10" s="1595"/>
      <c r="PD10" s="1595"/>
      <c r="PE10" s="1595"/>
      <c r="PF10" s="1595"/>
      <c r="PG10" s="1596"/>
      <c r="PH10" s="1594"/>
      <c r="PI10" s="1595"/>
      <c r="PJ10" s="1595"/>
      <c r="PK10" s="1595"/>
      <c r="PL10" s="1595"/>
      <c r="PM10" s="1595"/>
      <c r="PN10" s="1595"/>
      <c r="PO10" s="1596"/>
      <c r="PP10" s="1512" t="s">
        <v>1134</v>
      </c>
      <c r="PQ10" s="1513"/>
      <c r="PR10" s="1513"/>
      <c r="PS10" s="1513"/>
      <c r="PT10" s="1513"/>
      <c r="PU10" s="1513"/>
      <c r="PV10" s="1513"/>
      <c r="PW10" s="1513"/>
      <c r="PX10" s="1513"/>
      <c r="PY10" s="1514"/>
      <c r="PZ10" s="1522"/>
      <c r="QA10" s="1587"/>
      <c r="QB10" s="1587"/>
      <c r="QC10" s="1587"/>
      <c r="QD10" s="1587"/>
      <c r="QE10" s="1523"/>
      <c r="QF10" s="1594"/>
      <c r="QG10" s="1595"/>
      <c r="QH10" s="1595"/>
      <c r="QI10" s="1595"/>
      <c r="QJ10" s="1595"/>
      <c r="QK10" s="1596"/>
      <c r="QL10" s="1594"/>
      <c r="QM10" s="1595"/>
      <c r="QN10" s="1595"/>
      <c r="QO10" s="1595"/>
      <c r="QP10" s="1595"/>
      <c r="QQ10" s="1596"/>
      <c r="QR10" s="1512" t="s">
        <v>1135</v>
      </c>
      <c r="QS10" s="1513"/>
      <c r="QT10" s="1513"/>
      <c r="QU10" s="1513"/>
      <c r="QV10" s="1513"/>
      <c r="QW10" s="1513"/>
      <c r="QX10" s="1549" t="s">
        <v>1136</v>
      </c>
      <c r="QY10" s="1550"/>
      <c r="QZ10" s="1550"/>
      <c r="RA10" s="1550"/>
      <c r="RB10" s="1550"/>
      <c r="RC10" s="1550"/>
      <c r="RD10" s="1541"/>
      <c r="RE10" s="1542"/>
      <c r="RF10" s="1542"/>
      <c r="RG10" s="1542"/>
      <c r="RH10" s="1542"/>
      <c r="RI10" s="1548"/>
      <c r="RJ10" s="1541"/>
      <c r="RK10" s="1542"/>
      <c r="RL10" s="1542"/>
      <c r="RM10" s="1542"/>
      <c r="RN10" s="1542"/>
      <c r="RO10" s="1548"/>
      <c r="RP10" s="1541"/>
      <c r="RQ10" s="1542"/>
      <c r="RR10" s="1542"/>
      <c r="RS10" s="1542"/>
      <c r="RT10" s="1542"/>
      <c r="RU10" s="1548"/>
      <c r="RV10" s="1549" t="s">
        <v>1137</v>
      </c>
      <c r="RW10" s="1550"/>
      <c r="RX10" s="1550"/>
      <c r="RY10" s="1550"/>
      <c r="RZ10" s="1550"/>
      <c r="SA10" s="1597"/>
      <c r="SB10" s="1512" t="s">
        <v>1138</v>
      </c>
      <c r="SC10" s="1513"/>
      <c r="SD10" s="1513"/>
      <c r="SE10" s="1513"/>
      <c r="SF10" s="1513"/>
      <c r="SG10" s="1513"/>
      <c r="SH10" s="1513"/>
      <c r="SI10" s="1514"/>
      <c r="SJ10" s="1625" t="s">
        <v>1139</v>
      </c>
      <c r="SK10" s="1626"/>
      <c r="SL10" s="1626"/>
      <c r="SM10" s="1626"/>
      <c r="SN10" s="1626"/>
      <c r="SO10" s="1627"/>
      <c r="SP10" s="1512" t="s">
        <v>1140</v>
      </c>
      <c r="SQ10" s="1513"/>
      <c r="SR10" s="1513"/>
      <c r="SS10" s="1513"/>
      <c r="ST10" s="1513"/>
      <c r="SU10" s="1513"/>
      <c r="SV10" s="1513"/>
      <c r="SW10" s="1513"/>
      <c r="SX10" s="1513"/>
      <c r="SY10" s="1513"/>
      <c r="SZ10" s="1513"/>
      <c r="TA10" s="1513"/>
      <c r="TB10" s="1513"/>
      <c r="TC10" s="1514"/>
      <c r="TD10" s="1522"/>
      <c r="TE10" s="1587"/>
      <c r="TF10" s="1587"/>
      <c r="TG10" s="1587"/>
      <c r="TH10" s="1587"/>
      <c r="TI10" s="1587"/>
      <c r="TJ10" s="1587"/>
      <c r="TK10" s="1587"/>
      <c r="TL10" s="1587"/>
      <c r="TM10" s="1587"/>
      <c r="TN10" s="1587"/>
      <c r="TO10" s="1587"/>
      <c r="TP10" s="1587"/>
      <c r="TQ10" s="1523"/>
      <c r="TR10" s="1620"/>
      <c r="TS10" s="1624"/>
      <c r="TT10" s="1624"/>
      <c r="TU10" s="1624"/>
      <c r="TV10" s="1624"/>
      <c r="TW10" s="1624"/>
      <c r="TX10" s="1624"/>
      <c r="TY10" s="1624"/>
      <c r="TZ10" s="1624"/>
      <c r="UA10" s="1624"/>
      <c r="UB10" s="1624"/>
      <c r="UC10" s="1624"/>
      <c r="UD10" s="1624"/>
      <c r="UE10" s="1621"/>
      <c r="UF10" s="1620"/>
      <c r="UG10" s="1624"/>
      <c r="UH10" s="1624"/>
      <c r="UI10" s="1624"/>
      <c r="UJ10" s="1624"/>
      <c r="UK10" s="1624"/>
      <c r="UL10" s="1624"/>
      <c r="UM10" s="1624"/>
      <c r="UN10" s="1624"/>
      <c r="UO10" s="1624"/>
      <c r="UP10" s="1624"/>
      <c r="UQ10" s="1624"/>
      <c r="UR10" s="1624"/>
      <c r="US10" s="1621"/>
      <c r="UT10" s="1512" t="s">
        <v>1141</v>
      </c>
      <c r="UU10" s="1514"/>
      <c r="UV10" s="1522"/>
      <c r="UW10" s="1523"/>
      <c r="UX10" s="1594"/>
      <c r="UY10" s="1596"/>
      <c r="UZ10" s="1594"/>
      <c r="VA10" s="1596"/>
      <c r="VB10" s="1516"/>
      <c r="VC10" s="1539"/>
      <c r="VD10" s="1602"/>
      <c r="VE10" s="1516"/>
      <c r="VF10" s="1540"/>
      <c r="VG10" s="1539"/>
      <c r="VH10" s="1512" t="s">
        <v>1142</v>
      </c>
      <c r="VI10" s="1564"/>
      <c r="VJ10" s="1512" t="s">
        <v>1143</v>
      </c>
      <c r="VK10" s="1640"/>
      <c r="VL10" s="1522"/>
      <c r="VM10" s="1523"/>
      <c r="VN10" s="1522"/>
      <c r="VO10" s="1523"/>
      <c r="VP10" s="1512" t="s">
        <v>1144</v>
      </c>
      <c r="VQ10" s="1514"/>
      <c r="VR10" s="1625" t="s">
        <v>1145</v>
      </c>
      <c r="VS10" s="1627"/>
      <c r="VT10" s="1512" t="s">
        <v>1146</v>
      </c>
      <c r="VU10" s="1514"/>
      <c r="VV10" s="1512" t="s">
        <v>1147</v>
      </c>
      <c r="VW10" s="1514"/>
      <c r="VX10" s="1512" t="s">
        <v>1148</v>
      </c>
      <c r="VY10" s="1513"/>
      <c r="VZ10" s="1513"/>
      <c r="WA10" s="1513"/>
      <c r="WB10" s="1513"/>
      <c r="WC10" s="1514"/>
      <c r="WD10" s="1563" t="s">
        <v>1149</v>
      </c>
      <c r="WE10" s="1571"/>
      <c r="WF10" s="1571"/>
      <c r="WG10" s="1571"/>
      <c r="WH10" s="1571"/>
      <c r="WI10" s="1571"/>
      <c r="WJ10" s="1520"/>
      <c r="WK10" s="1516"/>
      <c r="WL10" s="1612" t="s">
        <v>1364</v>
      </c>
      <c r="WM10" s="1613"/>
      <c r="WN10" s="1613"/>
      <c r="WO10" s="1613"/>
      <c r="WP10" s="1613"/>
      <c r="WQ10" s="1614"/>
      <c r="WR10" s="1512" t="s">
        <v>1150</v>
      </c>
      <c r="WS10" s="1513"/>
      <c r="WT10" s="1513"/>
      <c r="WU10" s="1513"/>
      <c r="WV10" s="1513"/>
      <c r="WW10" s="1514"/>
      <c r="WX10" s="1512" t="s">
        <v>1151</v>
      </c>
      <c r="WY10" s="1513"/>
      <c r="WZ10" s="1513"/>
      <c r="XA10" s="1513"/>
      <c r="XB10" s="1513"/>
      <c r="XC10" s="1514"/>
      <c r="XD10" s="1512" t="s">
        <v>1152</v>
      </c>
      <c r="XE10" s="1513"/>
      <c r="XF10" s="1513"/>
      <c r="XG10" s="1513"/>
      <c r="XH10" s="1513"/>
      <c r="XI10" s="1514"/>
      <c r="XJ10" s="1635" t="s">
        <v>1153</v>
      </c>
      <c r="XK10" s="1639"/>
      <c r="XL10" s="1639"/>
      <c r="XM10" s="1639"/>
      <c r="XN10" s="1522"/>
      <c r="XO10" s="1587"/>
      <c r="XP10" s="1587"/>
      <c r="XQ10" s="1587"/>
      <c r="XR10" s="1620"/>
      <c r="XS10" s="1621"/>
      <c r="XT10" s="1620"/>
      <c r="XU10" s="1621"/>
      <c r="XV10" s="1518" t="s">
        <v>1154</v>
      </c>
      <c r="XW10" s="1513"/>
      <c r="XX10" s="1513"/>
      <c r="XY10" s="1513"/>
      <c r="XZ10" s="1513"/>
      <c r="YA10" s="1519"/>
      <c r="YB10" s="1513"/>
      <c r="YC10" s="1513"/>
      <c r="YD10" s="1513"/>
      <c r="YE10" s="1513"/>
      <c r="YF10" s="1513"/>
      <c r="YG10" s="1513"/>
      <c r="YH10" s="1513"/>
      <c r="YI10" s="1513"/>
      <c r="YJ10" s="1513"/>
      <c r="YK10" s="1513"/>
      <c r="YL10" s="1513"/>
      <c r="YM10" s="1513"/>
      <c r="YN10" s="1513"/>
      <c r="YO10" s="1513"/>
      <c r="YP10" s="1513"/>
      <c r="YQ10" s="1513"/>
      <c r="YR10" s="1522"/>
      <c r="YS10" s="1587"/>
      <c r="YT10" s="1587"/>
      <c r="YU10" s="1587"/>
      <c r="YV10" s="1587"/>
      <c r="YW10" s="1587"/>
      <c r="YX10" s="1587"/>
      <c r="YY10" s="1587"/>
      <c r="YZ10" s="1587"/>
      <c r="ZA10" s="1587"/>
      <c r="ZB10" s="1587"/>
      <c r="ZC10" s="1587"/>
      <c r="ZD10" s="1594"/>
      <c r="ZE10" s="1595"/>
      <c r="ZF10" s="1595"/>
      <c r="ZG10" s="1595"/>
      <c r="ZH10" s="1595"/>
      <c r="ZI10" s="1595"/>
      <c r="ZJ10" s="1595"/>
      <c r="ZK10" s="1595"/>
      <c r="ZL10" s="1595"/>
      <c r="ZM10" s="1595"/>
      <c r="ZN10" s="1595"/>
      <c r="ZO10" s="1595"/>
      <c r="ZP10" s="1594"/>
      <c r="ZQ10" s="1595"/>
      <c r="ZR10" s="1595"/>
      <c r="ZS10" s="1595"/>
      <c r="ZT10" s="1595"/>
      <c r="ZU10" s="1595"/>
      <c r="ZV10" s="1595"/>
      <c r="ZW10" s="1595"/>
      <c r="ZX10" s="1595"/>
      <c r="ZY10" s="1595"/>
      <c r="ZZ10" s="1595"/>
      <c r="AAA10" s="1595"/>
      <c r="AAB10" s="1516"/>
      <c r="AAC10" s="1516"/>
      <c r="AAD10" s="1635" t="s">
        <v>1155</v>
      </c>
      <c r="AAE10" s="1636"/>
      <c r="AAF10" s="1575"/>
      <c r="AAG10" s="1577"/>
      <c r="AAH10" s="1643"/>
      <c r="AAI10" s="1644"/>
      <c r="AAJ10" s="1643"/>
      <c r="AAK10" s="1644"/>
      <c r="AAL10" s="1635" t="s">
        <v>1156</v>
      </c>
      <c r="AAM10" s="1636"/>
      <c r="AAN10" s="1575"/>
      <c r="AAO10" s="1577"/>
      <c r="AAP10" s="1643"/>
      <c r="AAQ10" s="1644"/>
      <c r="AAR10" s="1643"/>
      <c r="AAS10" s="1644"/>
      <c r="AAT10" s="791"/>
      <c r="AAU10" s="791"/>
    </row>
    <row r="11" spans="1:723" ht="27" customHeight="1" thickBot="1" x14ac:dyDescent="0.3">
      <c r="A11" s="1517"/>
      <c r="B11" s="795" t="s">
        <v>314</v>
      </c>
      <c r="C11" s="1283" t="s">
        <v>316</v>
      </c>
      <c r="D11" s="1516"/>
      <c r="E11" s="1520"/>
      <c r="F11" s="795" t="s">
        <v>314</v>
      </c>
      <c r="G11" s="1281" t="s">
        <v>316</v>
      </c>
      <c r="H11" s="795" t="s">
        <v>314</v>
      </c>
      <c r="I11" s="1282" t="s">
        <v>316</v>
      </c>
      <c r="J11" s="1289" t="s">
        <v>314</v>
      </c>
      <c r="K11" s="1288" t="s">
        <v>316</v>
      </c>
      <c r="L11" s="796" t="s">
        <v>314</v>
      </c>
      <c r="M11" s="1289" t="s">
        <v>316</v>
      </c>
      <c r="N11" s="795" t="s">
        <v>314</v>
      </c>
      <c r="O11" s="1281" t="s">
        <v>316</v>
      </c>
      <c r="P11" s="795" t="s">
        <v>314</v>
      </c>
      <c r="Q11" s="1281" t="s">
        <v>316</v>
      </c>
      <c r="R11" s="796" t="s">
        <v>314</v>
      </c>
      <c r="S11" s="1289" t="s">
        <v>316</v>
      </c>
      <c r="T11" s="796" t="s">
        <v>314</v>
      </c>
      <c r="U11" s="1289" t="s">
        <v>316</v>
      </c>
      <c r="V11" s="795" t="s">
        <v>314</v>
      </c>
      <c r="W11" s="1291" t="s">
        <v>632</v>
      </c>
      <c r="X11" s="797" t="s">
        <v>634</v>
      </c>
      <c r="Y11" s="1299" t="s">
        <v>638</v>
      </c>
      <c r="Z11" s="1282" t="s">
        <v>316</v>
      </c>
      <c r="AA11" s="797" t="s">
        <v>632</v>
      </c>
      <c r="AB11" s="1292" t="s">
        <v>634</v>
      </c>
      <c r="AC11" s="797" t="s">
        <v>638</v>
      </c>
      <c r="AD11" s="1281" t="s">
        <v>314</v>
      </c>
      <c r="AE11" s="1291" t="s">
        <v>630</v>
      </c>
      <c r="AF11" s="797" t="s">
        <v>636</v>
      </c>
      <c r="AG11" s="795" t="s">
        <v>316</v>
      </c>
      <c r="AH11" s="1292" t="s">
        <v>630</v>
      </c>
      <c r="AI11" s="797" t="s">
        <v>636</v>
      </c>
      <c r="AJ11" s="796" t="s">
        <v>314</v>
      </c>
      <c r="AK11" s="1289" t="s">
        <v>316</v>
      </c>
      <c r="AL11" s="796" t="s">
        <v>314</v>
      </c>
      <c r="AM11" s="796" t="s">
        <v>316</v>
      </c>
      <c r="AN11" s="1523"/>
      <c r="AO11" s="1522"/>
      <c r="AP11" s="795" t="s">
        <v>314</v>
      </c>
      <c r="AQ11" s="1291" t="s">
        <v>495</v>
      </c>
      <c r="AR11" s="798" t="s">
        <v>1157</v>
      </c>
      <c r="AS11" s="795" t="s">
        <v>316</v>
      </c>
      <c r="AT11" s="799" t="s">
        <v>495</v>
      </c>
      <c r="AU11" s="800" t="s">
        <v>1157</v>
      </c>
      <c r="AV11" s="795" t="s">
        <v>314</v>
      </c>
      <c r="AW11" s="798" t="s">
        <v>1157</v>
      </c>
      <c r="AX11" s="795" t="s">
        <v>316</v>
      </c>
      <c r="AY11" s="798" t="s">
        <v>1157</v>
      </c>
      <c r="AZ11" s="795" t="s">
        <v>314</v>
      </c>
      <c r="BA11" s="798" t="s">
        <v>459</v>
      </c>
      <c r="BB11" s="795" t="s">
        <v>316</v>
      </c>
      <c r="BC11" s="802" t="s">
        <v>459</v>
      </c>
      <c r="BD11" s="1283" t="s">
        <v>314</v>
      </c>
      <c r="BE11" s="798" t="s">
        <v>459</v>
      </c>
      <c r="BF11" s="795" t="s">
        <v>316</v>
      </c>
      <c r="BG11" s="802" t="s">
        <v>459</v>
      </c>
      <c r="BH11" s="1297" t="s">
        <v>314</v>
      </c>
      <c r="BI11" s="803" t="s">
        <v>316</v>
      </c>
      <c r="BJ11" s="1298" t="s">
        <v>314</v>
      </c>
      <c r="BK11" s="803" t="s">
        <v>316</v>
      </c>
      <c r="BL11" s="1284" t="s">
        <v>314</v>
      </c>
      <c r="BM11" s="1283" t="s">
        <v>316</v>
      </c>
      <c r="BN11" s="1285" t="s">
        <v>314</v>
      </c>
      <c r="BO11" s="795" t="s">
        <v>316</v>
      </c>
      <c r="BP11" s="1289" t="s">
        <v>314</v>
      </c>
      <c r="BQ11" s="796" t="s">
        <v>316</v>
      </c>
      <c r="BR11" s="796" t="s">
        <v>314</v>
      </c>
      <c r="BS11" s="1290" t="s">
        <v>316</v>
      </c>
      <c r="BT11" s="1280" t="s">
        <v>314</v>
      </c>
      <c r="BU11" s="1286" t="s">
        <v>1275</v>
      </c>
      <c r="BV11" s="804" t="s">
        <v>487</v>
      </c>
      <c r="BW11" s="795" t="s">
        <v>316</v>
      </c>
      <c r="BX11" s="797" t="s">
        <v>1275</v>
      </c>
      <c r="BY11" s="805" t="s">
        <v>487</v>
      </c>
      <c r="BZ11" s="1283" t="s">
        <v>314</v>
      </c>
      <c r="CA11" s="1285" t="s">
        <v>316</v>
      </c>
      <c r="CB11" s="795" t="s">
        <v>314</v>
      </c>
      <c r="CC11" s="1283" t="s">
        <v>316</v>
      </c>
      <c r="CD11" s="1288" t="s">
        <v>314</v>
      </c>
      <c r="CE11" s="796" t="s">
        <v>316</v>
      </c>
      <c r="CF11" s="1289" t="s">
        <v>314</v>
      </c>
      <c r="CG11" s="796" t="s">
        <v>316</v>
      </c>
      <c r="CH11" s="1280" t="s">
        <v>314</v>
      </c>
      <c r="CI11" s="797" t="s">
        <v>489</v>
      </c>
      <c r="CJ11" s="804" t="s">
        <v>491</v>
      </c>
      <c r="CK11" s="795" t="s">
        <v>316</v>
      </c>
      <c r="CL11" s="797" t="s">
        <v>489</v>
      </c>
      <c r="CM11" s="805" t="s">
        <v>491</v>
      </c>
      <c r="CN11" s="1280" t="s">
        <v>314</v>
      </c>
      <c r="CO11" s="805" t="s">
        <v>1158</v>
      </c>
      <c r="CP11" s="806" t="s">
        <v>1159</v>
      </c>
      <c r="CQ11" s="805" t="s">
        <v>1160</v>
      </c>
      <c r="CR11" s="806" t="s">
        <v>1161</v>
      </c>
      <c r="CS11" s="805" t="s">
        <v>1162</v>
      </c>
      <c r="CT11" s="806" t="s">
        <v>1163</v>
      </c>
      <c r="CU11" s="795" t="s">
        <v>316</v>
      </c>
      <c r="CV11" s="805" t="s">
        <v>1158</v>
      </c>
      <c r="CW11" s="806" t="s">
        <v>1159</v>
      </c>
      <c r="CX11" s="805" t="s">
        <v>1160</v>
      </c>
      <c r="CY11" s="806" t="s">
        <v>1161</v>
      </c>
      <c r="CZ11" s="805" t="s">
        <v>1162</v>
      </c>
      <c r="DA11" s="807" t="s">
        <v>1163</v>
      </c>
      <c r="DB11" s="1280" t="s">
        <v>314</v>
      </c>
      <c r="DC11" s="805" t="s">
        <v>1160</v>
      </c>
      <c r="DD11" s="806" t="s">
        <v>1161</v>
      </c>
      <c r="DE11" s="795" t="s">
        <v>316</v>
      </c>
      <c r="DF11" s="805" t="s">
        <v>1160</v>
      </c>
      <c r="DG11" s="809" t="s">
        <v>1161</v>
      </c>
      <c r="DH11" s="1289" t="s">
        <v>314</v>
      </c>
      <c r="DI11" s="796" t="s">
        <v>316</v>
      </c>
      <c r="DJ11" s="1289" t="s">
        <v>314</v>
      </c>
      <c r="DK11" s="796" t="s">
        <v>316</v>
      </c>
      <c r="DL11" s="795" t="s">
        <v>314</v>
      </c>
      <c r="DM11" s="808" t="s">
        <v>530</v>
      </c>
      <c r="DN11" s="804" t="s">
        <v>528</v>
      </c>
      <c r="DO11" s="805" t="s">
        <v>446</v>
      </c>
      <c r="DP11" s="1283" t="s">
        <v>316</v>
      </c>
      <c r="DQ11" s="808" t="s">
        <v>530</v>
      </c>
      <c r="DR11" s="804" t="s">
        <v>528</v>
      </c>
      <c r="DS11" s="804" t="s">
        <v>446</v>
      </c>
      <c r="DT11" s="1280" t="s">
        <v>314</v>
      </c>
      <c r="DU11" s="808" t="s">
        <v>1164</v>
      </c>
      <c r="DV11" s="809" t="s">
        <v>1165</v>
      </c>
      <c r="DW11" s="795" t="s">
        <v>316</v>
      </c>
      <c r="DX11" s="810" t="s">
        <v>1164</v>
      </c>
      <c r="DY11" s="809" t="s">
        <v>1165</v>
      </c>
      <c r="DZ11" s="1280" t="s">
        <v>314</v>
      </c>
      <c r="EA11" s="1291" t="s">
        <v>1166</v>
      </c>
      <c r="EB11" s="811" t="s">
        <v>1167</v>
      </c>
      <c r="EC11" s="795" t="s">
        <v>316</v>
      </c>
      <c r="ED11" s="1291" t="s">
        <v>1166</v>
      </c>
      <c r="EE11" s="811" t="s">
        <v>1167</v>
      </c>
      <c r="EF11" s="1280" t="s">
        <v>314</v>
      </c>
      <c r="EG11" s="812" t="s">
        <v>1168</v>
      </c>
      <c r="EH11" s="812" t="s">
        <v>1169</v>
      </c>
      <c r="EI11" s="807" t="s">
        <v>1170</v>
      </c>
      <c r="EJ11" s="795" t="s">
        <v>316</v>
      </c>
      <c r="EK11" s="812" t="s">
        <v>1168</v>
      </c>
      <c r="EL11" s="812" t="s">
        <v>1169</v>
      </c>
      <c r="EM11" s="807" t="s">
        <v>1170</v>
      </c>
      <c r="EN11" s="1280" t="s">
        <v>314</v>
      </c>
      <c r="EO11" s="805" t="s">
        <v>1171</v>
      </c>
      <c r="EP11" s="806" t="s">
        <v>1172</v>
      </c>
      <c r="EQ11" s="795" t="s">
        <v>316</v>
      </c>
      <c r="ER11" s="805" t="s">
        <v>1171</v>
      </c>
      <c r="ES11" s="806" t="s">
        <v>1172</v>
      </c>
      <c r="ET11" s="1280" t="s">
        <v>314</v>
      </c>
      <c r="EU11" s="805" t="s">
        <v>1173</v>
      </c>
      <c r="EV11" s="806" t="s">
        <v>1174</v>
      </c>
      <c r="EW11" s="795" t="s">
        <v>316</v>
      </c>
      <c r="EX11" s="805" t="s">
        <v>1173</v>
      </c>
      <c r="EY11" s="806" t="s">
        <v>1174</v>
      </c>
      <c r="EZ11" s="1280" t="s">
        <v>314</v>
      </c>
      <c r="FA11" s="805" t="s">
        <v>1173</v>
      </c>
      <c r="FB11" s="806" t="s">
        <v>1174</v>
      </c>
      <c r="FC11" s="795" t="s">
        <v>316</v>
      </c>
      <c r="FD11" s="805" t="s">
        <v>1173</v>
      </c>
      <c r="FE11" s="806" t="s">
        <v>1174</v>
      </c>
      <c r="FF11" s="1300" t="s">
        <v>314</v>
      </c>
      <c r="FG11" s="805" t="s">
        <v>1173</v>
      </c>
      <c r="FH11" s="806" t="s">
        <v>1174</v>
      </c>
      <c r="FI11" s="801" t="s">
        <v>316</v>
      </c>
      <c r="FJ11" s="805" t="s">
        <v>1173</v>
      </c>
      <c r="FK11" s="806" t="s">
        <v>1174</v>
      </c>
      <c r="FL11" s="1300" t="s">
        <v>314</v>
      </c>
      <c r="FM11" s="805" t="s">
        <v>1173</v>
      </c>
      <c r="FN11" s="806" t="s">
        <v>1174</v>
      </c>
      <c r="FO11" s="801" t="s">
        <v>316</v>
      </c>
      <c r="FP11" s="805" t="s">
        <v>1173</v>
      </c>
      <c r="FQ11" s="806" t="s">
        <v>1174</v>
      </c>
      <c r="FR11" s="795" t="s">
        <v>314</v>
      </c>
      <c r="FS11" s="797" t="s">
        <v>560</v>
      </c>
      <c r="FT11" s="820" t="s">
        <v>1175</v>
      </c>
      <c r="FU11" s="795" t="s">
        <v>316</v>
      </c>
      <c r="FV11" s="797" t="s">
        <v>560</v>
      </c>
      <c r="FW11" s="820" t="s">
        <v>1175</v>
      </c>
      <c r="FX11" s="795" t="s">
        <v>314</v>
      </c>
      <c r="FY11" s="797" t="s">
        <v>453</v>
      </c>
      <c r="FZ11" s="820" t="s">
        <v>1176</v>
      </c>
      <c r="GA11" s="795" t="s">
        <v>316</v>
      </c>
      <c r="GB11" s="797" t="s">
        <v>453</v>
      </c>
      <c r="GC11" s="820" t="s">
        <v>1176</v>
      </c>
      <c r="GD11" s="1230" t="s">
        <v>314</v>
      </c>
      <c r="GE11" s="797" t="s">
        <v>453</v>
      </c>
      <c r="GF11" s="820" t="s">
        <v>1176</v>
      </c>
      <c r="GG11" s="1230" t="s">
        <v>316</v>
      </c>
      <c r="GH11" s="797" t="s">
        <v>453</v>
      </c>
      <c r="GI11" s="820" t="s">
        <v>1176</v>
      </c>
      <c r="GJ11" s="1302" t="s">
        <v>314</v>
      </c>
      <c r="GK11" s="1121" t="s">
        <v>316</v>
      </c>
      <c r="GL11" s="1303" t="s">
        <v>314</v>
      </c>
      <c r="GM11" s="1121" t="s">
        <v>316</v>
      </c>
      <c r="GN11" s="795" t="s">
        <v>314</v>
      </c>
      <c r="GO11" s="1305" t="s">
        <v>1177</v>
      </c>
      <c r="GP11" s="813" t="s">
        <v>1178</v>
      </c>
      <c r="GQ11" s="1291" t="s">
        <v>1179</v>
      </c>
      <c r="GR11" s="795" t="s">
        <v>316</v>
      </c>
      <c r="GS11" s="1305" t="s">
        <v>1177</v>
      </c>
      <c r="GT11" s="813" t="s">
        <v>1178</v>
      </c>
      <c r="GU11" s="797" t="s">
        <v>1179</v>
      </c>
      <c r="GV11" s="1230" t="s">
        <v>314</v>
      </c>
      <c r="GW11" s="1291" t="s">
        <v>1179</v>
      </c>
      <c r="GX11" s="1304" t="s">
        <v>316</v>
      </c>
      <c r="GY11" s="797" t="s">
        <v>1179</v>
      </c>
      <c r="GZ11" s="801" t="s">
        <v>314</v>
      </c>
      <c r="HA11" s="1300" t="s">
        <v>316</v>
      </c>
      <c r="HB11" s="801" t="s">
        <v>314</v>
      </c>
      <c r="HC11" s="1300" t="s">
        <v>316</v>
      </c>
      <c r="HD11" s="795" t="s">
        <v>314</v>
      </c>
      <c r="HE11" s="1305" t="s">
        <v>1180</v>
      </c>
      <c r="HF11" s="813" t="s">
        <v>1181</v>
      </c>
      <c r="HG11" s="795" t="s">
        <v>316</v>
      </c>
      <c r="HH11" s="1305" t="s">
        <v>1180</v>
      </c>
      <c r="HI11" s="813" t="s">
        <v>1181</v>
      </c>
      <c r="HJ11" s="795" t="s">
        <v>314</v>
      </c>
      <c r="HK11" s="1305" t="s">
        <v>1182</v>
      </c>
      <c r="HL11" s="813" t="s">
        <v>1183</v>
      </c>
      <c r="HM11" s="795" t="s">
        <v>316</v>
      </c>
      <c r="HN11" s="1305" t="s">
        <v>1182</v>
      </c>
      <c r="HO11" s="813" t="s">
        <v>1183</v>
      </c>
      <c r="HP11" s="795" t="s">
        <v>314</v>
      </c>
      <c r="HQ11" s="1305" t="s">
        <v>1182</v>
      </c>
      <c r="HR11" s="813" t="s">
        <v>1183</v>
      </c>
      <c r="HS11" s="795" t="s">
        <v>316</v>
      </c>
      <c r="HT11" s="1305" t="s">
        <v>1182</v>
      </c>
      <c r="HU11" s="813" t="s">
        <v>1183</v>
      </c>
      <c r="HV11" s="1300" t="s">
        <v>314</v>
      </c>
      <c r="HW11" s="1305" t="s">
        <v>1182</v>
      </c>
      <c r="HX11" s="813" t="s">
        <v>1183</v>
      </c>
      <c r="HY11" s="801" t="s">
        <v>316</v>
      </c>
      <c r="HZ11" s="1305" t="s">
        <v>1182</v>
      </c>
      <c r="IA11" s="813" t="s">
        <v>1183</v>
      </c>
      <c r="IB11" s="1300" t="s">
        <v>314</v>
      </c>
      <c r="IC11" s="1305" t="s">
        <v>1182</v>
      </c>
      <c r="ID11" s="813" t="s">
        <v>1183</v>
      </c>
      <c r="IE11" s="801" t="s">
        <v>316</v>
      </c>
      <c r="IF11" s="1305" t="s">
        <v>1182</v>
      </c>
      <c r="IG11" s="813" t="s">
        <v>1183</v>
      </c>
      <c r="IH11" s="1283" t="s">
        <v>314</v>
      </c>
      <c r="II11" s="1305" t="s">
        <v>1184</v>
      </c>
      <c r="IJ11" s="813" t="s">
        <v>1185</v>
      </c>
      <c r="IK11" s="795" t="s">
        <v>316</v>
      </c>
      <c r="IL11" s="1305" t="s">
        <v>1184</v>
      </c>
      <c r="IM11" s="813" t="s">
        <v>1185</v>
      </c>
      <c r="IN11" s="1229" t="s">
        <v>314</v>
      </c>
      <c r="IO11" s="1305" t="s">
        <v>1184</v>
      </c>
      <c r="IP11" s="813" t="s">
        <v>1185</v>
      </c>
      <c r="IQ11" s="1230" t="s">
        <v>316</v>
      </c>
      <c r="IR11" s="1305" t="s">
        <v>1184</v>
      </c>
      <c r="IS11" s="813" t="s">
        <v>1185</v>
      </c>
      <c r="IT11" s="1302" t="s">
        <v>314</v>
      </c>
      <c r="IU11" s="1121" t="s">
        <v>316</v>
      </c>
      <c r="IV11" s="1302" t="s">
        <v>314</v>
      </c>
      <c r="IW11" s="1121" t="s">
        <v>316</v>
      </c>
      <c r="IX11" s="1283" t="s">
        <v>314</v>
      </c>
      <c r="IY11" s="1305" t="s">
        <v>1186</v>
      </c>
      <c r="IZ11" s="813" t="s">
        <v>1187</v>
      </c>
      <c r="JA11" s="795" t="s">
        <v>316</v>
      </c>
      <c r="JB11" s="1305" t="s">
        <v>1186</v>
      </c>
      <c r="JC11" s="813" t="s">
        <v>1187</v>
      </c>
      <c r="JD11" s="1283" t="s">
        <v>314</v>
      </c>
      <c r="JE11" s="1305" t="s">
        <v>1188</v>
      </c>
      <c r="JF11" s="813" t="s">
        <v>1189</v>
      </c>
      <c r="JG11" s="795" t="s">
        <v>316</v>
      </c>
      <c r="JH11" s="1305" t="s">
        <v>1188</v>
      </c>
      <c r="JI11" s="813" t="s">
        <v>1189</v>
      </c>
      <c r="JJ11" s="795" t="s">
        <v>314</v>
      </c>
      <c r="JK11" s="1305" t="s">
        <v>1190</v>
      </c>
      <c r="JL11" s="813" t="s">
        <v>1191</v>
      </c>
      <c r="JM11" s="795" t="s">
        <v>316</v>
      </c>
      <c r="JN11" s="1305" t="s">
        <v>1190</v>
      </c>
      <c r="JO11" s="813" t="s">
        <v>1191</v>
      </c>
      <c r="JP11" s="795" t="s">
        <v>314</v>
      </c>
      <c r="JQ11" s="1305" t="s">
        <v>1190</v>
      </c>
      <c r="JR11" s="813" t="s">
        <v>1191</v>
      </c>
      <c r="JS11" s="795" t="s">
        <v>316</v>
      </c>
      <c r="JT11" s="1305" t="s">
        <v>1190</v>
      </c>
      <c r="JU11" s="813" t="s">
        <v>1191</v>
      </c>
      <c r="JV11" s="801" t="s">
        <v>314</v>
      </c>
      <c r="JW11" s="1305" t="s">
        <v>1190</v>
      </c>
      <c r="JX11" s="813" t="s">
        <v>1191</v>
      </c>
      <c r="JY11" s="1300" t="s">
        <v>316</v>
      </c>
      <c r="JZ11" s="1305" t="s">
        <v>1190</v>
      </c>
      <c r="KA11" s="813" t="s">
        <v>1191</v>
      </c>
      <c r="KB11" s="801" t="s">
        <v>314</v>
      </c>
      <c r="KC11" s="1305" t="s">
        <v>1190</v>
      </c>
      <c r="KD11" s="813" t="s">
        <v>1191</v>
      </c>
      <c r="KE11" s="1301" t="s">
        <v>316</v>
      </c>
      <c r="KF11" s="1305" t="s">
        <v>1190</v>
      </c>
      <c r="KG11" s="813" t="s">
        <v>1191</v>
      </c>
      <c r="KH11" s="795" t="s">
        <v>314</v>
      </c>
      <c r="KI11" s="1305" t="s">
        <v>1192</v>
      </c>
      <c r="KJ11" s="813" t="s">
        <v>1193</v>
      </c>
      <c r="KK11" s="1305" t="s">
        <v>1194</v>
      </c>
      <c r="KL11" s="813" t="s">
        <v>1195</v>
      </c>
      <c r="KM11" s="795" t="s">
        <v>316</v>
      </c>
      <c r="KN11" s="1305" t="s">
        <v>1192</v>
      </c>
      <c r="KO11" s="813" t="s">
        <v>1193</v>
      </c>
      <c r="KP11" s="1305" t="s">
        <v>1194</v>
      </c>
      <c r="KQ11" s="813" t="s">
        <v>1195</v>
      </c>
      <c r="KR11" s="795" t="s">
        <v>314</v>
      </c>
      <c r="KS11" s="1305" t="s">
        <v>1192</v>
      </c>
      <c r="KT11" s="813" t="s">
        <v>1193</v>
      </c>
      <c r="KU11" s="1305" t="s">
        <v>1194</v>
      </c>
      <c r="KV11" s="813" t="s">
        <v>1195</v>
      </c>
      <c r="KW11" s="795" t="s">
        <v>316</v>
      </c>
      <c r="KX11" s="1305" t="s">
        <v>1192</v>
      </c>
      <c r="KY11" s="813" t="s">
        <v>1193</v>
      </c>
      <c r="KZ11" s="1305" t="s">
        <v>1194</v>
      </c>
      <c r="LA11" s="813" t="s">
        <v>1195</v>
      </c>
      <c r="LB11" s="801" t="s">
        <v>314</v>
      </c>
      <c r="LC11" s="1305" t="s">
        <v>1192</v>
      </c>
      <c r="LD11" s="813" t="s">
        <v>1193</v>
      </c>
      <c r="LE11" s="801" t="s">
        <v>316</v>
      </c>
      <c r="LF11" s="1305" t="s">
        <v>1192</v>
      </c>
      <c r="LG11" s="813" t="s">
        <v>1193</v>
      </c>
      <c r="LH11" s="1300" t="s">
        <v>314</v>
      </c>
      <c r="LI11" s="1305" t="s">
        <v>1192</v>
      </c>
      <c r="LJ11" s="813" t="s">
        <v>1193</v>
      </c>
      <c r="LK11" s="801" t="s">
        <v>316</v>
      </c>
      <c r="LL11" s="1305" t="s">
        <v>1192</v>
      </c>
      <c r="LM11" s="813" t="s">
        <v>1193</v>
      </c>
      <c r="LN11" s="795" t="s">
        <v>314</v>
      </c>
      <c r="LO11" s="1305" t="s">
        <v>574</v>
      </c>
      <c r="LP11" s="1305" t="s">
        <v>1196</v>
      </c>
      <c r="LQ11" s="813" t="s">
        <v>1197</v>
      </c>
      <c r="LR11" s="795" t="s">
        <v>316</v>
      </c>
      <c r="LS11" s="1305" t="s">
        <v>574</v>
      </c>
      <c r="LT11" s="1305" t="s">
        <v>1196</v>
      </c>
      <c r="LU11" s="813" t="s">
        <v>1197</v>
      </c>
      <c r="LV11" s="795" t="s">
        <v>314</v>
      </c>
      <c r="LW11" s="1305" t="s">
        <v>574</v>
      </c>
      <c r="LX11" s="1305" t="s">
        <v>1196</v>
      </c>
      <c r="LY11" s="813" t="s">
        <v>1197</v>
      </c>
      <c r="LZ11" s="795" t="s">
        <v>316</v>
      </c>
      <c r="MA11" s="1305" t="s">
        <v>574</v>
      </c>
      <c r="MB11" s="1305" t="s">
        <v>1196</v>
      </c>
      <c r="MC11" s="813" t="s">
        <v>1197</v>
      </c>
      <c r="MD11" s="1300" t="s">
        <v>314</v>
      </c>
      <c r="ME11" s="1305" t="s">
        <v>574</v>
      </c>
      <c r="MF11" s="1305" t="s">
        <v>1196</v>
      </c>
      <c r="MG11" s="813" t="s">
        <v>1197</v>
      </c>
      <c r="MH11" s="1300" t="s">
        <v>316</v>
      </c>
      <c r="MI11" s="1305" t="s">
        <v>574</v>
      </c>
      <c r="MJ11" s="1305" t="s">
        <v>1196</v>
      </c>
      <c r="MK11" s="813" t="s">
        <v>1197</v>
      </c>
      <c r="ML11" s="1300" t="s">
        <v>314</v>
      </c>
      <c r="MM11" s="1305" t="s">
        <v>574</v>
      </c>
      <c r="MN11" s="1305" t="s">
        <v>1196</v>
      </c>
      <c r="MO11" s="813" t="s">
        <v>1197</v>
      </c>
      <c r="MP11" s="1300" t="s">
        <v>316</v>
      </c>
      <c r="MQ11" s="1305" t="s">
        <v>574</v>
      </c>
      <c r="MR11" s="1305" t="s">
        <v>1196</v>
      </c>
      <c r="MS11" s="813" t="s">
        <v>1197</v>
      </c>
      <c r="MT11" s="1280" t="s">
        <v>314</v>
      </c>
      <c r="MU11" s="1305" t="s">
        <v>1198</v>
      </c>
      <c r="MV11" s="813" t="s">
        <v>1199</v>
      </c>
      <c r="MW11" s="1305" t="s">
        <v>1200</v>
      </c>
      <c r="MX11" s="813" t="s">
        <v>1201</v>
      </c>
      <c r="MY11" s="814" t="s">
        <v>554</v>
      </c>
      <c r="MZ11" s="815" t="s">
        <v>1202</v>
      </c>
      <c r="NA11" s="816" t="s">
        <v>1203</v>
      </c>
      <c r="NB11" s="795" t="s">
        <v>316</v>
      </c>
      <c r="NC11" s="1305" t="s">
        <v>1198</v>
      </c>
      <c r="ND11" s="813" t="s">
        <v>1199</v>
      </c>
      <c r="NE11" s="1305" t="s">
        <v>1200</v>
      </c>
      <c r="NF11" s="813" t="s">
        <v>1201</v>
      </c>
      <c r="NG11" s="814" t="s">
        <v>554</v>
      </c>
      <c r="NH11" s="815" t="s">
        <v>1202</v>
      </c>
      <c r="NI11" s="813" t="s">
        <v>1203</v>
      </c>
      <c r="NJ11" s="1281" t="s">
        <v>314</v>
      </c>
      <c r="NK11" s="815" t="s">
        <v>1202</v>
      </c>
      <c r="NL11" s="817" t="s">
        <v>1203</v>
      </c>
      <c r="NM11" s="795" t="s">
        <v>316</v>
      </c>
      <c r="NN11" s="815" t="s">
        <v>1202</v>
      </c>
      <c r="NO11" s="817" t="s">
        <v>1203</v>
      </c>
      <c r="NP11" s="1300" t="s">
        <v>314</v>
      </c>
      <c r="NQ11" s="815" t="s">
        <v>1202</v>
      </c>
      <c r="NR11" s="817" t="s">
        <v>1203</v>
      </c>
      <c r="NS11" s="1300" t="s">
        <v>316</v>
      </c>
      <c r="NT11" s="815" t="s">
        <v>1202</v>
      </c>
      <c r="NU11" s="817" t="s">
        <v>1203</v>
      </c>
      <c r="NV11" s="801" t="s">
        <v>314</v>
      </c>
      <c r="NW11" s="815" t="s">
        <v>1202</v>
      </c>
      <c r="NX11" s="817" t="s">
        <v>1203</v>
      </c>
      <c r="NY11" s="801" t="s">
        <v>316</v>
      </c>
      <c r="NZ11" s="815" t="s">
        <v>1202</v>
      </c>
      <c r="OA11" s="817" t="s">
        <v>1203</v>
      </c>
      <c r="OB11" s="795" t="s">
        <v>314</v>
      </c>
      <c r="OC11" s="797" t="s">
        <v>534</v>
      </c>
      <c r="OD11" s="818" t="s">
        <v>1204</v>
      </c>
      <c r="OE11" s="797" t="s">
        <v>537</v>
      </c>
      <c r="OF11" s="795" t="s">
        <v>316</v>
      </c>
      <c r="OG11" s="797" t="s">
        <v>534</v>
      </c>
      <c r="OH11" s="818" t="s">
        <v>1204</v>
      </c>
      <c r="OI11" s="797" t="s">
        <v>537</v>
      </c>
      <c r="OJ11" s="795" t="s">
        <v>314</v>
      </c>
      <c r="OK11" s="1306" t="s">
        <v>1205</v>
      </c>
      <c r="OL11" s="813" t="s">
        <v>1206</v>
      </c>
      <c r="OM11" s="815" t="s">
        <v>1207</v>
      </c>
      <c r="ON11" s="795" t="s">
        <v>316</v>
      </c>
      <c r="OO11" s="1306" t="s">
        <v>1205</v>
      </c>
      <c r="OP11" s="813" t="s">
        <v>1206</v>
      </c>
      <c r="OQ11" s="815" t="s">
        <v>1207</v>
      </c>
      <c r="OR11" s="795" t="s">
        <v>314</v>
      </c>
      <c r="OS11" s="1306" t="s">
        <v>1205</v>
      </c>
      <c r="OT11" s="813" t="s">
        <v>1206</v>
      </c>
      <c r="OU11" s="815" t="s">
        <v>1207</v>
      </c>
      <c r="OV11" s="1281" t="s">
        <v>316</v>
      </c>
      <c r="OW11" s="815" t="s">
        <v>1205</v>
      </c>
      <c r="OX11" s="813" t="s">
        <v>1206</v>
      </c>
      <c r="OY11" s="815" t="s">
        <v>1207</v>
      </c>
      <c r="OZ11" s="801" t="s">
        <v>314</v>
      </c>
      <c r="PA11" s="1306" t="s">
        <v>1205</v>
      </c>
      <c r="PB11" s="813" t="s">
        <v>1206</v>
      </c>
      <c r="PC11" s="815" t="s">
        <v>1207</v>
      </c>
      <c r="PD11" s="801" t="s">
        <v>316</v>
      </c>
      <c r="PE11" s="1306" t="s">
        <v>1205</v>
      </c>
      <c r="PF11" s="813" t="s">
        <v>1206</v>
      </c>
      <c r="PG11" s="815" t="s">
        <v>1207</v>
      </c>
      <c r="PH11" s="1300" t="s">
        <v>314</v>
      </c>
      <c r="PI11" s="815" t="s">
        <v>1205</v>
      </c>
      <c r="PJ11" s="813" t="s">
        <v>1206</v>
      </c>
      <c r="PK11" s="815" t="s">
        <v>1207</v>
      </c>
      <c r="PL11" s="801" t="s">
        <v>316</v>
      </c>
      <c r="PM11" s="1306" t="s">
        <v>1205</v>
      </c>
      <c r="PN11" s="813" t="s">
        <v>1206</v>
      </c>
      <c r="PO11" s="815" t="s">
        <v>1207</v>
      </c>
      <c r="PP11" s="795" t="s">
        <v>1208</v>
      </c>
      <c r="PQ11" s="1291" t="s">
        <v>516</v>
      </c>
      <c r="PR11" s="811" t="s">
        <v>1209</v>
      </c>
      <c r="PS11" s="797" t="s">
        <v>605</v>
      </c>
      <c r="PT11" s="811" t="s">
        <v>1221</v>
      </c>
      <c r="PU11" s="795" t="s">
        <v>316</v>
      </c>
      <c r="PV11" s="1291" t="s">
        <v>516</v>
      </c>
      <c r="PW11" s="811" t="s">
        <v>1209</v>
      </c>
      <c r="PX11" s="797" t="s">
        <v>605</v>
      </c>
      <c r="PY11" s="811" t="s">
        <v>1221</v>
      </c>
      <c r="PZ11" s="795" t="s">
        <v>1208</v>
      </c>
      <c r="QA11" s="1291" t="s">
        <v>516</v>
      </c>
      <c r="QB11" s="811" t="s">
        <v>1209</v>
      </c>
      <c r="QC11" s="795" t="s">
        <v>316</v>
      </c>
      <c r="QD11" s="1291" t="s">
        <v>516</v>
      </c>
      <c r="QE11" s="811" t="s">
        <v>1209</v>
      </c>
      <c r="QF11" s="801" t="s">
        <v>1208</v>
      </c>
      <c r="QG11" s="1291" t="s">
        <v>516</v>
      </c>
      <c r="QH11" s="811" t="s">
        <v>1209</v>
      </c>
      <c r="QI11" s="801" t="s">
        <v>316</v>
      </c>
      <c r="QJ11" s="1291" t="s">
        <v>516</v>
      </c>
      <c r="QK11" s="811" t="s">
        <v>1209</v>
      </c>
      <c r="QL11" s="801" t="s">
        <v>1208</v>
      </c>
      <c r="QM11" s="1291" t="s">
        <v>516</v>
      </c>
      <c r="QN11" s="811" t="s">
        <v>1209</v>
      </c>
      <c r="QO11" s="801" t="s">
        <v>316</v>
      </c>
      <c r="QP11" s="1291" t="s">
        <v>516</v>
      </c>
      <c r="QQ11" s="811" t="s">
        <v>1209</v>
      </c>
      <c r="QR11" s="1280" t="s">
        <v>314</v>
      </c>
      <c r="QS11" s="1305" t="s">
        <v>1210</v>
      </c>
      <c r="QT11" s="813" t="s">
        <v>1211</v>
      </c>
      <c r="QU11" s="795" t="s">
        <v>316</v>
      </c>
      <c r="QV11" s="1305" t="s">
        <v>1210</v>
      </c>
      <c r="QW11" s="813" t="s">
        <v>1211</v>
      </c>
      <c r="QX11" s="1280" t="s">
        <v>314</v>
      </c>
      <c r="QY11" s="1305" t="s">
        <v>1212</v>
      </c>
      <c r="QZ11" s="813" t="s">
        <v>1213</v>
      </c>
      <c r="RA11" s="795" t="s">
        <v>316</v>
      </c>
      <c r="RB11" s="1305" t="s">
        <v>1212</v>
      </c>
      <c r="RC11" s="813" t="s">
        <v>1213</v>
      </c>
      <c r="RD11" s="1280" t="s">
        <v>314</v>
      </c>
      <c r="RE11" s="1305" t="s">
        <v>1212</v>
      </c>
      <c r="RF11" s="813" t="s">
        <v>1213</v>
      </c>
      <c r="RG11" s="795" t="s">
        <v>316</v>
      </c>
      <c r="RH11" s="1305" t="s">
        <v>1212</v>
      </c>
      <c r="RI11" s="813" t="s">
        <v>1213</v>
      </c>
      <c r="RJ11" s="1300" t="s">
        <v>314</v>
      </c>
      <c r="RK11" s="1305" t="s">
        <v>1212</v>
      </c>
      <c r="RL11" s="813" t="s">
        <v>1213</v>
      </c>
      <c r="RM11" s="801" t="s">
        <v>316</v>
      </c>
      <c r="RN11" s="1305" t="s">
        <v>1212</v>
      </c>
      <c r="RO11" s="813" t="s">
        <v>1213</v>
      </c>
      <c r="RP11" s="1300" t="s">
        <v>314</v>
      </c>
      <c r="RQ11" s="1305" t="s">
        <v>1212</v>
      </c>
      <c r="RR11" s="813" t="s">
        <v>1213</v>
      </c>
      <c r="RS11" s="801" t="s">
        <v>316</v>
      </c>
      <c r="RT11" s="1305" t="s">
        <v>1212</v>
      </c>
      <c r="RU11" s="813" t="s">
        <v>1213</v>
      </c>
      <c r="RV11" s="1280" t="s">
        <v>314</v>
      </c>
      <c r="RW11" s="810" t="s">
        <v>1214</v>
      </c>
      <c r="RX11" s="809" t="s">
        <v>1215</v>
      </c>
      <c r="RY11" s="795" t="s">
        <v>316</v>
      </c>
      <c r="RZ11" s="810" t="s">
        <v>1214</v>
      </c>
      <c r="SA11" s="809" t="s">
        <v>1215</v>
      </c>
      <c r="SB11" s="1280" t="s">
        <v>314</v>
      </c>
      <c r="SC11" s="810" t="s">
        <v>1216</v>
      </c>
      <c r="SD11" s="810" t="s">
        <v>1337</v>
      </c>
      <c r="SE11" s="809" t="s">
        <v>1338</v>
      </c>
      <c r="SF11" s="795" t="s">
        <v>316</v>
      </c>
      <c r="SG11" s="805" t="s">
        <v>1216</v>
      </c>
      <c r="SH11" s="819" t="s">
        <v>1337</v>
      </c>
      <c r="SI11" s="809" t="s">
        <v>1338</v>
      </c>
      <c r="SJ11" s="1280" t="s">
        <v>314</v>
      </c>
      <c r="SK11" s="810" t="s">
        <v>1217</v>
      </c>
      <c r="SL11" s="809" t="s">
        <v>1218</v>
      </c>
      <c r="SM11" s="795" t="s">
        <v>316</v>
      </c>
      <c r="SN11" s="810" t="s">
        <v>1217</v>
      </c>
      <c r="SO11" s="809" t="s">
        <v>1218</v>
      </c>
      <c r="SP11" s="1284" t="s">
        <v>1208</v>
      </c>
      <c r="SQ11" s="797" t="s">
        <v>1219</v>
      </c>
      <c r="SR11" s="820" t="s">
        <v>1220</v>
      </c>
      <c r="SS11" s="1291" t="s">
        <v>1371</v>
      </c>
      <c r="ST11" s="811" t="s">
        <v>1372</v>
      </c>
      <c r="SU11" s="797" t="s">
        <v>605</v>
      </c>
      <c r="SV11" s="811" t="s">
        <v>1221</v>
      </c>
      <c r="SW11" s="795" t="s">
        <v>316</v>
      </c>
      <c r="SX11" s="797" t="s">
        <v>1219</v>
      </c>
      <c r="SY11" s="820" t="s">
        <v>1220</v>
      </c>
      <c r="SZ11" s="1291" t="s">
        <v>1371</v>
      </c>
      <c r="TA11" s="811" t="s">
        <v>1372</v>
      </c>
      <c r="TB11" s="1291" t="s">
        <v>605</v>
      </c>
      <c r="TC11" s="811" t="s">
        <v>1221</v>
      </c>
      <c r="TD11" s="795" t="s">
        <v>1208</v>
      </c>
      <c r="TE11" s="797" t="s">
        <v>1219</v>
      </c>
      <c r="TF11" s="820" t="s">
        <v>1220</v>
      </c>
      <c r="TG11" s="1291" t="s">
        <v>1371</v>
      </c>
      <c r="TH11" s="811" t="s">
        <v>1372</v>
      </c>
      <c r="TI11" s="1291" t="s">
        <v>605</v>
      </c>
      <c r="TJ11" s="811" t="s">
        <v>1221</v>
      </c>
      <c r="TK11" s="795" t="s">
        <v>316</v>
      </c>
      <c r="TL11" s="797" t="s">
        <v>1219</v>
      </c>
      <c r="TM11" s="820" t="s">
        <v>1220</v>
      </c>
      <c r="TN11" s="1291" t="s">
        <v>1371</v>
      </c>
      <c r="TO11" s="811" t="s">
        <v>1372</v>
      </c>
      <c r="TP11" s="1291" t="s">
        <v>605</v>
      </c>
      <c r="TQ11" s="811" t="s">
        <v>1221</v>
      </c>
      <c r="TR11" s="801" t="s">
        <v>1208</v>
      </c>
      <c r="TS11" s="797" t="s">
        <v>1219</v>
      </c>
      <c r="TT11" s="820" t="s">
        <v>1220</v>
      </c>
      <c r="TU11" s="1291" t="s">
        <v>1371</v>
      </c>
      <c r="TV11" s="811" t="s">
        <v>1372</v>
      </c>
      <c r="TW11" s="1291" t="s">
        <v>605</v>
      </c>
      <c r="TX11" s="811" t="s">
        <v>1221</v>
      </c>
      <c r="TY11" s="801" t="s">
        <v>316</v>
      </c>
      <c r="TZ11" s="797" t="s">
        <v>1219</v>
      </c>
      <c r="UA11" s="820" t="s">
        <v>1220</v>
      </c>
      <c r="UB11" s="1291" t="s">
        <v>1371</v>
      </c>
      <c r="UC11" s="811" t="s">
        <v>1372</v>
      </c>
      <c r="UD11" s="1291" t="s">
        <v>605</v>
      </c>
      <c r="UE11" s="811" t="s">
        <v>1221</v>
      </c>
      <c r="UF11" s="801" t="s">
        <v>1208</v>
      </c>
      <c r="UG11" s="797" t="s">
        <v>1219</v>
      </c>
      <c r="UH11" s="820" t="s">
        <v>1220</v>
      </c>
      <c r="UI11" s="1291" t="s">
        <v>1371</v>
      </c>
      <c r="UJ11" s="811" t="s">
        <v>1372</v>
      </c>
      <c r="UK11" s="1291" t="s">
        <v>605</v>
      </c>
      <c r="UL11" s="811" t="s">
        <v>1221</v>
      </c>
      <c r="UM11" s="801" t="s">
        <v>316</v>
      </c>
      <c r="UN11" s="797" t="s">
        <v>1219</v>
      </c>
      <c r="UO11" s="820" t="s">
        <v>1220</v>
      </c>
      <c r="UP11" s="1291" t="s">
        <v>1371</v>
      </c>
      <c r="UQ11" s="811" t="s">
        <v>1372</v>
      </c>
      <c r="UR11" s="1291" t="s">
        <v>605</v>
      </c>
      <c r="US11" s="811" t="s">
        <v>1221</v>
      </c>
      <c r="UT11" s="795" t="s">
        <v>314</v>
      </c>
      <c r="UU11" s="795" t="s">
        <v>316</v>
      </c>
      <c r="UV11" s="1280" t="s">
        <v>314</v>
      </c>
      <c r="UW11" s="795" t="s">
        <v>316</v>
      </c>
      <c r="UX11" s="1298" t="s">
        <v>314</v>
      </c>
      <c r="UY11" s="803" t="s">
        <v>316</v>
      </c>
      <c r="UZ11" s="1298" t="s">
        <v>314</v>
      </c>
      <c r="VA11" s="803" t="s">
        <v>316</v>
      </c>
      <c r="VB11" s="1516"/>
      <c r="VC11" s="1539"/>
      <c r="VD11" s="1602"/>
      <c r="VE11" s="1516"/>
      <c r="VF11" s="1540"/>
      <c r="VG11" s="1539"/>
      <c r="VH11" s="821" t="s">
        <v>314</v>
      </c>
      <c r="VI11" s="822" t="s">
        <v>316</v>
      </c>
      <c r="VJ11" s="821" t="s">
        <v>314</v>
      </c>
      <c r="VK11" s="823" t="s">
        <v>316</v>
      </c>
      <c r="VL11" s="821" t="s">
        <v>314</v>
      </c>
      <c r="VM11" s="822" t="s">
        <v>316</v>
      </c>
      <c r="VN11" s="821" t="s">
        <v>314</v>
      </c>
      <c r="VO11" s="822" t="s">
        <v>316</v>
      </c>
      <c r="VP11" s="824" t="s">
        <v>314</v>
      </c>
      <c r="VQ11" s="821" t="s">
        <v>316</v>
      </c>
      <c r="VR11" s="822" t="s">
        <v>314</v>
      </c>
      <c r="VS11" s="821" t="s">
        <v>316</v>
      </c>
      <c r="VT11" s="822" t="s">
        <v>314</v>
      </c>
      <c r="VU11" s="821" t="s">
        <v>316</v>
      </c>
      <c r="VV11" s="825" t="s">
        <v>314</v>
      </c>
      <c r="VW11" s="822" t="s">
        <v>316</v>
      </c>
      <c r="VX11" s="821" t="s">
        <v>314</v>
      </c>
      <c r="VY11" s="1287" t="s">
        <v>1222</v>
      </c>
      <c r="VZ11" s="826" t="s">
        <v>1223</v>
      </c>
      <c r="WA11" s="821" t="s">
        <v>316</v>
      </c>
      <c r="WB11" s="1287" t="s">
        <v>1222</v>
      </c>
      <c r="WC11" s="826" t="s">
        <v>1223</v>
      </c>
      <c r="WD11" s="821" t="s">
        <v>314</v>
      </c>
      <c r="WE11" s="827" t="s">
        <v>1224</v>
      </c>
      <c r="WF11" s="828" t="s">
        <v>1225</v>
      </c>
      <c r="WG11" s="821" t="s">
        <v>316</v>
      </c>
      <c r="WH11" s="829" t="s">
        <v>1224</v>
      </c>
      <c r="WI11" s="828" t="s">
        <v>1225</v>
      </c>
      <c r="WJ11" s="1520"/>
      <c r="WK11" s="1516"/>
      <c r="WL11" s="823" t="s">
        <v>314</v>
      </c>
      <c r="WM11" s="830" t="s">
        <v>1354</v>
      </c>
      <c r="WN11" s="828" t="s">
        <v>1354</v>
      </c>
      <c r="WO11" s="823" t="s">
        <v>316</v>
      </c>
      <c r="WP11" s="831" t="s">
        <v>1354</v>
      </c>
      <c r="WQ11" s="828" t="s">
        <v>1354</v>
      </c>
      <c r="WR11" s="823" t="s">
        <v>314</v>
      </c>
      <c r="WS11" s="830" t="s">
        <v>404</v>
      </c>
      <c r="WT11" s="828" t="s">
        <v>404</v>
      </c>
      <c r="WU11" s="823" t="s">
        <v>316</v>
      </c>
      <c r="WV11" s="831" t="s">
        <v>404</v>
      </c>
      <c r="WW11" s="828" t="s">
        <v>404</v>
      </c>
      <c r="WX11" s="823" t="s">
        <v>314</v>
      </c>
      <c r="WY11" s="832" t="s">
        <v>1226</v>
      </c>
      <c r="WZ11" s="828" t="s">
        <v>1226</v>
      </c>
      <c r="XA11" s="823" t="s">
        <v>316</v>
      </c>
      <c r="XB11" s="831" t="s">
        <v>1226</v>
      </c>
      <c r="XC11" s="828" t="s">
        <v>1226</v>
      </c>
      <c r="XD11" s="821" t="s">
        <v>314</v>
      </c>
      <c r="XE11" s="832" t="s">
        <v>395</v>
      </c>
      <c r="XF11" s="828" t="s">
        <v>395</v>
      </c>
      <c r="XG11" s="821" t="s">
        <v>316</v>
      </c>
      <c r="XH11" s="831" t="s">
        <v>395</v>
      </c>
      <c r="XI11" s="828" t="s">
        <v>395</v>
      </c>
      <c r="XJ11" s="821" t="s">
        <v>314</v>
      </c>
      <c r="XK11" s="829" t="s">
        <v>389</v>
      </c>
      <c r="XL11" s="821" t="s">
        <v>316</v>
      </c>
      <c r="XM11" s="829" t="s">
        <v>389</v>
      </c>
      <c r="XN11" s="821" t="s">
        <v>314</v>
      </c>
      <c r="XO11" s="829" t="s">
        <v>389</v>
      </c>
      <c r="XP11" s="821" t="s">
        <v>316</v>
      </c>
      <c r="XQ11" s="833" t="s">
        <v>389</v>
      </c>
      <c r="XR11" s="834" t="s">
        <v>314</v>
      </c>
      <c r="XS11" s="835" t="s">
        <v>316</v>
      </c>
      <c r="XT11" s="834" t="s">
        <v>314</v>
      </c>
      <c r="XU11" s="835" t="s">
        <v>316</v>
      </c>
      <c r="XV11" s="821" t="s">
        <v>314</v>
      </c>
      <c r="XW11" s="836" t="s">
        <v>407</v>
      </c>
      <c r="XX11" s="837" t="s">
        <v>398</v>
      </c>
      <c r="XY11" s="838" t="s">
        <v>391</v>
      </c>
      <c r="XZ11" s="836" t="s">
        <v>384</v>
      </c>
      <c r="YA11" s="838" t="s">
        <v>386</v>
      </c>
      <c r="YB11" s="839" t="s">
        <v>413</v>
      </c>
      <c r="YC11" s="837" t="s">
        <v>410</v>
      </c>
      <c r="YD11" s="837" t="s">
        <v>377</v>
      </c>
      <c r="YE11" s="840" t="s">
        <v>378</v>
      </c>
      <c r="YF11" s="837" t="s">
        <v>380</v>
      </c>
      <c r="YG11" s="823" t="s">
        <v>316</v>
      </c>
      <c r="YH11" s="841" t="s">
        <v>407</v>
      </c>
      <c r="YI11" s="838" t="s">
        <v>398</v>
      </c>
      <c r="YJ11" s="838" t="s">
        <v>391</v>
      </c>
      <c r="YK11" s="838" t="s">
        <v>384</v>
      </c>
      <c r="YL11" s="842" t="s">
        <v>386</v>
      </c>
      <c r="YM11" s="838" t="s">
        <v>413</v>
      </c>
      <c r="YN11" s="838" t="s">
        <v>410</v>
      </c>
      <c r="YO11" s="838" t="s">
        <v>377</v>
      </c>
      <c r="YP11" s="841" t="s">
        <v>378</v>
      </c>
      <c r="YQ11" s="838" t="s">
        <v>380</v>
      </c>
      <c r="YR11" s="821" t="s">
        <v>314</v>
      </c>
      <c r="YS11" s="838" t="s">
        <v>391</v>
      </c>
      <c r="YT11" s="838" t="s">
        <v>386</v>
      </c>
      <c r="YU11" s="838" t="s">
        <v>413</v>
      </c>
      <c r="YV11" s="838" t="s">
        <v>410</v>
      </c>
      <c r="YW11" s="838" t="s">
        <v>380</v>
      </c>
      <c r="YX11" s="821" t="s">
        <v>316</v>
      </c>
      <c r="YY11" s="838" t="s">
        <v>391</v>
      </c>
      <c r="YZ11" s="842" t="s">
        <v>386</v>
      </c>
      <c r="ZA11" s="838" t="s">
        <v>413</v>
      </c>
      <c r="ZB11" s="838" t="s">
        <v>410</v>
      </c>
      <c r="ZC11" s="838" t="s">
        <v>380</v>
      </c>
      <c r="ZD11" s="843" t="s">
        <v>314</v>
      </c>
      <c r="ZE11" s="838" t="s">
        <v>391</v>
      </c>
      <c r="ZF11" s="842" t="s">
        <v>386</v>
      </c>
      <c r="ZG11" s="838" t="s">
        <v>413</v>
      </c>
      <c r="ZH11" s="838" t="s">
        <v>410</v>
      </c>
      <c r="ZI11" s="838" t="s">
        <v>380</v>
      </c>
      <c r="ZJ11" s="843" t="s">
        <v>316</v>
      </c>
      <c r="ZK11" s="838" t="s">
        <v>391</v>
      </c>
      <c r="ZL11" s="842" t="s">
        <v>386</v>
      </c>
      <c r="ZM11" s="838" t="s">
        <v>413</v>
      </c>
      <c r="ZN11" s="838" t="s">
        <v>410</v>
      </c>
      <c r="ZO11" s="838" t="s">
        <v>380</v>
      </c>
      <c r="ZP11" s="843" t="s">
        <v>314</v>
      </c>
      <c r="ZQ11" s="838" t="s">
        <v>391</v>
      </c>
      <c r="ZR11" s="836" t="s">
        <v>386</v>
      </c>
      <c r="ZS11" s="838" t="s">
        <v>413</v>
      </c>
      <c r="ZT11" s="838" t="s">
        <v>410</v>
      </c>
      <c r="ZU11" s="838" t="s">
        <v>380</v>
      </c>
      <c r="ZV11" s="844" t="s">
        <v>316</v>
      </c>
      <c r="ZW11" s="838" t="s">
        <v>391</v>
      </c>
      <c r="ZX11" s="842" t="s">
        <v>386</v>
      </c>
      <c r="ZY11" s="838" t="s">
        <v>413</v>
      </c>
      <c r="ZZ11" s="838" t="s">
        <v>410</v>
      </c>
      <c r="AAA11" s="838" t="s">
        <v>380</v>
      </c>
      <c r="AAB11" s="1517"/>
      <c r="AAC11" s="1517"/>
      <c r="AAD11" s="824" t="s">
        <v>314</v>
      </c>
      <c r="AAE11" s="823" t="s">
        <v>316</v>
      </c>
      <c r="AAF11" s="824" t="s">
        <v>314</v>
      </c>
      <c r="AAG11" s="823" t="s">
        <v>316</v>
      </c>
      <c r="AAH11" s="845" t="s">
        <v>314</v>
      </c>
      <c r="AAI11" s="844" t="s">
        <v>316</v>
      </c>
      <c r="AAJ11" s="845" t="s">
        <v>314</v>
      </c>
      <c r="AAK11" s="843" t="s">
        <v>316</v>
      </c>
      <c r="AAL11" s="1295" t="s">
        <v>314</v>
      </c>
      <c r="AAM11" s="823" t="s">
        <v>316</v>
      </c>
      <c r="AAN11" s="824" t="s">
        <v>314</v>
      </c>
      <c r="AAO11" s="821" t="s">
        <v>316</v>
      </c>
      <c r="AAP11" s="843" t="s">
        <v>314</v>
      </c>
      <c r="AAQ11" s="843" t="s">
        <v>316</v>
      </c>
      <c r="AAR11" s="843" t="s">
        <v>314</v>
      </c>
      <c r="AAS11" s="843" t="s">
        <v>316</v>
      </c>
      <c r="AAT11" s="1293" t="s">
        <v>1227</v>
      </c>
      <c r="AAU11" s="1293" t="s">
        <v>1228</v>
      </c>
    </row>
    <row r="12" spans="1:723" ht="20.45" customHeight="1" x14ac:dyDescent="0.25">
      <c r="A12" s="846" t="s">
        <v>1281</v>
      </c>
      <c r="B12" s="1066">
        <f>D12+AN12+'Проверочная  таблица'!VB12+'Проверочная  таблица'!WJ12</f>
        <v>591785416.58000004</v>
      </c>
      <c r="C12" s="1028">
        <f>E12+'Проверочная  таблица'!VE12+AO12+'Проверочная  таблица'!WK12</f>
        <v>336654230.00999999</v>
      </c>
      <c r="D12" s="1351">
        <f t="shared" ref="D12:D29" si="0">F12+P12+N12+V12+AD12+H12</f>
        <v>158903877</v>
      </c>
      <c r="E12" s="875">
        <f t="shared" ref="E12:E29" si="1">G12+Q12+O12+Z12+AG12+I12</f>
        <v>119430000</v>
      </c>
      <c r="F12" s="1352">
        <f>'[1]Дотация  из  ОБ_факт'!M8</f>
        <v>158003877</v>
      </c>
      <c r="G12" s="1353">
        <v>118530000</v>
      </c>
      <c r="H12" s="1352">
        <f>'[1]Дотация  из  ОБ_факт'!G8</f>
        <v>0</v>
      </c>
      <c r="I12" s="1353"/>
      <c r="J12" s="1354">
        <f t="shared" ref="J12:K29" si="2">H12-L12</f>
        <v>0</v>
      </c>
      <c r="K12" s="1355">
        <f t="shared" si="2"/>
        <v>0</v>
      </c>
      <c r="L12" s="1354">
        <f>'[1]Дотация  из  ОБ_факт'!K8</f>
        <v>0</v>
      </c>
      <c r="M12" s="847"/>
      <c r="N12" s="1352">
        <f>'[1]Дотация  из  ОБ_факт'!Q8</f>
        <v>0</v>
      </c>
      <c r="O12" s="1353"/>
      <c r="P12" s="1352">
        <f>'[1]Дотация  из  ОБ_факт'!S8</f>
        <v>0</v>
      </c>
      <c r="Q12" s="1353"/>
      <c r="R12" s="1354">
        <f t="shared" ref="R12:S29" si="3">P12-T12</f>
        <v>0</v>
      </c>
      <c r="S12" s="1355">
        <f t="shared" si="3"/>
        <v>0</v>
      </c>
      <c r="T12" s="1354">
        <f>'[1]Дотация  из  ОБ_факт'!W8</f>
        <v>0</v>
      </c>
      <c r="U12" s="847"/>
      <c r="V12" s="1054">
        <f t="shared" ref="V12:V29" si="4">SUM(W12:Y12)</f>
        <v>900000</v>
      </c>
      <c r="W12" s="1356">
        <f>'[1]Дотация  из  ОБ_факт'!$AA$8</f>
        <v>0</v>
      </c>
      <c r="X12" s="1357">
        <f>'[1]Дотация  из  ОБ_факт'!$AC$8</f>
        <v>900000</v>
      </c>
      <c r="Y12" s="1357">
        <f>'[1]Дотация  из  ОБ_факт'!$AG$8</f>
        <v>0</v>
      </c>
      <c r="Z12" s="1358">
        <f t="shared" ref="Z12:Z29" si="5">SUM(AA12:AC12)</f>
        <v>900000</v>
      </c>
      <c r="AA12" s="848">
        <f>W12</f>
        <v>0</v>
      </c>
      <c r="AB12" s="848">
        <f>X12</f>
        <v>900000</v>
      </c>
      <c r="AC12" s="848"/>
      <c r="AD12" s="1054">
        <f t="shared" ref="AD12:AD29" si="6">SUM(AE12:AF12)</f>
        <v>0</v>
      </c>
      <c r="AE12" s="1356">
        <f>'[1]Дотация  из  ОБ_факт'!$Y$8</f>
        <v>0</v>
      </c>
      <c r="AF12" s="1357">
        <f>'[1]Дотация  из  ОБ_факт'!$AE$8</f>
        <v>0</v>
      </c>
      <c r="AG12" s="1054">
        <f t="shared" ref="AG12:AG29" si="7">SUM(AH12:AI12)</f>
        <v>0</v>
      </c>
      <c r="AH12" s="1359">
        <f>AE12</f>
        <v>0</v>
      </c>
      <c r="AI12" s="848">
        <f>AF12</f>
        <v>0</v>
      </c>
      <c r="AJ12" s="1354">
        <f t="shared" ref="AJ12:AJ29" si="8">AD12-AL12</f>
        <v>0</v>
      </c>
      <c r="AK12" s="1355">
        <f t="shared" ref="AK12:AK29" si="9">AG12-AM12</f>
        <v>0</v>
      </c>
      <c r="AL12" s="1354">
        <f>'[1]Дотация  из  ОБ_факт'!AE8</f>
        <v>0</v>
      </c>
      <c r="AM12" s="849"/>
      <c r="AN12" s="1012">
        <f>'Проверочная  таблица'!UT12+'Проверочная  таблица'!UV12+BL12+BN12+BZ12+CB12+AZ12+BD12+'Проверочная  таблица'!MT12+'Проверочная  таблица'!NJ12+'Проверочная  таблица'!DT12+'Проверочная  таблица'!OB12+DL12+'Проверочная  таблица'!JJ12+'Проверочная  таблица'!JP12+'Проверочная  таблица'!OJ12+'Проверочная  таблица'!OR12+JD12+AP12+AV12+ET12+EZ12+CN12+SP12+DZ12+TD12+PZ12+EF12+EN12+LN12+LV12+SJ12+GN12+RV12+QX12+KH12+KR12+RD12+SB12+CH12+QR12+HD12+FX12+HJ12+HP12+FR12+DB12+PP12+BT12+IH12+IX12+GV12+GD12+IN12</f>
        <v>159884721.09</v>
      </c>
      <c r="AO12" s="1013">
        <f>'Проверочная  таблица'!UU12+'Проверочная  таблица'!UW12+BM12+BO12+CA12+CC12+BB12+BF12+'Проверочная  таблица'!NB12+'Проверочная  таблица'!NM12+'Проверочная  таблица'!DW12+'Проверочная  таблица'!OF12+DP12+'Проверочная  таблица'!JM12+'Проверочная  таблица'!JS12+'Проверочная  таблица'!ON12+'Проверочная  таблица'!OV12+JG12+AS12+AX12+EW12+FC12+CU12+SW12+EC12+TK12+QC12+EJ12+EQ12+LR12+LZ12+SM12+GR12+RY12+RA12+KM12+KW12+RG12+SF12+CK12+QU12+HG12+GA12+HM12+HS12+FU12+DE12+PU12+BW12+IK12+JA12+GX12+GG12+IQ12</f>
        <v>48379451.069999993</v>
      </c>
      <c r="AP12" s="1035">
        <f t="shared" ref="AP12:AP29" si="10">SUM(AQ12:AR12)</f>
        <v>43666625.600000001</v>
      </c>
      <c r="AQ12" s="851">
        <f>[1]Субсидия_факт!HV10</f>
        <v>43666625.600000001</v>
      </c>
      <c r="AR12" s="850">
        <f>[1]Субсидия_факт!MR10</f>
        <v>0</v>
      </c>
      <c r="AS12" s="1014">
        <f t="shared" ref="AS12:AS29" si="11">SUM(AT12:AU12)</f>
        <v>7698061.2999999998</v>
      </c>
      <c r="AT12" s="850">
        <v>7698061.2999999998</v>
      </c>
      <c r="AU12" s="851"/>
      <c r="AV12" s="1003">
        <f t="shared" ref="AV12:AV29" si="12">SUM(AW12:AW12)</f>
        <v>0</v>
      </c>
      <c r="AW12" s="850">
        <f>[1]Субсидия_факт!MV10</f>
        <v>0</v>
      </c>
      <c r="AX12" s="1360">
        <f t="shared" ref="AX12:AX29" si="13">SUM(AY12:AY12)</f>
        <v>0</v>
      </c>
      <c r="AY12" s="850"/>
      <c r="AZ12" s="875">
        <f t="shared" ref="AZ12:AZ29" si="14">SUM(BA12:BA12)</f>
        <v>0</v>
      </c>
      <c r="BA12" s="850">
        <f>[1]Субсидия_факт!KZ10</f>
        <v>0</v>
      </c>
      <c r="BB12" s="1003">
        <f t="shared" ref="BB12:BB29" si="15">SUM(BC12:BC12)</f>
        <v>0</v>
      </c>
      <c r="BC12" s="850"/>
      <c r="BD12" s="875">
        <f t="shared" ref="BD12:BD29" si="16">SUM(BE12:BE12)</f>
        <v>0</v>
      </c>
      <c r="BE12" s="850">
        <f>[1]Субсидия_факт!LB10</f>
        <v>0</v>
      </c>
      <c r="BF12" s="1003">
        <f t="shared" ref="BF12:BF29" si="17">SUM(BG12:BG12)</f>
        <v>0</v>
      </c>
      <c r="BG12" s="850"/>
      <c r="BH12" s="1067">
        <f t="shared" ref="BH12:BH29" si="18">BD12-BJ12</f>
        <v>0</v>
      </c>
      <c r="BI12" s="1060">
        <f t="shared" ref="BI12:BI29" si="19">BF12-BK12</f>
        <v>0</v>
      </c>
      <c r="BJ12" s="1361">
        <f t="shared" ref="BJ12:BJ29" si="20">BD12</f>
        <v>0</v>
      </c>
      <c r="BK12" s="1067">
        <f t="shared" ref="BK12:BK29" si="21">BF12</f>
        <v>0</v>
      </c>
      <c r="BL12" s="875">
        <f>[1]Субсидия_факт!GV10</f>
        <v>0</v>
      </c>
      <c r="BM12" s="852"/>
      <c r="BN12" s="1362">
        <f>[1]Субсидия_факт!GX10</f>
        <v>0</v>
      </c>
      <c r="BO12" s="853"/>
      <c r="BP12" s="1363">
        <f t="shared" ref="BP12:BQ27" si="22">BN12-BR12</f>
        <v>0</v>
      </c>
      <c r="BQ12" s="1364">
        <f t="shared" si="22"/>
        <v>0</v>
      </c>
      <c r="BR12" s="877">
        <f>[1]Субсидия_факт!GZ10</f>
        <v>0</v>
      </c>
      <c r="BS12" s="854"/>
      <c r="BT12" s="939">
        <f t="shared" ref="BT12:BT29" si="23">SUM(BU12:BV12)</f>
        <v>48465625.600000001</v>
      </c>
      <c r="BU12" s="1365">
        <f>[1]Субсидия_факт!HL10</f>
        <v>43666625.600000001</v>
      </c>
      <c r="BV12" s="857">
        <f>[1]Субсидия_факт!HN10</f>
        <v>4799000</v>
      </c>
      <c r="BW12" s="1014">
        <f t="shared" ref="BW12:BW29" si="24">SUM(BX12:BY12)</f>
        <v>1961000</v>
      </c>
      <c r="BX12" s="857"/>
      <c r="BY12" s="857">
        <v>1961000</v>
      </c>
      <c r="BZ12" s="1366">
        <f>[1]Субсидия_факт!HB10</f>
        <v>0</v>
      </c>
      <c r="CA12" s="855"/>
      <c r="CB12" s="1366">
        <f>[1]Субсидия_факт!HD10</f>
        <v>0</v>
      </c>
      <c r="CC12" s="856"/>
      <c r="CD12" s="1367">
        <f t="shared" ref="CD12:CE27" si="25">CB12-CF12</f>
        <v>0</v>
      </c>
      <c r="CE12" s="878">
        <f t="shared" si="25"/>
        <v>0</v>
      </c>
      <c r="CF12" s="1368">
        <f>[1]Субсидия_факт!HF10</f>
        <v>0</v>
      </c>
      <c r="CG12" s="849"/>
      <c r="CH12" s="939">
        <f t="shared" ref="CH12:CH29" si="26">SUM(CI12:CJ12)</f>
        <v>2291323.2400000002</v>
      </c>
      <c r="CI12" s="1365">
        <f>[1]Субсидия_факт!HP10</f>
        <v>0</v>
      </c>
      <c r="CJ12" s="857">
        <f>[1]Субсидия_факт!HR10</f>
        <v>2291323.2400000002</v>
      </c>
      <c r="CK12" s="1014">
        <f t="shared" ref="CK12:CK29" si="27">SUM(CL12:CM12)</f>
        <v>936691.16</v>
      </c>
      <c r="CL12" s="857"/>
      <c r="CM12" s="857">
        <v>936691.16</v>
      </c>
      <c r="CN12" s="1003">
        <f t="shared" ref="CN12:CN29" si="28">SUM(CO12:CT12)</f>
        <v>0</v>
      </c>
      <c r="CO12" s="859">
        <f>[1]Субсидия_факт!LR10</f>
        <v>0</v>
      </c>
      <c r="CP12" s="858">
        <f>[1]Субсидия_факт!LT10</f>
        <v>0</v>
      </c>
      <c r="CQ12" s="850">
        <f>[1]Субсидия_факт!LV10</f>
        <v>0</v>
      </c>
      <c r="CR12" s="858">
        <f>[1]Субсидия_факт!MB10</f>
        <v>0</v>
      </c>
      <c r="CS12" s="850">
        <f>[1]Субсидия_факт!MH10</f>
        <v>0</v>
      </c>
      <c r="CT12" s="858">
        <f>[1]Субсидия_факт!MJ10</f>
        <v>0</v>
      </c>
      <c r="CU12" s="1003">
        <f t="shared" ref="CU12:CU29" si="29">SUM(CV12:DA12)</f>
        <v>0</v>
      </c>
      <c r="CV12" s="851"/>
      <c r="CW12" s="858"/>
      <c r="CX12" s="850"/>
      <c r="CY12" s="858"/>
      <c r="CZ12" s="850"/>
      <c r="DA12" s="858"/>
      <c r="DB12" s="1013">
        <f t="shared" ref="DB12" si="30">SUM(DC12:DD12)</f>
        <v>0</v>
      </c>
      <c r="DC12" s="859">
        <f>[1]Субсидия_факт!LX10</f>
        <v>0</v>
      </c>
      <c r="DD12" s="858">
        <f>[1]Субсидия_факт!MD10</f>
        <v>0</v>
      </c>
      <c r="DE12" s="1003">
        <f t="shared" ref="DE12:DE29" si="31">SUM(DF12:DG12)</f>
        <v>0</v>
      </c>
      <c r="DF12" s="859"/>
      <c r="DG12" s="860"/>
      <c r="DH12" s="1367">
        <f>DB12-DJ12</f>
        <v>0</v>
      </c>
      <c r="DI12" s="878">
        <f>DE12-DK12</f>
        <v>0</v>
      </c>
      <c r="DJ12" s="1368">
        <f>DB12</f>
        <v>0</v>
      </c>
      <c r="DK12" s="849">
        <f>DE12</f>
        <v>0</v>
      </c>
      <c r="DL12" s="1366">
        <f>SUM(DM12:DO12)</f>
        <v>0</v>
      </c>
      <c r="DM12" s="874">
        <f>[1]Субсидия_факт!R10</f>
        <v>0</v>
      </c>
      <c r="DN12" s="1365">
        <f>[1]Субсидия_факт!T10</f>
        <v>0</v>
      </c>
      <c r="DO12" s="857">
        <f>[1]Субсидия_факт!V10</f>
        <v>0</v>
      </c>
      <c r="DP12" s="1366">
        <f>SUM(DQ12:DS12)</f>
        <v>0</v>
      </c>
      <c r="DQ12" s="861"/>
      <c r="DR12" s="861"/>
      <c r="DS12" s="861"/>
      <c r="DT12" s="939">
        <f t="shared" ref="DT12:DT29" si="32">SUM(DU12:DV12)</f>
        <v>0</v>
      </c>
      <c r="DU12" s="1365">
        <f>[1]Субсидия_факт!AX10</f>
        <v>0</v>
      </c>
      <c r="DV12" s="860">
        <f>[1]Субсидия_факт!AZ10</f>
        <v>0</v>
      </c>
      <c r="DW12" s="1003">
        <f t="shared" ref="DW12:DW25" si="33">SUM(DX12:DY12)</f>
        <v>0</v>
      </c>
      <c r="DX12" s="851"/>
      <c r="DY12" s="858"/>
      <c r="DZ12" s="1013">
        <f t="shared" ref="DZ12:DZ29" si="34">SUM(EA12:EB12)</f>
        <v>0</v>
      </c>
      <c r="EA12" s="859">
        <f>[1]Субсидия_факт!X10</f>
        <v>0</v>
      </c>
      <c r="EB12" s="860">
        <f>[1]Субсидия_факт!Z10</f>
        <v>0</v>
      </c>
      <c r="EC12" s="1003">
        <f t="shared" ref="EC12:EC29" si="35">SUM(ED12:EE12)</f>
        <v>0</v>
      </c>
      <c r="ED12" s="862"/>
      <c r="EE12" s="863"/>
      <c r="EF12" s="1013">
        <f>SUM(EG12:EI12)</f>
        <v>0</v>
      </c>
      <c r="EG12" s="859">
        <f>[1]Субсидия_факт!AP10</f>
        <v>0</v>
      </c>
      <c r="EH12" s="859">
        <f>[1]Субсидия_факт!AL10</f>
        <v>0</v>
      </c>
      <c r="EI12" s="860">
        <f>[1]Субсидия_факт!AN10</f>
        <v>0</v>
      </c>
      <c r="EJ12" s="1013">
        <f t="shared" ref="EJ12:EJ29" si="36">SUM(EK12:EM12)</f>
        <v>0</v>
      </c>
      <c r="EK12" s="859"/>
      <c r="EL12" s="859"/>
      <c r="EM12" s="860"/>
      <c r="EN12" s="1013">
        <f t="shared" ref="EN12:EN29" si="37">SUM(EO12:EP12)</f>
        <v>0</v>
      </c>
      <c r="EO12" s="859">
        <f>[1]Субсидия_факт!HH10</f>
        <v>0</v>
      </c>
      <c r="EP12" s="858">
        <f>[1]Субсидия_факт!HJ10</f>
        <v>0</v>
      </c>
      <c r="EQ12" s="1003">
        <f t="shared" ref="EQ12:EQ29" si="38">SUM(ER12:ES12)</f>
        <v>0</v>
      </c>
      <c r="ER12" s="859"/>
      <c r="ES12" s="858"/>
      <c r="ET12" s="1013">
        <f t="shared" ref="ET12:ET29" si="39">SUM(EU12:EV12)</f>
        <v>0</v>
      </c>
      <c r="EU12" s="862">
        <f>[1]Субсидия_факт!PK10</f>
        <v>0</v>
      </c>
      <c r="EV12" s="863">
        <f>[1]Субсидия_факт!PQ10</f>
        <v>0</v>
      </c>
      <c r="EW12" s="1003">
        <f t="shared" ref="EW12:EW29" si="40">SUM(EX12:EY12)</f>
        <v>0</v>
      </c>
      <c r="EX12" s="859"/>
      <c r="EY12" s="860"/>
      <c r="EZ12" s="1013">
        <f t="shared" ref="EZ12:EZ29" si="41">SUM(FA12:FB12)</f>
        <v>0</v>
      </c>
      <c r="FA12" s="859">
        <f>[1]Субсидия_факт!PM10</f>
        <v>0</v>
      </c>
      <c r="FB12" s="858">
        <f>[1]Субсидия_факт!PS10</f>
        <v>0</v>
      </c>
      <c r="FC12" s="1003">
        <f t="shared" ref="FC12:FC29" si="42">SUM(FD12:FE12)</f>
        <v>0</v>
      </c>
      <c r="FD12" s="859"/>
      <c r="FE12" s="860"/>
      <c r="FF12" s="1369">
        <f t="shared" ref="FF12:FF29" si="43">SUM(FG12:FH12)</f>
        <v>0</v>
      </c>
      <c r="FG12" s="859">
        <f t="shared" ref="FG12:FH27" si="44">FA12-FM12</f>
        <v>0</v>
      </c>
      <c r="FH12" s="858">
        <f t="shared" si="44"/>
        <v>0</v>
      </c>
      <c r="FI12" s="878">
        <f t="shared" ref="FI12:FI29" si="45">SUM(FJ12:FK12)</f>
        <v>0</v>
      </c>
      <c r="FJ12" s="859">
        <f t="shared" ref="FJ12:FK27" si="46">FD12-FP12</f>
        <v>0</v>
      </c>
      <c r="FK12" s="858">
        <f t="shared" si="46"/>
        <v>0</v>
      </c>
      <c r="FL12" s="1369">
        <f t="shared" ref="FL12:FL29" si="47">SUM(FM12:FN12)</f>
        <v>0</v>
      </c>
      <c r="FM12" s="859">
        <f>[1]Субсидия_факт!PO10</f>
        <v>0</v>
      </c>
      <c r="FN12" s="858">
        <f>[1]Субсидия_факт!PU10</f>
        <v>0</v>
      </c>
      <c r="FO12" s="878">
        <f t="shared" ref="FO12:FO29" si="48">SUM(FP12:FQ12)</f>
        <v>0</v>
      </c>
      <c r="FP12" s="859"/>
      <c r="FQ12" s="860"/>
      <c r="FR12" s="1013">
        <f t="shared" ref="FR12:FR29" si="49">SUM(FS12:FT12)</f>
        <v>0</v>
      </c>
      <c r="FS12" s="859">
        <f>[1]Субсидия_факт!EP10</f>
        <v>0</v>
      </c>
      <c r="FT12" s="860">
        <f>[1]Субсидия_факт!ER10</f>
        <v>0</v>
      </c>
      <c r="FU12" s="1012">
        <f t="shared" ref="FU12:FU29" si="50">SUM(FV12:FW12)</f>
        <v>0</v>
      </c>
      <c r="FV12" s="859"/>
      <c r="FW12" s="860"/>
      <c r="FX12" s="939">
        <f t="shared" ref="FX12:FX29" si="51">SUM(FY12:FZ12)</f>
        <v>0</v>
      </c>
      <c r="FY12" s="908">
        <f>[1]Субсидия_факт!JN10</f>
        <v>0</v>
      </c>
      <c r="FZ12" s="909">
        <f>[1]Субсидия_факт!JP10</f>
        <v>0</v>
      </c>
      <c r="GA12" s="939">
        <f t="shared" ref="GA12:GA29" si="52">SUM(GB12:GC12)</f>
        <v>0</v>
      </c>
      <c r="GB12" s="908"/>
      <c r="GC12" s="909"/>
      <c r="GD12" s="1233">
        <f t="shared" ref="GD12:GD29" si="53">SUM(GE12:GF12)</f>
        <v>0</v>
      </c>
      <c r="GE12" s="859">
        <f>[1]Субсидия_факт!JR10</f>
        <v>0</v>
      </c>
      <c r="GF12" s="860">
        <f>[1]Субсидия_факт!JV10</f>
        <v>0</v>
      </c>
      <c r="GG12" s="1370">
        <f t="shared" ref="GG12:GG29" si="54">SUM(GH12:GI12)</f>
        <v>0</v>
      </c>
      <c r="GH12" s="859"/>
      <c r="GI12" s="858"/>
      <c r="GJ12" s="1364">
        <f>GD12-GL12</f>
        <v>0</v>
      </c>
      <c r="GK12" s="877">
        <f>GG12-GM12</f>
        <v>0</v>
      </c>
      <c r="GL12" s="1363">
        <f>GD12</f>
        <v>0</v>
      </c>
      <c r="GM12" s="877">
        <f>GG12</f>
        <v>0</v>
      </c>
      <c r="GN12" s="1371">
        <f t="shared" ref="GN12:GN29" si="55">SUM(GO12:GQ12)</f>
        <v>0</v>
      </c>
      <c r="GO12" s="859">
        <f>[1]Субсидия_факт!KL10</f>
        <v>0</v>
      </c>
      <c r="GP12" s="860">
        <f>[1]Субсидия_факт!KN10</f>
        <v>0</v>
      </c>
      <c r="GQ12" s="859">
        <f>[1]Субсидия_факт!KP10</f>
        <v>0</v>
      </c>
      <c r="GR12" s="897">
        <f t="shared" ref="GR12:GR29" si="56">SUM(GS12:GU12)</f>
        <v>0</v>
      </c>
      <c r="GS12" s="859"/>
      <c r="GT12" s="860"/>
      <c r="GU12" s="850"/>
      <c r="GV12" s="1372">
        <f>GW12</f>
        <v>0</v>
      </c>
      <c r="GW12" s="859">
        <f>[1]Субсидия_факт!KR10</f>
        <v>0</v>
      </c>
      <c r="GX12" s="1372">
        <f>GY12</f>
        <v>0</v>
      </c>
      <c r="GY12" s="850"/>
      <c r="GZ12" s="1373">
        <f>GV12-HB12</f>
        <v>0</v>
      </c>
      <c r="HA12" s="1373">
        <f>GX12-HC12</f>
        <v>0</v>
      </c>
      <c r="HB12" s="1373">
        <f>GV12</f>
        <v>0</v>
      </c>
      <c r="HC12" s="1373">
        <f>GX12</f>
        <v>0</v>
      </c>
      <c r="HD12" s="1057">
        <f t="shared" ref="HD12:HD29" si="57">SUM(HE12:HF12)</f>
        <v>0</v>
      </c>
      <c r="HE12" s="859">
        <f>[1]Субсидия_факт!KV10</f>
        <v>0</v>
      </c>
      <c r="HF12" s="860">
        <f>[1]Субсидия_факт!KX10</f>
        <v>0</v>
      </c>
      <c r="HG12" s="1003">
        <f t="shared" ref="HG12:HG29" si="58">SUM(HH12:HI12)</f>
        <v>0</v>
      </c>
      <c r="HH12" s="859"/>
      <c r="HI12" s="860"/>
      <c r="HJ12" s="1057">
        <f t="shared" ref="HJ12:HJ29" si="59">SUM(HK12:HL12)</f>
        <v>0</v>
      </c>
      <c r="HK12" s="908"/>
      <c r="HL12" s="909"/>
      <c r="HM12" s="1014">
        <f t="shared" ref="HM12:HM29" si="60">SUM(HN12:HO12)</f>
        <v>0</v>
      </c>
      <c r="HN12" s="908"/>
      <c r="HO12" s="909"/>
      <c r="HP12" s="1057">
        <f t="shared" ref="HP12:HP29" si="61">SUM(HQ12:HR12)</f>
        <v>0</v>
      </c>
      <c r="HQ12" s="859">
        <f>[1]Субсидия_факт!FV10</f>
        <v>0</v>
      </c>
      <c r="HR12" s="860">
        <f>[1]Субсидия_факт!FZ10</f>
        <v>0</v>
      </c>
      <c r="HS12" s="1003">
        <f t="shared" ref="HS12:HS29" si="62">SUM(HT12:HU12)</f>
        <v>0</v>
      </c>
      <c r="HT12" s="859"/>
      <c r="HU12" s="860"/>
      <c r="HV12" s="1369">
        <f t="shared" ref="HV12:HV29" si="63">SUM(HW12:HX12)</f>
        <v>0</v>
      </c>
      <c r="HW12" s="859">
        <f t="shared" ref="HW12:HX27" si="64">HQ12-IC12</f>
        <v>0</v>
      </c>
      <c r="HX12" s="858">
        <f t="shared" si="64"/>
        <v>0</v>
      </c>
      <c r="HY12" s="878">
        <f t="shared" ref="HY12:HY29" si="65">SUM(HZ12:IA12)</f>
        <v>0</v>
      </c>
      <c r="HZ12" s="859">
        <f t="shared" ref="HZ12:IA27" si="66">HT12-IF12</f>
        <v>0</v>
      </c>
      <c r="IA12" s="858">
        <f t="shared" si="66"/>
        <v>0</v>
      </c>
      <c r="IB12" s="1369">
        <f t="shared" ref="IB12:IB29" si="67">SUM(IC12:ID12)</f>
        <v>0</v>
      </c>
      <c r="IC12" s="859">
        <f>[1]Субсидия_факт!FX10</f>
        <v>0</v>
      </c>
      <c r="ID12" s="858">
        <f>[1]Субсидия_факт!GB10</f>
        <v>0</v>
      </c>
      <c r="IE12" s="878">
        <f t="shared" ref="IE12:IE29" si="68">SUM(IF12:IG12)</f>
        <v>0</v>
      </c>
      <c r="IF12" s="859">
        <f>HT12</f>
        <v>0</v>
      </c>
      <c r="IG12" s="860">
        <f>HU12</f>
        <v>0</v>
      </c>
      <c r="IH12" s="1057">
        <f t="shared" ref="IH12:IH29" si="69">SUM(II12:IJ12)</f>
        <v>0</v>
      </c>
      <c r="II12" s="908">
        <f>[1]Субсидия_факт!ED10</f>
        <v>0</v>
      </c>
      <c r="IJ12" s="909">
        <f>[1]Субсидия_факт!EF10</f>
        <v>0</v>
      </c>
      <c r="IK12" s="1014">
        <f t="shared" ref="IK12:IK29" si="70">SUM(IL12:IM12)</f>
        <v>0</v>
      </c>
      <c r="IL12" s="908"/>
      <c r="IM12" s="909"/>
      <c r="IN12" s="1374">
        <f t="shared" ref="IN12:IN29" si="71">SUM(IO12:IP12)</f>
        <v>0</v>
      </c>
      <c r="IO12" s="859">
        <f>[1]Субсидия_факт!EH10</f>
        <v>0</v>
      </c>
      <c r="IP12" s="860">
        <f>[1]Субсидия_факт!EL10</f>
        <v>0</v>
      </c>
      <c r="IQ12" s="1375">
        <f t="shared" ref="IQ12:IQ29" si="72">SUM(IR12:IS12)</f>
        <v>0</v>
      </c>
      <c r="IR12" s="859"/>
      <c r="IS12" s="858"/>
      <c r="IT12" s="1364">
        <f>IN12-IV12</f>
        <v>0</v>
      </c>
      <c r="IU12" s="1364">
        <f>IQ12-IW12</f>
        <v>0</v>
      </c>
      <c r="IV12" s="1364">
        <f>IN12</f>
        <v>0</v>
      </c>
      <c r="IW12" s="877">
        <f>IQ12</f>
        <v>0</v>
      </c>
      <c r="IX12" s="1036">
        <f t="shared" ref="IX12:IX29" si="73">SUM(IY12:IZ12)</f>
        <v>0</v>
      </c>
      <c r="IY12" s="908">
        <f>[1]Субсидия_факт!BX10</f>
        <v>0</v>
      </c>
      <c r="IZ12" s="909">
        <f>[1]Субсидия_факт!BZ10</f>
        <v>0</v>
      </c>
      <c r="JA12" s="1014">
        <f t="shared" ref="JA12:JA29" si="74">SUM(JB12:JC12)</f>
        <v>0</v>
      </c>
      <c r="JB12" s="908"/>
      <c r="JC12" s="909"/>
      <c r="JD12" s="1057">
        <f t="shared" ref="JD12:JD29" si="75">SUM(JE12:JF12)</f>
        <v>0</v>
      </c>
      <c r="JE12" s="859">
        <f>[1]Субсидия_факт!ET10</f>
        <v>0</v>
      </c>
      <c r="JF12" s="860">
        <f>[1]Субсидия_факт!EV10</f>
        <v>0</v>
      </c>
      <c r="JG12" s="1003">
        <f t="shared" ref="JG12:JG29" si="76">SUM(JH12:JI12)</f>
        <v>0</v>
      </c>
      <c r="JH12" s="859"/>
      <c r="JI12" s="860"/>
      <c r="JJ12" s="1003">
        <f t="shared" ref="JJ12:JJ29" si="77">SUM(JK12:JL12)</f>
        <v>0</v>
      </c>
      <c r="JK12" s="859">
        <f>[1]Субсидия_факт!EX10</f>
        <v>0</v>
      </c>
      <c r="JL12" s="858">
        <f>[1]Субсидия_факт!FD10</f>
        <v>0</v>
      </c>
      <c r="JM12" s="1003">
        <f t="shared" ref="JM12:JM29" si="78">SUM(JN12:JO12)</f>
        <v>0</v>
      </c>
      <c r="JN12" s="859"/>
      <c r="JO12" s="860"/>
      <c r="JP12" s="1003">
        <f t="shared" ref="JP12:JP29" si="79">SUM(JQ12:JR12)</f>
        <v>0</v>
      </c>
      <c r="JQ12" s="859">
        <f>[1]Субсидия_факт!EZ10</f>
        <v>0</v>
      </c>
      <c r="JR12" s="860">
        <f>[1]Субсидия_факт!FF10</f>
        <v>0</v>
      </c>
      <c r="JS12" s="1003">
        <f t="shared" ref="JS12:JS29" si="80">SUM(JT12:JU12)</f>
        <v>0</v>
      </c>
      <c r="JT12" s="850"/>
      <c r="JU12" s="864"/>
      <c r="JV12" s="1003">
        <f t="shared" ref="JV12:JV29" si="81">SUM(JW12:JX12)</f>
        <v>-160144.35999999999</v>
      </c>
      <c r="JW12" s="851">
        <f>'Проверочная  таблица'!JQ12-'Проверочная  таблица'!KC12</f>
        <v>-41637.529999999984</v>
      </c>
      <c r="JX12" s="860">
        <f>'Проверочная  таблица'!JR12-'Проверочная  таблица'!KD12</f>
        <v>-118506.83</v>
      </c>
      <c r="JY12" s="1368">
        <f t="shared" ref="JY12:JY29" si="82">SUM(JZ12:KA12)</f>
        <v>0</v>
      </c>
      <c r="JZ12" s="850">
        <f>'Проверочная  таблица'!JT12-'Проверочная  таблица'!KF12</f>
        <v>0</v>
      </c>
      <c r="KA12" s="867">
        <f>'Проверочная  таблица'!JU12-'Проверочная  таблица'!KG12</f>
        <v>0</v>
      </c>
      <c r="KB12" s="1003">
        <f t="shared" ref="KB12:KB29" si="83">SUM(KC12:KD12)</f>
        <v>160144.35999999999</v>
      </c>
      <c r="KC12" s="859">
        <f>[1]Субсидия_факт!FB10</f>
        <v>41637.529999999984</v>
      </c>
      <c r="KD12" s="858">
        <f>[1]Субсидия_факт!FH10</f>
        <v>118506.83</v>
      </c>
      <c r="KE12" s="878">
        <f t="shared" ref="KE12:KE25" si="84">SUM(KF12:KG12)</f>
        <v>0</v>
      </c>
      <c r="KF12" s="859"/>
      <c r="KG12" s="860"/>
      <c r="KH12" s="1352">
        <f>SUM(KI12:KL12)</f>
        <v>1392759.65</v>
      </c>
      <c r="KI12" s="850">
        <f>[1]Субсидия_факт!OD10</f>
        <v>539880</v>
      </c>
      <c r="KJ12" s="860">
        <f>[1]Субсидия_факт!OJ10</f>
        <v>691479.65</v>
      </c>
      <c r="KK12" s="850">
        <f>[1]Субсидия_факт!OR10</f>
        <v>58676.6</v>
      </c>
      <c r="KL12" s="860">
        <f>[1]Субсидия_факт!OT10</f>
        <v>102723.4</v>
      </c>
      <c r="KM12" s="1352">
        <f t="shared" ref="KM12:KM29" si="85">SUM(KN12:KQ12)</f>
        <v>48420</v>
      </c>
      <c r="KN12" s="850"/>
      <c r="KO12" s="860"/>
      <c r="KP12" s="850">
        <v>17602.98</v>
      </c>
      <c r="KQ12" s="860">
        <v>30817.02</v>
      </c>
      <c r="KR12" s="1352">
        <f>SUM(KS12:KV12)</f>
        <v>112110</v>
      </c>
      <c r="KS12" s="885">
        <f>[1]Субсидия_факт!OF10</f>
        <v>112110</v>
      </c>
      <c r="KT12" s="863">
        <f>[1]Субсидия_факт!OL10</f>
        <v>0</v>
      </c>
      <c r="KU12" s="885"/>
      <c r="KV12" s="863"/>
      <c r="KW12" s="1352">
        <f t="shared" ref="KW12:KW29" si="86">SUM(KX12:LA12)</f>
        <v>0</v>
      </c>
      <c r="KX12" s="850"/>
      <c r="KY12" s="860"/>
      <c r="KZ12" s="850"/>
      <c r="LA12" s="860"/>
      <c r="LB12" s="1354">
        <f t="shared" ref="LB12:LB29" si="87">SUM(LC12:LD12)</f>
        <v>62820</v>
      </c>
      <c r="LC12" s="885">
        <f t="shared" ref="LC12:LD27" si="88">KS12-LI12</f>
        <v>62820</v>
      </c>
      <c r="LD12" s="863">
        <f t="shared" si="88"/>
        <v>0</v>
      </c>
      <c r="LE12" s="1354">
        <f t="shared" ref="LE12:LE29" si="89">SUM(LF12:LG12)</f>
        <v>0</v>
      </c>
      <c r="LF12" s="885">
        <f t="shared" ref="LF12:LG27" si="90">KX12-LL12</f>
        <v>0</v>
      </c>
      <c r="LG12" s="863">
        <f t="shared" si="90"/>
        <v>0</v>
      </c>
      <c r="LH12" s="1354">
        <f t="shared" ref="LH12:LH29" si="91">SUM(LI12:LJ12)</f>
        <v>49290</v>
      </c>
      <c r="LI12" s="859">
        <f>[1]Субсидия_факт!OH10</f>
        <v>49290</v>
      </c>
      <c r="LJ12" s="858">
        <f>[1]Субсидия_факт!ON10</f>
        <v>0</v>
      </c>
      <c r="LK12" s="1354">
        <f t="shared" ref="LK12:LK29" si="92">SUM(LL12:LM12)</f>
        <v>0</v>
      </c>
      <c r="LL12" s="851"/>
      <c r="LM12" s="860"/>
      <c r="LN12" s="1366">
        <f>SUM(LO12:LQ12)</f>
        <v>7973513.5099999998</v>
      </c>
      <c r="LO12" s="865">
        <f>[1]Субсидия_факт!DP10</f>
        <v>0</v>
      </c>
      <c r="LP12" s="850">
        <f>[1]Субсидия_факт!CB10</f>
        <v>2073113.5099999998</v>
      </c>
      <c r="LQ12" s="860">
        <f>[1]Субсидия_факт!CH10</f>
        <v>5900400</v>
      </c>
      <c r="LR12" s="1050">
        <f t="shared" ref="LR12:LR29" si="93">SUM(LS12:LU12)</f>
        <v>0</v>
      </c>
      <c r="LS12" s="865"/>
      <c r="LT12" s="850"/>
      <c r="LU12" s="860"/>
      <c r="LV12" s="1366">
        <f>SUM(LW12:LY12)</f>
        <v>0</v>
      </c>
      <c r="LW12" s="865">
        <f>[1]Субсидия_факт!DR10</f>
        <v>0</v>
      </c>
      <c r="LX12" s="850">
        <f>[1]Субсидия_факт!CD10</f>
        <v>0</v>
      </c>
      <c r="LY12" s="860">
        <f>[1]Субсидия_факт!CJ10</f>
        <v>0</v>
      </c>
      <c r="LZ12" s="1050">
        <f t="shared" ref="LZ12:LZ29" si="94">SUM(MA12:MC12)</f>
        <v>0</v>
      </c>
      <c r="MA12" s="865"/>
      <c r="MB12" s="850"/>
      <c r="MC12" s="858"/>
      <c r="MD12" s="878">
        <f t="shared" ref="MD12:MD29" si="95">SUM(ME12:MG12)</f>
        <v>0</v>
      </c>
      <c r="ME12" s="859">
        <f>'Проверочная  таблица'!LW12-MM12</f>
        <v>0</v>
      </c>
      <c r="MF12" s="859">
        <f>'Проверочная  таблица'!LX12-MN12</f>
        <v>0</v>
      </c>
      <c r="MG12" s="860">
        <f>'Проверочная  таблица'!LY12-MO12</f>
        <v>0</v>
      </c>
      <c r="MH12" s="878">
        <f t="shared" ref="MH12:MH29" si="96">SUM(MI12:MK12)</f>
        <v>0</v>
      </c>
      <c r="MI12" s="859">
        <f>'Проверочная  таблица'!MA12-MQ12</f>
        <v>0</v>
      </c>
      <c r="MJ12" s="859">
        <f>'Проверочная  таблица'!MB12-MR12</f>
        <v>0</v>
      </c>
      <c r="MK12" s="860">
        <f>'Проверочная  таблица'!MC12-MS12</f>
        <v>0</v>
      </c>
      <c r="ML12" s="879">
        <f t="shared" ref="ML12:ML29" si="97">SUM(MM12:MO12)</f>
        <v>0</v>
      </c>
      <c r="MM12" s="850">
        <f>[1]Субсидия_факт!DT10</f>
        <v>0</v>
      </c>
      <c r="MN12" s="850">
        <f>[1]Субсидия_факт!CF10</f>
        <v>0</v>
      </c>
      <c r="MO12" s="860">
        <f>[1]Субсидия_факт!CL10</f>
        <v>0</v>
      </c>
      <c r="MP12" s="879">
        <f t="shared" ref="MP12:MP29" si="98">SUM(MQ12:MS12)</f>
        <v>0</v>
      </c>
      <c r="MQ12" s="850"/>
      <c r="MR12" s="850"/>
      <c r="MS12" s="860"/>
      <c r="MT12" s="1360">
        <f>SUM(MU12:NA12)</f>
        <v>160144.35999999999</v>
      </c>
      <c r="MU12" s="850">
        <f>[1]Субсидия_факт!CN10</f>
        <v>0</v>
      </c>
      <c r="MV12" s="858">
        <f>[1]Субсидия_факт!CP10</f>
        <v>0</v>
      </c>
      <c r="MW12" s="859">
        <f>[1]Субсидия_факт!CR10</f>
        <v>0</v>
      </c>
      <c r="MX12" s="860">
        <f>[1]Субсидия_факт!CT10</f>
        <v>0</v>
      </c>
      <c r="MY12" s="851">
        <f>[1]Субсидия_факт!DV10</f>
        <v>0</v>
      </c>
      <c r="MZ12" s="859">
        <f>[1]Субсидия_факт!FJ10</f>
        <v>41637.529999999984</v>
      </c>
      <c r="NA12" s="858">
        <f>[1]Субсидия_факт!FP10</f>
        <v>118506.83</v>
      </c>
      <c r="NB12" s="1003">
        <f t="shared" ref="NB12:NB29" si="99">SUM(NC12:NI12)</f>
        <v>160144.35999999999</v>
      </c>
      <c r="NC12" s="850"/>
      <c r="ND12" s="860"/>
      <c r="NE12" s="850"/>
      <c r="NF12" s="864"/>
      <c r="NG12" s="850"/>
      <c r="NH12" s="850">
        <f t="shared" ref="NH12:NI17" si="100">MZ12</f>
        <v>41637.529999999984</v>
      </c>
      <c r="NI12" s="860">
        <f t="shared" si="100"/>
        <v>118506.83</v>
      </c>
      <c r="NJ12" s="1003">
        <f>SUM(NK12:NL12)</f>
        <v>0</v>
      </c>
      <c r="NK12" s="859">
        <f>[1]Субсидия_факт!FL10</f>
        <v>0</v>
      </c>
      <c r="NL12" s="858">
        <f>[1]Субсидия_факт!FR10</f>
        <v>0</v>
      </c>
      <c r="NM12" s="1003">
        <f t="shared" ref="NM12:NM29" si="101">SUM(NN12:NO12)</f>
        <v>0</v>
      </c>
      <c r="NN12" s="851"/>
      <c r="NO12" s="860"/>
      <c r="NP12" s="878">
        <f t="shared" ref="NP12:NP29" si="102">SUM(NQ12:NR12)</f>
        <v>0</v>
      </c>
      <c r="NQ12" s="859">
        <f>'Проверочная  таблица'!NK12-NW12</f>
        <v>0</v>
      </c>
      <c r="NR12" s="860">
        <f>'Проверочная  таблица'!NL12-NX12</f>
        <v>0</v>
      </c>
      <c r="NS12" s="878">
        <f t="shared" ref="NS12:NS29" si="103">SUM(NT12:NU12)</f>
        <v>0</v>
      </c>
      <c r="NT12" s="850">
        <f>'Проверочная  таблица'!NN12-NZ12</f>
        <v>0</v>
      </c>
      <c r="NU12" s="867">
        <f>'Проверочная  таблица'!NO12-OA12</f>
        <v>0</v>
      </c>
      <c r="NV12" s="877">
        <f>SUM(NW12:NX12)</f>
        <v>0</v>
      </c>
      <c r="NW12" s="859">
        <f>[1]Субсидия_факт!FN10</f>
        <v>0</v>
      </c>
      <c r="NX12" s="858">
        <f>[1]Субсидия_факт!FT10</f>
        <v>0</v>
      </c>
      <c r="NY12" s="878">
        <f t="shared" ref="NY12:NY25" si="104">SUM(NZ12:OA12)</f>
        <v>0</v>
      </c>
      <c r="NZ12" s="850"/>
      <c r="OA12" s="860"/>
      <c r="OB12" s="1012">
        <f>SUM(OC12:OE12)</f>
        <v>0</v>
      </c>
      <c r="OC12" s="859">
        <f>[1]Субсидия_факт!AR10</f>
        <v>0</v>
      </c>
      <c r="OD12" s="858">
        <f>[1]Субсидия_факт!AT10</f>
        <v>0</v>
      </c>
      <c r="OE12" s="859">
        <f>[1]Субсидия_факт!AV10</f>
        <v>0</v>
      </c>
      <c r="OF12" s="1050">
        <f t="shared" ref="OF12:OF29" si="105">SUM(OG12:OI12)</f>
        <v>0</v>
      </c>
      <c r="OG12" s="866"/>
      <c r="OH12" s="863"/>
      <c r="OI12" s="866"/>
      <c r="OJ12" s="1376">
        <f t="shared" ref="OJ12:OJ29" si="106">SUM(OK12:OM12)</f>
        <v>5000000</v>
      </c>
      <c r="OK12" s="859">
        <f>[1]Субсидия_факт!GD10</f>
        <v>0</v>
      </c>
      <c r="OL12" s="858">
        <f>[1]Субсидия_факт!GJ10</f>
        <v>0</v>
      </c>
      <c r="OM12" s="866">
        <f>[1]Субсидия_факт!GP10</f>
        <v>5000000</v>
      </c>
      <c r="ON12" s="1376">
        <f t="shared" ref="ON12:ON29" si="107">SUM(OO12:OQ12)</f>
        <v>5000000</v>
      </c>
      <c r="OO12" s="851"/>
      <c r="OP12" s="860"/>
      <c r="OQ12" s="850">
        <v>5000000</v>
      </c>
      <c r="OR12" s="1352">
        <f>SUM(OS12:OU12)</f>
        <v>0</v>
      </c>
      <c r="OS12" s="859">
        <f>[1]Субсидия_факт!GF10</f>
        <v>0</v>
      </c>
      <c r="OT12" s="858">
        <f>[1]Субсидия_факт!GL10</f>
        <v>0</v>
      </c>
      <c r="OU12" s="850">
        <f>[1]Субсидия_факт!GR10</f>
        <v>0</v>
      </c>
      <c r="OV12" s="1352">
        <f t="shared" ref="OV12:OV29" si="108">SUM(OW12:OY12)</f>
        <v>0</v>
      </c>
      <c r="OW12" s="850"/>
      <c r="OX12" s="867"/>
      <c r="OY12" s="850"/>
      <c r="OZ12" s="1354">
        <f t="shared" ref="OZ12:OZ29" si="109">SUM(PA12:PC12)</f>
        <v>-5000000</v>
      </c>
      <c r="PA12" s="885">
        <f>'Проверочная  таблица'!OS12-PI12</f>
        <v>-5000000</v>
      </c>
      <c r="PB12" s="863">
        <f>'Проверочная  таблица'!OT12-PJ12</f>
        <v>0</v>
      </c>
      <c r="PC12" s="866">
        <f>'Проверочная  таблица'!OU12-PK12</f>
        <v>0</v>
      </c>
      <c r="PD12" s="1354">
        <f>SUM(PE12:PG12)</f>
        <v>0</v>
      </c>
      <c r="PE12" s="851">
        <f>'Проверочная  таблица'!OW12-PM12</f>
        <v>0</v>
      </c>
      <c r="PF12" s="860">
        <f>'Проверочная  таблица'!OX12-PN12</f>
        <v>0</v>
      </c>
      <c r="PG12" s="850">
        <f>'Проверочная  таблица'!OY12-PO12</f>
        <v>0</v>
      </c>
      <c r="PH12" s="1354">
        <f t="shared" ref="PH12:PH29" si="110">SUM(PI12:PK12)</f>
        <v>5000000</v>
      </c>
      <c r="PI12" s="859">
        <f>[1]Субсидия_факт!GH10</f>
        <v>5000000</v>
      </c>
      <c r="PJ12" s="858">
        <f>[1]Субсидия_факт!GN10</f>
        <v>0</v>
      </c>
      <c r="PK12" s="859">
        <f>[1]Субсидия_факт!GT10</f>
        <v>0</v>
      </c>
      <c r="PL12" s="1354">
        <f t="shared" ref="PL12:PL29" si="111">SUM(PM12:PO12)</f>
        <v>0</v>
      </c>
      <c r="PM12" s="851">
        <f>OW12</f>
        <v>0</v>
      </c>
      <c r="PN12" s="860">
        <f>OX12</f>
        <v>0</v>
      </c>
      <c r="PO12" s="859"/>
      <c r="PP12" s="1003">
        <f>SUM(PQ12:PT12)</f>
        <v>0</v>
      </c>
      <c r="PQ12" s="859">
        <f>[1]Субсидия_факт!JB10</f>
        <v>0</v>
      </c>
      <c r="PR12" s="860">
        <f>[1]Субсидия_факт!JH10</f>
        <v>0</v>
      </c>
      <c r="PS12" s="859"/>
      <c r="PT12" s="860"/>
      <c r="PU12" s="1003">
        <f>SUM(PV12:PY12)</f>
        <v>0</v>
      </c>
      <c r="PV12" s="850"/>
      <c r="PW12" s="864"/>
      <c r="PX12" s="850"/>
      <c r="PY12" s="864"/>
      <c r="PZ12" s="1003">
        <f t="shared" ref="PZ12:PZ29" si="112">SUM(QA12:QB12)</f>
        <v>0</v>
      </c>
      <c r="QA12" s="859">
        <f>[1]Субсидия_факт!JD10</f>
        <v>0</v>
      </c>
      <c r="QB12" s="860">
        <f>[1]Субсидия_факт!JJ10</f>
        <v>0</v>
      </c>
      <c r="QC12" s="1360">
        <f t="shared" ref="QC12:QC29" si="113">SUM(QD12:QE12)</f>
        <v>0</v>
      </c>
      <c r="QD12" s="850"/>
      <c r="QE12" s="864"/>
      <c r="QF12" s="1016">
        <f>SUM(QG12:QH12)</f>
        <v>0</v>
      </c>
      <c r="QG12" s="850">
        <f t="shared" ref="QG12:QH27" si="114">QA12-QM12</f>
        <v>0</v>
      </c>
      <c r="QH12" s="860">
        <f t="shared" si="114"/>
        <v>0</v>
      </c>
      <c r="QI12" s="1369">
        <f t="shared" ref="QI12:QI29" si="115">SUM(QJ12:QK12)</f>
        <v>0</v>
      </c>
      <c r="QJ12" s="859">
        <f t="shared" ref="QJ12:QK27" si="116">QD12-QP12</f>
        <v>0</v>
      </c>
      <c r="QK12" s="860">
        <f t="shared" si="116"/>
        <v>0</v>
      </c>
      <c r="QL12" s="1369">
        <f t="shared" ref="QL12:QL29" si="117">SUM(QM12:QN12)</f>
        <v>0</v>
      </c>
      <c r="QM12" s="859">
        <f>[1]Субсидия_факт!JF10</f>
        <v>0</v>
      </c>
      <c r="QN12" s="860">
        <f>[1]Субсидия_факт!JL10</f>
        <v>0</v>
      </c>
      <c r="QO12" s="1016">
        <f>SUM(QP12:QQ12)</f>
        <v>0</v>
      </c>
      <c r="QP12" s="866"/>
      <c r="QQ12" s="890"/>
      <c r="QR12" s="939">
        <f t="shared" ref="QR12:QR29" si="118">SUM(QS12:QT12)</f>
        <v>0</v>
      </c>
      <c r="QS12" s="859">
        <f>[1]Субсидия_факт!CV10</f>
        <v>0</v>
      </c>
      <c r="QT12" s="860">
        <f>[1]Субсидия_факт!CX10</f>
        <v>0</v>
      </c>
      <c r="QU12" s="1003">
        <f t="shared" ref="QU12:QU29" si="119">SUM(QV12:QW12)</f>
        <v>0</v>
      </c>
      <c r="QV12" s="859"/>
      <c r="QW12" s="860"/>
      <c r="QX12" s="1013">
        <f t="shared" ref="QX12:QX29" si="120">SUM(QY12:QZ12)</f>
        <v>0</v>
      </c>
      <c r="QY12" s="859">
        <f>[1]Субсидия_факт!CZ10</f>
        <v>0</v>
      </c>
      <c r="QZ12" s="860">
        <f>[1]Субсидия_факт!DF10</f>
        <v>0</v>
      </c>
      <c r="RA12" s="1003">
        <f t="shared" ref="RA12:RA29" si="121">SUM(RB12:RC12)</f>
        <v>0</v>
      </c>
      <c r="RB12" s="859"/>
      <c r="RC12" s="860"/>
      <c r="RD12" s="897">
        <f t="shared" ref="RD12:RD29" si="122">SUM(RE12:RF12)</f>
        <v>0</v>
      </c>
      <c r="RE12" s="859">
        <f>[1]Субсидия_факт!DB10</f>
        <v>0</v>
      </c>
      <c r="RF12" s="860">
        <f>[1]Субсидия_факт!DH10</f>
        <v>0</v>
      </c>
      <c r="RG12" s="1003">
        <f t="shared" ref="RG12:RG29" si="123">SUM(RH12:RI12)</f>
        <v>0</v>
      </c>
      <c r="RH12" s="859"/>
      <c r="RI12" s="860"/>
      <c r="RJ12" s="1369">
        <f t="shared" ref="RJ12:RJ29" si="124">SUM(RK12:RL12)</f>
        <v>0</v>
      </c>
      <c r="RK12" s="859">
        <f t="shared" ref="RK12:RL27" si="125">RE12-RQ12</f>
        <v>0</v>
      </c>
      <c r="RL12" s="860">
        <f t="shared" si="125"/>
        <v>0</v>
      </c>
      <c r="RM12" s="878">
        <f t="shared" ref="RM12:RM29" si="126">SUM(RN12:RO12)</f>
        <v>0</v>
      </c>
      <c r="RN12" s="859">
        <f t="shared" ref="RN12:RO27" si="127">RH12-RT12</f>
        <v>0</v>
      </c>
      <c r="RO12" s="860">
        <f t="shared" si="127"/>
        <v>0</v>
      </c>
      <c r="RP12" s="897">
        <f t="shared" ref="RP12:RP29" si="128">SUM(RQ12:RR12)</f>
        <v>0</v>
      </c>
      <c r="RQ12" s="859">
        <f>[1]Субсидия_факт!DD10</f>
        <v>0</v>
      </c>
      <c r="RR12" s="860">
        <f>[1]Субсидия_факт!DJ10</f>
        <v>0</v>
      </c>
      <c r="RS12" s="878">
        <f t="shared" ref="RS12:RS29" si="129">SUM(RT12:RU12)</f>
        <v>0</v>
      </c>
      <c r="RT12" s="859"/>
      <c r="RU12" s="860"/>
      <c r="RV12" s="1013">
        <f t="shared" ref="RV12:RV29" si="130">SUM(RW12:RX12)</f>
        <v>0</v>
      </c>
      <c r="RW12" s="859">
        <f>[1]Субсидия_факт!DL10</f>
        <v>0</v>
      </c>
      <c r="RX12" s="860">
        <f>[1]Субсидия_факт!DN10</f>
        <v>0</v>
      </c>
      <c r="RY12" s="1360">
        <f t="shared" ref="RY12:RY29" si="131">SUM(RZ12:SA12)</f>
        <v>0</v>
      </c>
      <c r="RZ12" s="851"/>
      <c r="SA12" s="858"/>
      <c r="SB12" s="1366">
        <f>SUM(SC12:SE12)</f>
        <v>0</v>
      </c>
      <c r="SC12" s="859">
        <f>[1]Субсидия_факт!BJ10</f>
        <v>0</v>
      </c>
      <c r="SD12" s="862">
        <f>[1]Субсидия_факт!BF10</f>
        <v>0</v>
      </c>
      <c r="SE12" s="858">
        <f>[1]Субсидия_факт!BH10</f>
        <v>0</v>
      </c>
      <c r="SF12" s="1003">
        <f t="shared" ref="SF12:SF29" si="132">SUM(SG12:SI12)</f>
        <v>0</v>
      </c>
      <c r="SG12" s="865"/>
      <c r="SH12" s="851"/>
      <c r="SI12" s="858"/>
      <c r="SJ12" s="939">
        <f t="shared" ref="SJ12:SJ29" si="133">SUM(SK12:SL12)</f>
        <v>0</v>
      </c>
      <c r="SK12" s="859">
        <f>[1]Субсидия_факт!AD10</f>
        <v>0</v>
      </c>
      <c r="SL12" s="860">
        <f>[1]Субсидия_факт!AF10</f>
        <v>0</v>
      </c>
      <c r="SM12" s="1003">
        <f t="shared" ref="SM12:SM29" si="134">SUM(SN12:SO12)</f>
        <v>0</v>
      </c>
      <c r="SN12" s="851"/>
      <c r="SO12" s="858"/>
      <c r="SP12" s="875">
        <f>SUM(SQ12:SV12)</f>
        <v>7145912.4400000004</v>
      </c>
      <c r="SQ12" s="859">
        <f>[1]Субсидия_факт!ID10</f>
        <v>357295.62000000011</v>
      </c>
      <c r="SR12" s="860">
        <f>[1]Субсидия_факт!IJ10</f>
        <v>6788616.8200000003</v>
      </c>
      <c r="SS12" s="851">
        <f>[1]Субсидия_факт!IP10</f>
        <v>0</v>
      </c>
      <c r="ST12" s="860">
        <f>[1]Субсидия_факт!IV10</f>
        <v>0</v>
      </c>
      <c r="SU12" s="1195">
        <f>[1]Субсидия_факт!JZ10</f>
        <v>0</v>
      </c>
      <c r="SV12" s="858">
        <f>[1]Субсидия_факт!KF10</f>
        <v>0</v>
      </c>
      <c r="SW12" s="1003">
        <f t="shared" ref="SW12:SW29" si="135">SUM(SX12:TC12)</f>
        <v>4265214.3</v>
      </c>
      <c r="SX12" s="1243">
        <v>213260.7</v>
      </c>
      <c r="SY12" s="864">
        <v>4051953.6</v>
      </c>
      <c r="SZ12" s="1243"/>
      <c r="TA12" s="864"/>
      <c r="TB12" s="1195"/>
      <c r="TC12" s="858"/>
      <c r="TD12" s="939">
        <f t="shared" ref="TD12:TD29" si="136">SUM(TE12:TJ12)</f>
        <v>0</v>
      </c>
      <c r="TE12" s="859">
        <f>[1]Субсидия_факт!IF10</f>
        <v>0</v>
      </c>
      <c r="TF12" s="860">
        <f>[1]Субсидия_факт!IL10</f>
        <v>0</v>
      </c>
      <c r="TG12" s="851">
        <f>[1]Субсидия_факт!IR10</f>
        <v>0</v>
      </c>
      <c r="TH12" s="860">
        <f>[1]Субсидия_факт!IX10</f>
        <v>0</v>
      </c>
      <c r="TI12" s="851">
        <f>[1]Субсидия_факт!KB10</f>
        <v>0</v>
      </c>
      <c r="TJ12" s="860">
        <f>[1]Субсидия_факт!KH10</f>
        <v>0</v>
      </c>
      <c r="TK12" s="1003">
        <f t="shared" ref="TK12:TK29" si="137">SUM(TL12:TQ12)</f>
        <v>0</v>
      </c>
      <c r="TL12" s="866"/>
      <c r="TM12" s="864"/>
      <c r="TN12" s="1195"/>
      <c r="TO12" s="864"/>
      <c r="TP12" s="850"/>
      <c r="TQ12" s="864"/>
      <c r="TR12" s="1016">
        <f t="shared" ref="TR12:TR29" si="138">SUM(TS12:TX12)</f>
        <v>0</v>
      </c>
      <c r="TS12" s="859">
        <f t="shared" ref="TS12:TX27" si="139">TE12-UG12</f>
        <v>0</v>
      </c>
      <c r="TT12" s="860">
        <f t="shared" si="139"/>
        <v>0</v>
      </c>
      <c r="TU12" s="859">
        <f t="shared" si="139"/>
        <v>0</v>
      </c>
      <c r="TV12" s="860">
        <f t="shared" si="139"/>
        <v>0</v>
      </c>
      <c r="TW12" s="851">
        <f t="shared" si="139"/>
        <v>0</v>
      </c>
      <c r="TX12" s="860">
        <f t="shared" si="139"/>
        <v>0</v>
      </c>
      <c r="TY12" s="878">
        <f t="shared" ref="TY12:TY29" si="140">SUM(TZ12:UE12)</f>
        <v>0</v>
      </c>
      <c r="TZ12" s="859">
        <f t="shared" ref="TZ12:UE27" si="141">TL12-UN12</f>
        <v>0</v>
      </c>
      <c r="UA12" s="860">
        <f t="shared" si="141"/>
        <v>0</v>
      </c>
      <c r="UB12" s="859">
        <f t="shared" si="141"/>
        <v>0</v>
      </c>
      <c r="UC12" s="860">
        <f t="shared" si="141"/>
        <v>0</v>
      </c>
      <c r="UD12" s="851">
        <f t="shared" si="141"/>
        <v>0</v>
      </c>
      <c r="UE12" s="860">
        <f t="shared" si="141"/>
        <v>0</v>
      </c>
      <c r="UF12" s="1029">
        <f t="shared" ref="UF12:UF29" si="142">SUM(UG12:UL12)</f>
        <v>0</v>
      </c>
      <c r="UG12" s="859">
        <f>[1]Субсидия_факт!IH10</f>
        <v>0</v>
      </c>
      <c r="UH12" s="860">
        <f>[1]Субсидия_факт!IN10</f>
        <v>0</v>
      </c>
      <c r="UI12" s="851">
        <f>[1]Субсидия_факт!IT10</f>
        <v>0</v>
      </c>
      <c r="UJ12" s="860">
        <f>[1]Субсидия_факт!IZ10</f>
        <v>0</v>
      </c>
      <c r="UK12" s="851">
        <f>[1]Субсидия_факт!KD10</f>
        <v>0</v>
      </c>
      <c r="UL12" s="860">
        <f>[1]Субсидия_факт!KJ10</f>
        <v>0</v>
      </c>
      <c r="UM12" s="878">
        <f t="shared" ref="UM12:UM29" si="143">SUM(UN12:US12)</f>
        <v>0</v>
      </c>
      <c r="UN12" s="1195"/>
      <c r="UO12" s="864"/>
      <c r="UP12" s="1195"/>
      <c r="UQ12" s="864"/>
      <c r="UR12" s="1195"/>
      <c r="US12" s="864"/>
      <c r="UT12" s="1003">
        <f>'Прочая  субсидия_МР  и  ГО'!B8</f>
        <v>43676706.689999998</v>
      </c>
      <c r="UU12" s="1003">
        <f>'Прочая  субсидия_МР  и  ГО'!C8</f>
        <v>28309919.949999999</v>
      </c>
      <c r="UV12" s="1012">
        <f>'Прочая  субсидия_БП'!B8</f>
        <v>0</v>
      </c>
      <c r="UW12" s="1013">
        <f>'Прочая  субсидия_БП'!C8</f>
        <v>0</v>
      </c>
      <c r="UX12" s="1377">
        <f>'Прочая  субсидия_БП'!D8</f>
        <v>0</v>
      </c>
      <c r="UY12" s="1378">
        <f>'Прочая  субсидия_БП'!E8</f>
        <v>0</v>
      </c>
      <c r="UZ12" s="1379">
        <f>'Прочая  субсидия_БП'!F8</f>
        <v>0</v>
      </c>
      <c r="VA12" s="1377">
        <f>'Прочая  субсидия_БП'!G8</f>
        <v>0</v>
      </c>
      <c r="VB12" s="875">
        <f t="shared" ref="VB12:VB29" si="144">SUM(VC12:VD12)</f>
        <v>197485234.61999997</v>
      </c>
      <c r="VC12" s="857">
        <f>'Проверочная  таблица'!WE12+'Проверочная  таблица'!VH12+'Проверочная  таблица'!VJ12+VY12</f>
        <v>191127503.20999998</v>
      </c>
      <c r="VD12" s="1192">
        <f>'Проверочная  таблица'!WF12+'Проверочная  таблица'!VN12+'Проверочная  таблица'!VT12+'Проверочная  таблица'!VP12+'Проверочная  таблица'!VR12+VV12+VZ12+VL12</f>
        <v>6357731.4100000001</v>
      </c>
      <c r="VE12" s="1366">
        <f t="shared" ref="VE12:VE29" si="145">SUM(VF12:VG12)</f>
        <v>143116888.42000002</v>
      </c>
      <c r="VF12" s="857">
        <f>'Проверочная  таблица'!WH12+'Проверочная  таблица'!VI12+'Проверочная  таблица'!VK12+WB12</f>
        <v>140204289.68000001</v>
      </c>
      <c r="VG12" s="1192">
        <f>'Проверочная  таблица'!WI12+'Проверочная  таблица'!VO12+'Проверочная  таблица'!VU12+'Проверочная  таблица'!VQ12+'Проверочная  таблица'!VS12+VW12+WC12+VM12</f>
        <v>2912598.7399999998</v>
      </c>
      <c r="VH12" s="1362">
        <f>'Субвенция  на  полномочия'!B8</f>
        <v>180215043.96999997</v>
      </c>
      <c r="VI12" s="1351">
        <f>'Субвенция  на  полномочия'!C8</f>
        <v>134927459.19</v>
      </c>
      <c r="VJ12" s="852">
        <f>[1]Субвенция_факт!M9*1000</f>
        <v>8175520</v>
      </c>
      <c r="VK12" s="868">
        <v>3679100</v>
      </c>
      <c r="VL12" s="852">
        <f>[1]Субвенция_факт!AE9*1000</f>
        <v>2362800</v>
      </c>
      <c r="VM12" s="868">
        <f>ВУС!E6</f>
        <v>408936.11</v>
      </c>
      <c r="VN12" s="852">
        <f>[1]Субвенция_факт!AF9*1000</f>
        <v>0</v>
      </c>
      <c r="VO12" s="868"/>
      <c r="VP12" s="1380">
        <f>[1]Субвенция_факт!AG9*1000</f>
        <v>0</v>
      </c>
      <c r="VQ12" s="869"/>
      <c r="VR12" s="855">
        <f>[1]Субвенция_факт!E9*1000</f>
        <v>0</v>
      </c>
      <c r="VS12" s="869"/>
      <c r="VT12" s="855">
        <f>[1]Субвенция_факт!F9*1000</f>
        <v>0</v>
      </c>
      <c r="VU12" s="869"/>
      <c r="VV12" s="853">
        <f>[1]Субвенция_факт!G9*1000</f>
        <v>0</v>
      </c>
      <c r="VW12" s="868"/>
      <c r="VX12" s="875">
        <f t="shared" ref="VX12:VX29" si="146">SUM(VY12:VZ12)</f>
        <v>4249907.3099999996</v>
      </c>
      <c r="VY12" s="1365">
        <f>[1]Субвенция_факт!P9*1000</f>
        <v>1104975.8999999994</v>
      </c>
      <c r="VZ12" s="1381">
        <f>[1]Субвенция_факт!Q9*1000</f>
        <v>3144931.41</v>
      </c>
      <c r="WA12" s="1366">
        <f t="shared" ref="WA12:WA29" si="147">SUM(WB12:WC12)</f>
        <v>2275886.4900000002</v>
      </c>
      <c r="WB12" s="857">
        <v>591730.49</v>
      </c>
      <c r="WC12" s="870">
        <v>1684156</v>
      </c>
      <c r="WD12" s="1366">
        <f t="shared" ref="WD12:WD29" si="148">SUM(WE12:WF12)</f>
        <v>2481963.34</v>
      </c>
      <c r="WE12" s="871">
        <f>[1]Субвенция_факт!X9*1000</f>
        <v>1631963.3399999999</v>
      </c>
      <c r="WF12" s="872">
        <f>[1]Субвенция_факт!W9*1000</f>
        <v>850000</v>
      </c>
      <c r="WG12" s="1366">
        <f t="shared" ref="WG12:WG29" si="149">SUM(WH12:WI12)</f>
        <v>1825506.63</v>
      </c>
      <c r="WH12" s="857">
        <v>1006000</v>
      </c>
      <c r="WI12" s="870">
        <v>819506.63</v>
      </c>
      <c r="WJ12" s="875">
        <f>WR12+WX12+XD12+XJ12+XN12+XV12+YR12+WL12</f>
        <v>75511583.86999999</v>
      </c>
      <c r="WK12" s="1366">
        <f>WU12+XA12+XG12+XL12+XP12+YG12+YX12+WO12</f>
        <v>25727890.52</v>
      </c>
      <c r="WL12" s="1362">
        <f t="shared" ref="WL12" si="150">SUM(WM12:WN12)</f>
        <v>0</v>
      </c>
      <c r="WM12" s="871"/>
      <c r="WN12" s="872">
        <f>'[1]Иные межбюджетные трансферты'!I10</f>
        <v>0</v>
      </c>
      <c r="WO12" s="1362">
        <f t="shared" ref="WO12" si="151">SUM(WP12:WQ12)</f>
        <v>0</v>
      </c>
      <c r="WP12" s="871"/>
      <c r="WQ12" s="872"/>
      <c r="WR12" s="1362">
        <f t="shared" ref="WR12:WR29" si="152">SUM(WS12:WT12)</f>
        <v>1230322.1100000001</v>
      </c>
      <c r="WS12" s="871">
        <f>'[1]Иные межбюджетные трансферты'!AQ10</f>
        <v>1230322.1100000001</v>
      </c>
      <c r="WT12" s="872">
        <f>'[1]Иные межбюджетные трансферты'!AS10</f>
        <v>0</v>
      </c>
      <c r="WU12" s="1362">
        <f t="shared" ref="WU12:WU29" si="153">SUM(WV12:WW12)</f>
        <v>0</v>
      </c>
      <c r="WV12" s="871"/>
      <c r="WW12" s="872"/>
      <c r="WX12" s="1366">
        <f t="shared" ref="WX12:WX29" si="154">SUM(WY12:WZ12)</f>
        <v>1078476.56</v>
      </c>
      <c r="WY12" s="871">
        <f>'[1]Иные межбюджетные трансферты'!AM10</f>
        <v>53923.83</v>
      </c>
      <c r="WZ12" s="872">
        <f>'[1]Иные межбюджетные трансферты'!AO10</f>
        <v>1024552.7300000001</v>
      </c>
      <c r="XA12" s="1366">
        <f t="shared" ref="XA12:XA29" si="155">SUM(XB12:XC12)</f>
        <v>825584.45</v>
      </c>
      <c r="XB12" s="871">
        <v>41279.24</v>
      </c>
      <c r="XC12" s="872">
        <v>784305.21</v>
      </c>
      <c r="XD12" s="1366">
        <f t="shared" ref="XD12:XD29" si="156">SUM(XE12:XF12)</f>
        <v>18684674</v>
      </c>
      <c r="XE12" s="871">
        <f>'[1]Иные межбюджетные трансферты'!K10</f>
        <v>8645767</v>
      </c>
      <c r="XF12" s="872">
        <f>'[1]Иные межбюджетные трансферты'!M10</f>
        <v>10038907</v>
      </c>
      <c r="XG12" s="1366">
        <f t="shared" ref="XG12" si="157">SUM(XH12:XI12)</f>
        <v>10038907</v>
      </c>
      <c r="XH12" s="873"/>
      <c r="XI12" s="872">
        <v>10038907</v>
      </c>
      <c r="XJ12" s="1366">
        <f t="shared" ref="XJ12:XJ29" si="158">SUM(XK12:XK12)</f>
        <v>0</v>
      </c>
      <c r="XK12" s="874"/>
      <c r="XL12" s="1366">
        <f t="shared" ref="XL12:XL29" si="159">SUM(XM12:XM12)</f>
        <v>0</v>
      </c>
      <c r="XM12" s="874"/>
      <c r="XN12" s="875">
        <f t="shared" ref="XN12:XN29" si="160">SUM(XO12:XO12)</f>
        <v>0</v>
      </c>
      <c r="XO12" s="1365">
        <f>'[1]Иные межбюджетные трансферты'!O10</f>
        <v>0</v>
      </c>
      <c r="XP12" s="1366">
        <f t="shared" ref="XP12:XP29" si="161">SUM(XQ12:XQ12)</f>
        <v>0</v>
      </c>
      <c r="XQ12" s="857"/>
      <c r="XR12" s="1363">
        <f t="shared" ref="XR12:XR29" si="162">XN12-XT12</f>
        <v>0</v>
      </c>
      <c r="XS12" s="877">
        <f t="shared" ref="XS12:XS29" si="163">XP12-XU12</f>
        <v>0</v>
      </c>
      <c r="XT12" s="1363">
        <f t="shared" ref="XT12:XT29" si="164">XN12</f>
        <v>0</v>
      </c>
      <c r="XU12" s="877">
        <f t="shared" ref="XU12:XU29" si="165">XP12</f>
        <v>0</v>
      </c>
      <c r="XV12" s="1366">
        <f>SUM(XW12:YF12)</f>
        <v>54464187.369999997</v>
      </c>
      <c r="XW12" s="1382">
        <f>'[1]Иные межбюджетные трансферты'!E10</f>
        <v>0</v>
      </c>
      <c r="XX12" s="871">
        <f>'[1]Иные межбюджетные трансферты'!G10</f>
        <v>0</v>
      </c>
      <c r="XY12" s="873">
        <f>'[1]Иные межбюджетные трансферты'!S10</f>
        <v>0</v>
      </c>
      <c r="XZ12" s="1382">
        <f>'[1]Иные межбюджетные трансферты'!Y10</f>
        <v>6136480</v>
      </c>
      <c r="YA12" s="848">
        <f>'[1]Иные межбюджетные трансферты'!AA10</f>
        <v>6136480</v>
      </c>
      <c r="YB12" s="1383">
        <f>'[1]Иные межбюджетные трансферты'!AG10</f>
        <v>28379802</v>
      </c>
      <c r="YC12" s="873">
        <f>'[1]Иные межбюджетные трансферты'!AU10</f>
        <v>1230322.1100000001</v>
      </c>
      <c r="YD12" s="1365">
        <f>'[1]Иные межбюджетные трансферты'!BA10</f>
        <v>3854184.19</v>
      </c>
      <c r="YE12" s="873">
        <f>'[1]Иные межбюджетные трансферты'!BC10</f>
        <v>0</v>
      </c>
      <c r="YF12" s="1383">
        <f>'[1]Иные межбюджетные трансферты'!BE10</f>
        <v>8726919.0700000003</v>
      </c>
      <c r="YG12" s="1366">
        <f>SUM(YH12:YQ12)</f>
        <v>14863399.07</v>
      </c>
      <c r="YH12" s="848"/>
      <c r="YI12" s="848"/>
      <c r="YJ12" s="851"/>
      <c r="YK12" s="848"/>
      <c r="YL12" s="848">
        <f>YA12</f>
        <v>6136480</v>
      </c>
      <c r="YM12" s="848">
        <v>0</v>
      </c>
      <c r="YN12" s="848"/>
      <c r="YO12" s="848"/>
      <c r="YP12" s="848"/>
      <c r="YQ12" s="848">
        <v>8726919.0700000003</v>
      </c>
      <c r="YR12" s="1366">
        <f t="shared" ref="YR12:YR29" si="166">SUM(YS12:YW12)</f>
        <v>53923.83</v>
      </c>
      <c r="YS12" s="871">
        <f>'[1]Иные межбюджетные трансферты'!U10</f>
        <v>0</v>
      </c>
      <c r="YT12" s="873">
        <f>'[1]Иные межбюджетные трансферты'!AC10</f>
        <v>0</v>
      </c>
      <c r="YU12" s="1383">
        <f>'[1]Иные межбюджетные трансферты'!AI10</f>
        <v>53923.83</v>
      </c>
      <c r="YV12" s="1382">
        <f>'[1]Иные межбюджетные трансферты'!AW10</f>
        <v>0</v>
      </c>
      <c r="YW12" s="848">
        <f>'[1]Иные межбюджетные трансферты'!BG10</f>
        <v>0</v>
      </c>
      <c r="YX12" s="1366">
        <f t="shared" ref="YX12:YX29" si="167">SUM(YY12:ZC12)</f>
        <v>0</v>
      </c>
      <c r="YY12" s="1192"/>
      <c r="YZ12" s="865"/>
      <c r="ZA12" s="865"/>
      <c r="ZB12" s="848"/>
      <c r="ZC12" s="848">
        <v>0</v>
      </c>
      <c r="ZD12" s="877">
        <f t="shared" ref="ZD12:ZD29" si="168">SUM(ZE12:ZI12)</f>
        <v>53923.83</v>
      </c>
      <c r="ZE12" s="1365">
        <f>'Проверочная  таблица'!YS12-ZQ12</f>
        <v>0</v>
      </c>
      <c r="ZF12" s="1365">
        <f>'Проверочная  таблица'!YT12-ZR12</f>
        <v>0</v>
      </c>
      <c r="ZG12" s="1365">
        <f>'Проверочная  таблица'!YU12-ZS12</f>
        <v>53923.83</v>
      </c>
      <c r="ZH12" s="1365">
        <f>'Проверочная  таблица'!YV12-ZT12</f>
        <v>0</v>
      </c>
      <c r="ZI12" s="1365">
        <f>'Проверочная  таблица'!YW12-ZU12</f>
        <v>0</v>
      </c>
      <c r="ZJ12" s="877">
        <f t="shared" ref="ZJ12:ZJ29" si="169">SUM(ZK12:ZO12)</f>
        <v>0</v>
      </c>
      <c r="ZK12" s="1365">
        <f>'Проверочная  таблица'!YY12-ZW12</f>
        <v>0</v>
      </c>
      <c r="ZL12" s="1365">
        <f>'Проверочная  таблица'!YZ12-ZX12</f>
        <v>0</v>
      </c>
      <c r="ZM12" s="1365">
        <f>'Проверочная  таблица'!ZA12-ZY12</f>
        <v>0</v>
      </c>
      <c r="ZN12" s="1365">
        <f>'Проверочная  таблица'!ZB12-ZZ12</f>
        <v>0</v>
      </c>
      <c r="ZO12" s="1365">
        <f>'Проверочная  таблица'!ZC12-AAA12</f>
        <v>0</v>
      </c>
      <c r="ZP12" s="877">
        <f t="shared" ref="ZP12:ZP29" si="170">SUM(ZQ12:ZU12)</f>
        <v>0</v>
      </c>
      <c r="ZQ12" s="871">
        <f>'[1]Иные межбюджетные трансферты'!W10</f>
        <v>0</v>
      </c>
      <c r="ZR12" s="871">
        <f>'[1]Иные межбюджетные трансферты'!AE10</f>
        <v>0</v>
      </c>
      <c r="ZS12" s="873"/>
      <c r="ZT12" s="1382">
        <f>'[1]Иные межбюджетные трансферты'!AY10</f>
        <v>0</v>
      </c>
      <c r="ZU12" s="848"/>
      <c r="ZV12" s="877">
        <f t="shared" ref="ZV12:ZV29" si="171">SUM(ZW12:AAA12)</f>
        <v>0</v>
      </c>
      <c r="ZW12" s="865"/>
      <c r="ZX12" s="865"/>
      <c r="ZY12" s="865"/>
      <c r="ZZ12" s="848"/>
      <c r="AAA12" s="848"/>
      <c r="AAB12" s="1050">
        <f>AAD12+'Проверочная  таблица'!AAL12+AAH12+'Проверочная  таблица'!AAP12+AAJ12+'Проверочная  таблица'!AAR12</f>
        <v>0</v>
      </c>
      <c r="AAC12" s="1366">
        <f>AAE12+'Проверочная  таблица'!AAM12+AAI12+'Проверочная  таблица'!AAQ12+AAK12+'Проверочная  таблица'!AAS12</f>
        <v>0</v>
      </c>
      <c r="AAD12" s="875"/>
      <c r="AAE12" s="875"/>
      <c r="AAF12" s="875"/>
      <c r="AAG12" s="875"/>
      <c r="AAH12" s="1364">
        <f t="shared" ref="AAH12:AAI29" si="172">AAF12-AAJ12</f>
        <v>0</v>
      </c>
      <c r="AAI12" s="877">
        <f t="shared" si="172"/>
        <v>0</v>
      </c>
      <c r="AAJ12" s="876"/>
      <c r="AAK12" s="877"/>
      <c r="AAL12" s="875"/>
      <c r="AAM12" s="875"/>
      <c r="AAN12" s="875"/>
      <c r="AAO12" s="875"/>
      <c r="AAP12" s="1364">
        <f t="shared" ref="AAP12:AAQ29" si="173">AAN12-AAR12</f>
        <v>0</v>
      </c>
      <c r="AAQ12" s="877">
        <f t="shared" si="173"/>
        <v>0</v>
      </c>
      <c r="AAR12" s="878"/>
      <c r="AAS12" s="879"/>
      <c r="AAT12" s="1384">
        <f>'Проверочная  таблица'!AAL12+'Проверочная  таблица'!AAN12</f>
        <v>0</v>
      </c>
      <c r="AAU12" s="1384">
        <f>'Проверочная  таблица'!AAM12+'Проверочная  таблица'!AAO12</f>
        <v>0</v>
      </c>
    </row>
    <row r="13" spans="1:723" ht="20.45" customHeight="1" x14ac:dyDescent="0.25">
      <c r="A13" s="904" t="s">
        <v>1282</v>
      </c>
      <c r="B13" s="889">
        <f>D13+AN13+'Проверочная  таблица'!VB13+'Проверочная  таблица'!WJ13</f>
        <v>2168680506.1200004</v>
      </c>
      <c r="C13" s="863">
        <f>E13+'Проверочная  таблица'!VE13+AO13+'Проверочная  таблица'!WK13</f>
        <v>1482480156.55</v>
      </c>
      <c r="D13" s="1371">
        <f t="shared" ref="D13:D15" si="174">F13+P13+N13+V13+AD13+H13</f>
        <v>277568949</v>
      </c>
      <c r="E13" s="897">
        <f t="shared" si="1"/>
        <v>193970000</v>
      </c>
      <c r="F13" s="1376">
        <f>'[1]Дотация  из  ОБ_факт'!M12</f>
        <v>245688949</v>
      </c>
      <c r="G13" s="1385">
        <v>168470000</v>
      </c>
      <c r="H13" s="1376">
        <f>'[1]Дотация  из  ОБ_факт'!G12</f>
        <v>0</v>
      </c>
      <c r="I13" s="1385"/>
      <c r="J13" s="1386">
        <f t="shared" ref="J13:K15" si="175">H13-L13</f>
        <v>0</v>
      </c>
      <c r="K13" s="1387">
        <f t="shared" si="175"/>
        <v>0</v>
      </c>
      <c r="L13" s="1386">
        <f>'[1]Дотация  из  ОБ_факт'!K12</f>
        <v>0</v>
      </c>
      <c r="M13" s="881"/>
      <c r="N13" s="1376">
        <f>'[1]Дотация  из  ОБ_факт'!Q12</f>
        <v>31580000</v>
      </c>
      <c r="O13" s="1385">
        <v>25200000</v>
      </c>
      <c r="P13" s="1376">
        <f>'[1]Дотация  из  ОБ_факт'!S12</f>
        <v>0</v>
      </c>
      <c r="Q13" s="1385"/>
      <c r="R13" s="1386">
        <f t="shared" ref="R13:S15" si="176">P13-T13</f>
        <v>0</v>
      </c>
      <c r="S13" s="1387">
        <f t="shared" si="176"/>
        <v>0</v>
      </c>
      <c r="T13" s="1386">
        <f>'[1]Дотация  из  ОБ_факт'!W12</f>
        <v>0</v>
      </c>
      <c r="U13" s="881"/>
      <c r="V13" s="886">
        <f>SUM(W13:Y13)</f>
        <v>300000</v>
      </c>
      <c r="W13" s="1388">
        <f>'[1]Дотация  из  ОБ_факт'!$AA$12</f>
        <v>300000</v>
      </c>
      <c r="X13" s="1389">
        <f>'[1]Дотация  из  ОБ_факт'!$AC$12</f>
        <v>0</v>
      </c>
      <c r="Y13" s="1389">
        <f>'[1]Дотация  из  ОБ_факт'!$AG$12</f>
        <v>0</v>
      </c>
      <c r="Z13" s="887">
        <f>SUM(AA13:AC13)</f>
        <v>300000</v>
      </c>
      <c r="AA13" s="848">
        <f t="shared" ref="AA13:AB29" si="177">W13</f>
        <v>300000</v>
      </c>
      <c r="AB13" s="848">
        <f t="shared" si="177"/>
        <v>0</v>
      </c>
      <c r="AC13" s="882"/>
      <c r="AD13" s="886">
        <f>SUM(AE13:AF13)</f>
        <v>0</v>
      </c>
      <c r="AE13" s="1388">
        <f>'[1]Дотация  из  ОБ_факт'!$Y$12</f>
        <v>0</v>
      </c>
      <c r="AF13" s="1389">
        <f>'[1]Дотация  из  ОБ_факт'!$AE$12</f>
        <v>0</v>
      </c>
      <c r="AG13" s="886">
        <f>SUM(AH13:AI13)</f>
        <v>0</v>
      </c>
      <c r="AH13" s="1359">
        <f t="shared" ref="AH13:AH29" si="178">AE13</f>
        <v>0</v>
      </c>
      <c r="AI13" s="848">
        <f t="shared" ref="AI13:AI29" si="179">AF13</f>
        <v>0</v>
      </c>
      <c r="AJ13" s="1386">
        <f t="shared" si="8"/>
        <v>0</v>
      </c>
      <c r="AK13" s="1387">
        <f t="shared" ref="AK13:AK15" si="180">AG13-AM13</f>
        <v>0</v>
      </c>
      <c r="AL13" s="1386">
        <f>'[1]Дотация  из  ОБ_факт'!AE12</f>
        <v>0</v>
      </c>
      <c r="AM13" s="884"/>
      <c r="AN13" s="1012">
        <f>'Проверочная  таблица'!UT13+'Проверочная  таблица'!UV13+BL13+BN13+BZ13+CB13+AZ13+BD13+'Проверочная  таблица'!MT13+'Проверочная  таблица'!NJ13+'Проверочная  таблица'!DT13+'Проверочная  таблица'!OB13+DL13+'Проверочная  таблица'!JJ13+'Проверочная  таблица'!JP13+'Проверочная  таблица'!OJ13+'Проверочная  таблица'!OR13+JD13+AP13+AV13+ET13+EZ13+CN13+SP13+DZ13+TD13+PZ13+EF13+EN13+LN13+LV13+SJ13+GN13+RV13+QX13+KH13+KR13+RD13+SB13+CH13+QR13+HD13+FX13+HJ13+HP13+FR13+DB13+PP13+BT13+IH13+IX13+GV13+GD13+IN13</f>
        <v>1233278267.1500001</v>
      </c>
      <c r="AO13" s="1013">
        <f>'Проверочная  таблица'!UU13+'Проверочная  таблица'!UW13+BM13+BO13+CA13+CC13+BB13+BF13+'Проверочная  таблица'!NB13+'Проверочная  таблица'!NM13+'Проверочная  таблица'!DW13+'Проверочная  таблица'!OF13+DP13+'Проверочная  таблица'!JM13+'Проверочная  таблица'!JS13+'Проверочная  таблица'!ON13+'Проверочная  таблица'!OV13+JG13+AS13+AX13+EW13+FC13+CU13+SW13+EC13+TK13+QC13+EJ13+EQ13+LR13+LZ13+SM13+GR13+RY13+RA13+KM13+KW13+RG13+SF13+CK13+QU13+HG13+GA13+HM13+HS13+FU13+DE13+PU13+BW13+IK13+JA13+GX13+GG13+IQ13</f>
        <v>842954885.70000005</v>
      </c>
      <c r="AP13" s="1050">
        <f>SUM(AQ13:AR13)</f>
        <v>51003088.5</v>
      </c>
      <c r="AQ13" s="885">
        <f>[1]Субсидия_факт!HV14</f>
        <v>51003088.5</v>
      </c>
      <c r="AR13" s="866">
        <f>[1]Субсидия_факт!MR14</f>
        <v>0</v>
      </c>
      <c r="AS13" s="1050">
        <f>SUM(AT13:AU13)</f>
        <v>0</v>
      </c>
      <c r="AT13" s="866">
        <v>0</v>
      </c>
      <c r="AU13" s="885"/>
      <c r="AV13" s="1003">
        <f>SUM(AW13:AW13)</f>
        <v>0</v>
      </c>
      <c r="AW13" s="866">
        <f>[1]Субсидия_факт!MV14</f>
        <v>0</v>
      </c>
      <c r="AX13" s="1360">
        <f>SUM(AY13:AY13)</f>
        <v>0</v>
      </c>
      <c r="AY13" s="866"/>
      <c r="AZ13" s="897">
        <f>SUM(BA13:BA13)</f>
        <v>0</v>
      </c>
      <c r="BA13" s="866">
        <f>[1]Субсидия_факт!KZ14</f>
        <v>0</v>
      </c>
      <c r="BB13" s="1050">
        <f>SUM(BC13:BC13)</f>
        <v>0</v>
      </c>
      <c r="BC13" s="866"/>
      <c r="BD13" s="897">
        <f>SUM(BE13:BE13)</f>
        <v>0</v>
      </c>
      <c r="BE13" s="866">
        <f>[1]Субсидия_факт!LB14</f>
        <v>0</v>
      </c>
      <c r="BF13" s="1050">
        <f>SUM(BG13:BG13)</f>
        <v>0</v>
      </c>
      <c r="BG13" s="866"/>
      <c r="BH13" s="1373">
        <f>BD13-BJ13</f>
        <v>0</v>
      </c>
      <c r="BI13" s="879">
        <f>BF13-BK13</f>
        <v>0</v>
      </c>
      <c r="BJ13" s="1390">
        <f>BD13</f>
        <v>0</v>
      </c>
      <c r="BK13" s="879">
        <f>BF13</f>
        <v>0</v>
      </c>
      <c r="BL13" s="897">
        <f>[1]Субсидия_факт!GV14</f>
        <v>0</v>
      </c>
      <c r="BM13" s="886"/>
      <c r="BN13" s="1391">
        <f>[1]Субсидия_факт!GX14</f>
        <v>0</v>
      </c>
      <c r="BO13" s="887"/>
      <c r="BP13" s="1390">
        <f t="shared" ref="BP13:BQ15" si="181">BN13-BR13</f>
        <v>0</v>
      </c>
      <c r="BQ13" s="1373">
        <f t="shared" si="181"/>
        <v>0</v>
      </c>
      <c r="BR13" s="879">
        <f>[1]Субсидия_факт!GZ14</f>
        <v>0</v>
      </c>
      <c r="BS13" s="881"/>
      <c r="BT13" s="897">
        <f>SUM(BU13:BV13)</f>
        <v>104308088.5</v>
      </c>
      <c r="BU13" s="862">
        <f>[1]Субсидия_факт!HL14</f>
        <v>51003088.5</v>
      </c>
      <c r="BV13" s="866">
        <f>[1]Субсидия_факт!HN14</f>
        <v>53305000</v>
      </c>
      <c r="BW13" s="1050">
        <f>SUM(BX13:BY13)</f>
        <v>7349000</v>
      </c>
      <c r="BX13" s="866"/>
      <c r="BY13" s="866">
        <v>7349000</v>
      </c>
      <c r="BZ13" s="1050">
        <f>[1]Субсидия_факт!HB14</f>
        <v>0</v>
      </c>
      <c r="CA13" s="888"/>
      <c r="CB13" s="1050">
        <f>[1]Субсидия_факт!HD14</f>
        <v>0</v>
      </c>
      <c r="CC13" s="887"/>
      <c r="CD13" s="1367">
        <f t="shared" ref="CD13:CE15" si="182">CB13-CF13</f>
        <v>0</v>
      </c>
      <c r="CE13" s="878">
        <f t="shared" si="182"/>
        <v>0</v>
      </c>
      <c r="CF13" s="1368">
        <f>[1]Субсидия_факт!HF14</f>
        <v>0</v>
      </c>
      <c r="CG13" s="849"/>
      <c r="CH13" s="897">
        <f>SUM(CI13:CJ13)</f>
        <v>33007941.620000001</v>
      </c>
      <c r="CI13" s="862">
        <f>[1]Субсидия_факт!HP14</f>
        <v>0</v>
      </c>
      <c r="CJ13" s="866">
        <f>[1]Субсидия_факт!HR14</f>
        <v>33007941.620000001</v>
      </c>
      <c r="CK13" s="1050">
        <f>SUM(CL13:CM13)</f>
        <v>5053031.16</v>
      </c>
      <c r="CL13" s="866"/>
      <c r="CM13" s="866">
        <v>5053031.16</v>
      </c>
      <c r="CN13" s="1003">
        <f>SUM(CO13:CT13)</f>
        <v>6726687.7300000004</v>
      </c>
      <c r="CO13" s="859">
        <f>[1]Субсидия_факт!LR14</f>
        <v>0</v>
      </c>
      <c r="CP13" s="858">
        <f>[1]Субсидия_факт!LT14</f>
        <v>0</v>
      </c>
      <c r="CQ13" s="850">
        <f>[1]Субсидия_факт!LV14</f>
        <v>0</v>
      </c>
      <c r="CR13" s="858">
        <f>[1]Субсидия_факт!MB14</f>
        <v>0</v>
      </c>
      <c r="CS13" s="850">
        <f>[1]Субсидия_факт!MH14</f>
        <v>6726687.7300000004</v>
      </c>
      <c r="CT13" s="858">
        <f>[1]Субсидия_факт!MJ14</f>
        <v>0</v>
      </c>
      <c r="CU13" s="1003">
        <f>SUM(CV13:DA13)</f>
        <v>0</v>
      </c>
      <c r="CV13" s="851"/>
      <c r="CW13" s="858"/>
      <c r="CX13" s="850"/>
      <c r="CY13" s="858"/>
      <c r="CZ13" s="850"/>
      <c r="DA13" s="858"/>
      <c r="DB13" s="1013">
        <f>SUM(DC13:DD13)</f>
        <v>0</v>
      </c>
      <c r="DC13" s="859">
        <f>[1]Субсидия_факт!LX14</f>
        <v>0</v>
      </c>
      <c r="DD13" s="858">
        <f>[1]Субсидия_факт!MD14</f>
        <v>0</v>
      </c>
      <c r="DE13" s="1003">
        <f>SUM(DF13:DG13)</f>
        <v>0</v>
      </c>
      <c r="DF13" s="859"/>
      <c r="DG13" s="860"/>
      <c r="DH13" s="1367">
        <f>DB13-DJ13</f>
        <v>0</v>
      </c>
      <c r="DI13" s="878">
        <f>DE13-DK13</f>
        <v>0</v>
      </c>
      <c r="DJ13" s="1368">
        <f>DB13</f>
        <v>0</v>
      </c>
      <c r="DK13" s="849">
        <f>DE13</f>
        <v>0</v>
      </c>
      <c r="DL13" s="1050">
        <f>SUM(DM13:DO13)</f>
        <v>0</v>
      </c>
      <c r="DM13" s="885">
        <f>[1]Субсидия_факт!R14</f>
        <v>0</v>
      </c>
      <c r="DN13" s="862">
        <f>[1]Субсидия_факт!T14</f>
        <v>0</v>
      </c>
      <c r="DO13" s="866">
        <f>[1]Субсидия_факт!V14</f>
        <v>0</v>
      </c>
      <c r="DP13" s="1050">
        <f>SUM(DQ13:DS13)</f>
        <v>0</v>
      </c>
      <c r="DQ13" s="866"/>
      <c r="DR13" s="866"/>
      <c r="DS13" s="866"/>
      <c r="DT13" s="897">
        <f>SUM(DU13:DV13)</f>
        <v>0</v>
      </c>
      <c r="DU13" s="862">
        <f>[1]Субсидия_факт!AX14</f>
        <v>0</v>
      </c>
      <c r="DV13" s="863">
        <f>[1]Субсидия_факт!AZ14</f>
        <v>0</v>
      </c>
      <c r="DW13" s="1050">
        <f>SUM(DX13:DY13)</f>
        <v>0</v>
      </c>
      <c r="DX13" s="885"/>
      <c r="DY13" s="889"/>
      <c r="DZ13" s="897">
        <f>SUM(EA13:EB13)</f>
        <v>0</v>
      </c>
      <c r="EA13" s="862">
        <f>[1]Субсидия_факт!X14</f>
        <v>0</v>
      </c>
      <c r="EB13" s="863">
        <f>[1]Субсидия_факт!Z14</f>
        <v>0</v>
      </c>
      <c r="EC13" s="1050">
        <f>SUM(ED13:EE13)</f>
        <v>0</v>
      </c>
      <c r="ED13" s="862"/>
      <c r="EE13" s="863"/>
      <c r="EF13" s="1013">
        <f>SUM(EG13:EI13)</f>
        <v>0</v>
      </c>
      <c r="EG13" s="859">
        <f>[1]Субсидия_факт!AP14</f>
        <v>0</v>
      </c>
      <c r="EH13" s="859">
        <f>[1]Субсидия_факт!AL14</f>
        <v>0</v>
      </c>
      <c r="EI13" s="860">
        <f>[1]Субсидия_факт!AN14</f>
        <v>0</v>
      </c>
      <c r="EJ13" s="1013">
        <f>SUM(EK13:EM13)</f>
        <v>0</v>
      </c>
      <c r="EK13" s="859"/>
      <c r="EL13" s="859"/>
      <c r="EM13" s="860"/>
      <c r="EN13" s="1013">
        <f>SUM(EO13:EP13)</f>
        <v>0</v>
      </c>
      <c r="EO13" s="859">
        <f>[1]Субсидия_факт!HH14</f>
        <v>0</v>
      </c>
      <c r="EP13" s="858">
        <f>[1]Субсидия_факт!HJ14</f>
        <v>0</v>
      </c>
      <c r="EQ13" s="1003">
        <f>SUM(ER13:ES13)</f>
        <v>0</v>
      </c>
      <c r="ER13" s="859"/>
      <c r="ES13" s="858"/>
      <c r="ET13" s="1013">
        <f>SUM(EU13:EV13)</f>
        <v>0</v>
      </c>
      <c r="EU13" s="862">
        <f>[1]Субсидия_факт!PK14</f>
        <v>0</v>
      </c>
      <c r="EV13" s="863">
        <f>[1]Субсидия_факт!PQ14</f>
        <v>0</v>
      </c>
      <c r="EW13" s="1003">
        <f>SUM(EX13:EY13)</f>
        <v>0</v>
      </c>
      <c r="EX13" s="859"/>
      <c r="EY13" s="860"/>
      <c r="EZ13" s="1013">
        <f>SUM(FA13:FB13)</f>
        <v>0</v>
      </c>
      <c r="FA13" s="859">
        <f>[1]Субсидия_факт!PM14</f>
        <v>0</v>
      </c>
      <c r="FB13" s="858">
        <f>[1]Субсидия_факт!PS14</f>
        <v>0</v>
      </c>
      <c r="FC13" s="1003">
        <f>SUM(FD13:FE13)</f>
        <v>0</v>
      </c>
      <c r="FD13" s="859"/>
      <c r="FE13" s="860"/>
      <c r="FF13" s="1369">
        <f>SUM(FG13:FH13)</f>
        <v>0</v>
      </c>
      <c r="FG13" s="859">
        <f t="shared" ref="FG13:FH15" si="183">FA13-FM13</f>
        <v>0</v>
      </c>
      <c r="FH13" s="858">
        <f t="shared" si="183"/>
        <v>0</v>
      </c>
      <c r="FI13" s="878">
        <f>SUM(FJ13:FK13)</f>
        <v>0</v>
      </c>
      <c r="FJ13" s="859">
        <f t="shared" ref="FJ13:FK15" si="184">FD13-FP13</f>
        <v>0</v>
      </c>
      <c r="FK13" s="858">
        <f t="shared" si="184"/>
        <v>0</v>
      </c>
      <c r="FL13" s="1369">
        <f>SUM(FM13:FN13)</f>
        <v>0</v>
      </c>
      <c r="FM13" s="859">
        <f>[1]Субсидия_факт!PO14</f>
        <v>0</v>
      </c>
      <c r="FN13" s="858">
        <f>[1]Субсидия_факт!PU14</f>
        <v>0</v>
      </c>
      <c r="FO13" s="878">
        <f>SUM(FP13:FQ13)</f>
        <v>0</v>
      </c>
      <c r="FP13" s="859"/>
      <c r="FQ13" s="860"/>
      <c r="FR13" s="1013">
        <f t="shared" si="49"/>
        <v>0</v>
      </c>
      <c r="FS13" s="862">
        <f>[1]Субсидия_факт!EP14</f>
        <v>0</v>
      </c>
      <c r="FT13" s="863">
        <f>[1]Субсидия_факт!ER14</f>
        <v>0</v>
      </c>
      <c r="FU13" s="1371">
        <f>SUM(FV13:FW13)</f>
        <v>0</v>
      </c>
      <c r="FV13" s="862"/>
      <c r="FW13" s="863"/>
      <c r="FX13" s="897">
        <f>SUM(FY13:FZ13)</f>
        <v>165355175.51999998</v>
      </c>
      <c r="FY13" s="862">
        <f>[1]Субсидия_факт!JN14</f>
        <v>8267795.29</v>
      </c>
      <c r="FZ13" s="863">
        <f>[1]Субсидия_факт!JP14</f>
        <v>157087380.22999999</v>
      </c>
      <c r="GA13" s="897">
        <f>SUM(GB13:GC13)</f>
        <v>165355175.5</v>
      </c>
      <c r="GB13" s="862">
        <v>8267795.2799999993</v>
      </c>
      <c r="GC13" s="863">
        <v>157087380.22</v>
      </c>
      <c r="GD13" s="1392">
        <f>SUM(GE13:GF13)</f>
        <v>0</v>
      </c>
      <c r="GE13" s="859">
        <f>[1]Субсидия_факт!JR14</f>
        <v>0</v>
      </c>
      <c r="GF13" s="860">
        <f>[1]Субсидия_факт!JV14</f>
        <v>0</v>
      </c>
      <c r="GG13" s="1372">
        <f>SUM(GH13:GI13)</f>
        <v>0</v>
      </c>
      <c r="GH13" s="862"/>
      <c r="GI13" s="889"/>
      <c r="GJ13" s="1373">
        <f>GD13-GL13</f>
        <v>0</v>
      </c>
      <c r="GK13" s="879">
        <f>GG13-GM13</f>
        <v>0</v>
      </c>
      <c r="GL13" s="1390">
        <f>GD13</f>
        <v>0</v>
      </c>
      <c r="GM13" s="879">
        <f>GG13</f>
        <v>0</v>
      </c>
      <c r="GN13" s="1371">
        <f>SUM(GO13:GQ13)</f>
        <v>0</v>
      </c>
      <c r="GO13" s="862">
        <f>[1]Субсидия_факт!KL14</f>
        <v>0</v>
      </c>
      <c r="GP13" s="863">
        <f>[1]Субсидия_факт!KN14</f>
        <v>0</v>
      </c>
      <c r="GQ13" s="862">
        <f>[1]Субсидия_факт!KP14</f>
        <v>0</v>
      </c>
      <c r="GR13" s="897">
        <f>SUM(GS13:GU13)</f>
        <v>0</v>
      </c>
      <c r="GS13" s="862"/>
      <c r="GT13" s="863"/>
      <c r="GU13" s="866"/>
      <c r="GV13" s="1372">
        <f>GW13</f>
        <v>0</v>
      </c>
      <c r="GW13" s="862">
        <f>[1]Субсидия_факт!KR14</f>
        <v>0</v>
      </c>
      <c r="GX13" s="1372">
        <f>GY13</f>
        <v>0</v>
      </c>
      <c r="GY13" s="866"/>
      <c r="GZ13" s="1373">
        <f>GV13-HB13</f>
        <v>0</v>
      </c>
      <c r="HA13" s="1373">
        <f>GX13-HC13</f>
        <v>0</v>
      </c>
      <c r="HB13" s="1373">
        <f>GV13</f>
        <v>0</v>
      </c>
      <c r="HC13" s="1373">
        <f>GX13</f>
        <v>0</v>
      </c>
      <c r="HD13" s="1050">
        <f>SUM(HE13:HF13)</f>
        <v>0</v>
      </c>
      <c r="HE13" s="862">
        <f>[1]Субсидия_факт!KV14</f>
        <v>0</v>
      </c>
      <c r="HF13" s="863">
        <f>[1]Субсидия_факт!KX14</f>
        <v>0</v>
      </c>
      <c r="HG13" s="1050">
        <f>SUM(HH13:HI13)</f>
        <v>0</v>
      </c>
      <c r="HH13" s="862"/>
      <c r="HI13" s="863"/>
      <c r="HJ13" s="897">
        <f>SUM(HK13:HL13)</f>
        <v>0</v>
      </c>
      <c r="HK13" s="862"/>
      <c r="HL13" s="863"/>
      <c r="HM13" s="1050">
        <f>SUM(HN13:HO13)</f>
        <v>0</v>
      </c>
      <c r="HN13" s="862"/>
      <c r="HO13" s="863"/>
      <c r="HP13" s="1050">
        <f>SUM(HQ13:HR13)</f>
        <v>0</v>
      </c>
      <c r="HQ13" s="862">
        <f>[1]Субсидия_факт!FV14</f>
        <v>0</v>
      </c>
      <c r="HR13" s="863">
        <f>[1]Субсидия_факт!FZ14</f>
        <v>0</v>
      </c>
      <c r="HS13" s="1050">
        <f>SUM(HT13:HU13)</f>
        <v>0</v>
      </c>
      <c r="HT13" s="862"/>
      <c r="HU13" s="863"/>
      <c r="HV13" s="1369">
        <f>SUM(HW13:HX13)</f>
        <v>0</v>
      </c>
      <c r="HW13" s="859">
        <f t="shared" ref="HW13:HX15" si="185">HQ13-IC13</f>
        <v>0</v>
      </c>
      <c r="HX13" s="858">
        <f t="shared" si="185"/>
        <v>0</v>
      </c>
      <c r="HY13" s="878">
        <f>SUM(HZ13:IA13)</f>
        <v>0</v>
      </c>
      <c r="HZ13" s="859">
        <f t="shared" ref="HZ13:IA15" si="186">HT13-IF13</f>
        <v>0</v>
      </c>
      <c r="IA13" s="858">
        <f t="shared" si="186"/>
        <v>0</v>
      </c>
      <c r="IB13" s="1369">
        <f>SUM(IC13:ID13)</f>
        <v>0</v>
      </c>
      <c r="IC13" s="859">
        <f>[1]Субсидия_факт!FX14</f>
        <v>0</v>
      </c>
      <c r="ID13" s="858">
        <f>[1]Субсидия_факт!GB14</f>
        <v>0</v>
      </c>
      <c r="IE13" s="878">
        <f>SUM(IF13:IG13)</f>
        <v>0</v>
      </c>
      <c r="IF13" s="859">
        <f t="shared" ref="IF13:IF29" si="187">HT13</f>
        <v>0</v>
      </c>
      <c r="IG13" s="860">
        <f t="shared" ref="IG13:IG29" si="188">HU13</f>
        <v>0</v>
      </c>
      <c r="IH13" s="897">
        <f>SUM(II13:IJ13)</f>
        <v>0</v>
      </c>
      <c r="II13" s="862">
        <f>[1]Субсидия_факт!ED14</f>
        <v>0</v>
      </c>
      <c r="IJ13" s="863">
        <f>[1]Субсидия_факт!EF14</f>
        <v>0</v>
      </c>
      <c r="IK13" s="1050">
        <f>SUM(IL13:IM13)</f>
        <v>0</v>
      </c>
      <c r="IL13" s="862"/>
      <c r="IM13" s="863"/>
      <c r="IN13" s="1392">
        <f>SUM(IO13:IP13)</f>
        <v>0</v>
      </c>
      <c r="IO13" s="859">
        <f>[1]Субсидия_факт!EH14</f>
        <v>0</v>
      </c>
      <c r="IP13" s="860">
        <f>[1]Субсидия_факт!EL14</f>
        <v>0</v>
      </c>
      <c r="IQ13" s="1392">
        <f>SUM(IR13:IS13)</f>
        <v>0</v>
      </c>
      <c r="IR13" s="862"/>
      <c r="IS13" s="889"/>
      <c r="IT13" s="1373">
        <f>IN13-IV13</f>
        <v>0</v>
      </c>
      <c r="IU13" s="1373">
        <f>IQ13-IW13</f>
        <v>0</v>
      </c>
      <c r="IV13" s="1373">
        <f>IN13</f>
        <v>0</v>
      </c>
      <c r="IW13" s="879">
        <f>IQ13</f>
        <v>0</v>
      </c>
      <c r="IX13" s="897">
        <f>SUM(IY13:IZ13)</f>
        <v>0</v>
      </c>
      <c r="IY13" s="862">
        <f>[1]Субсидия_факт!BX14</f>
        <v>0</v>
      </c>
      <c r="IZ13" s="863">
        <f>[1]Субсидия_факт!BZ14</f>
        <v>0</v>
      </c>
      <c r="JA13" s="1050">
        <f>SUM(JB13:JC13)</f>
        <v>0</v>
      </c>
      <c r="JB13" s="862"/>
      <c r="JC13" s="863"/>
      <c r="JD13" s="1050">
        <f>SUM(JE13:JF13)</f>
        <v>0</v>
      </c>
      <c r="JE13" s="862">
        <f>[1]Субсидия_факт!ET14</f>
        <v>0</v>
      </c>
      <c r="JF13" s="863">
        <f>[1]Субсидия_факт!EV14</f>
        <v>0</v>
      </c>
      <c r="JG13" s="1050">
        <f>SUM(JH13:JI13)</f>
        <v>0</v>
      </c>
      <c r="JH13" s="862"/>
      <c r="JI13" s="863"/>
      <c r="JJ13" s="1003">
        <f>SUM(JK13:JL13)</f>
        <v>0</v>
      </c>
      <c r="JK13" s="859">
        <f>[1]Субсидия_факт!EX14</f>
        <v>0</v>
      </c>
      <c r="JL13" s="858">
        <f>[1]Субсидия_факт!FD14</f>
        <v>0</v>
      </c>
      <c r="JM13" s="1003">
        <f>SUM(JN13:JO13)</f>
        <v>0</v>
      </c>
      <c r="JN13" s="859"/>
      <c r="JO13" s="860"/>
      <c r="JP13" s="1003">
        <f>SUM(JQ13:JR13)</f>
        <v>0</v>
      </c>
      <c r="JQ13" s="859">
        <f>[1]Субсидия_факт!EZ14</f>
        <v>0</v>
      </c>
      <c r="JR13" s="860">
        <f>[1]Субсидия_факт!FF14</f>
        <v>0</v>
      </c>
      <c r="JS13" s="1003">
        <f>SUM(JT13:JU13)</f>
        <v>0</v>
      </c>
      <c r="JT13" s="850"/>
      <c r="JU13" s="864"/>
      <c r="JV13" s="1003">
        <f>SUM(JW13:JX13)</f>
        <v>-317626.71999999997</v>
      </c>
      <c r="JW13" s="851">
        <f>'Проверочная  таблица'!JQ13-'Проверочная  таблица'!KC13</f>
        <v>-82582.949999999983</v>
      </c>
      <c r="JX13" s="860">
        <f>'Проверочная  таблица'!JR13-'Проверочная  таблица'!KD13</f>
        <v>-235043.77</v>
      </c>
      <c r="JY13" s="1368">
        <f>SUM(JZ13:KA13)</f>
        <v>0</v>
      </c>
      <c r="JZ13" s="850">
        <f>'Проверочная  таблица'!JT13-'Проверочная  таблица'!KF13</f>
        <v>0</v>
      </c>
      <c r="KA13" s="867">
        <f>'Проверочная  таблица'!JU13-'Проверочная  таблица'!KG13</f>
        <v>0</v>
      </c>
      <c r="KB13" s="1003">
        <f>SUM(KC13:KD13)</f>
        <v>317626.71999999997</v>
      </c>
      <c r="KC13" s="859">
        <f>[1]Субсидия_факт!FB14</f>
        <v>82582.949999999983</v>
      </c>
      <c r="KD13" s="858">
        <f>[1]Субсидия_факт!FH14</f>
        <v>235043.77</v>
      </c>
      <c r="KE13" s="878">
        <f>SUM(KF13:KG13)</f>
        <v>0</v>
      </c>
      <c r="KF13" s="859"/>
      <c r="KG13" s="860"/>
      <c r="KH13" s="1352">
        <f>SUM(KI13:KL13)</f>
        <v>1542607.34</v>
      </c>
      <c r="KI13" s="850">
        <f>[1]Субсидия_факт!OD14</f>
        <v>995830</v>
      </c>
      <c r="KJ13" s="860">
        <f>[1]Субсидия_факт!OJ14</f>
        <v>227717.34</v>
      </c>
      <c r="KK13" s="850">
        <f>[1]Субсидия_факт!OR14</f>
        <v>115993.52</v>
      </c>
      <c r="KL13" s="860">
        <f>[1]Субсидия_факт!OT14</f>
        <v>203066.48</v>
      </c>
      <c r="KM13" s="1352">
        <f>SUM(KN13:KQ13)</f>
        <v>0</v>
      </c>
      <c r="KN13" s="850"/>
      <c r="KO13" s="860"/>
      <c r="KP13" s="850"/>
      <c r="KQ13" s="860"/>
      <c r="KR13" s="1352">
        <f>SUM(KS13:KV13)</f>
        <v>113870</v>
      </c>
      <c r="KS13" s="885">
        <f>[1]Субсидия_факт!OF14</f>
        <v>113870</v>
      </c>
      <c r="KT13" s="863">
        <f>[1]Субсидия_факт!OL14</f>
        <v>0</v>
      </c>
      <c r="KU13" s="885"/>
      <c r="KV13" s="863"/>
      <c r="KW13" s="1352">
        <f>SUM(KX13:LA13)</f>
        <v>0</v>
      </c>
      <c r="KX13" s="850"/>
      <c r="KY13" s="860"/>
      <c r="KZ13" s="850"/>
      <c r="LA13" s="860"/>
      <c r="LB13" s="1354">
        <f>SUM(LC13:LD13)</f>
        <v>-91320</v>
      </c>
      <c r="LC13" s="885">
        <f t="shared" ref="LC13:LD15" si="189">KS13-LI13</f>
        <v>-91320</v>
      </c>
      <c r="LD13" s="863">
        <f t="shared" si="189"/>
        <v>0</v>
      </c>
      <c r="LE13" s="1354">
        <f>SUM(LF13:LG13)</f>
        <v>0</v>
      </c>
      <c r="LF13" s="885">
        <f t="shared" ref="LF13:LG15" si="190">KX13-LL13</f>
        <v>0</v>
      </c>
      <c r="LG13" s="863">
        <f t="shared" si="190"/>
        <v>0</v>
      </c>
      <c r="LH13" s="1354">
        <f>SUM(LI13:LJ13)</f>
        <v>205190</v>
      </c>
      <c r="LI13" s="859">
        <f>[1]Субсидия_факт!OH14</f>
        <v>205190</v>
      </c>
      <c r="LJ13" s="858">
        <f>[1]Субсидия_факт!ON14</f>
        <v>0</v>
      </c>
      <c r="LK13" s="1354">
        <f>SUM(LL13:LM13)</f>
        <v>0</v>
      </c>
      <c r="LL13" s="851"/>
      <c r="LM13" s="860"/>
      <c r="LN13" s="1050">
        <f>SUM(LO13:LQ13)</f>
        <v>0</v>
      </c>
      <c r="LO13" s="865">
        <f>[1]Субсидия_факт!DP14</f>
        <v>0</v>
      </c>
      <c r="LP13" s="850">
        <f>[1]Субсидия_факт!CB14</f>
        <v>0</v>
      </c>
      <c r="LQ13" s="860">
        <f>[1]Субсидия_факт!CH14</f>
        <v>0</v>
      </c>
      <c r="LR13" s="1050">
        <f>SUM(LS13:LU13)</f>
        <v>0</v>
      </c>
      <c r="LS13" s="865"/>
      <c r="LT13" s="850"/>
      <c r="LU13" s="860"/>
      <c r="LV13" s="1050">
        <f>SUM(LW13:LY13)</f>
        <v>0</v>
      </c>
      <c r="LW13" s="865">
        <f>[1]Субсидия_факт!DR14</f>
        <v>0</v>
      </c>
      <c r="LX13" s="850">
        <f>[1]Субсидия_факт!CD14</f>
        <v>0</v>
      </c>
      <c r="LY13" s="860">
        <f>[1]Субсидия_факт!CJ14</f>
        <v>0</v>
      </c>
      <c r="LZ13" s="1050">
        <f>SUM(MA13:MC13)</f>
        <v>0</v>
      </c>
      <c r="MA13" s="865"/>
      <c r="MB13" s="850"/>
      <c r="MC13" s="858"/>
      <c r="MD13" s="879">
        <f>SUM(ME13:MG13)</f>
        <v>0</v>
      </c>
      <c r="ME13" s="862">
        <f>'Проверочная  таблица'!LW13-MM13</f>
        <v>0</v>
      </c>
      <c r="MF13" s="862">
        <f>'Проверочная  таблица'!LX13-MN13</f>
        <v>0</v>
      </c>
      <c r="MG13" s="863">
        <f>'Проверочная  таблица'!LY13-MO13</f>
        <v>0</v>
      </c>
      <c r="MH13" s="879">
        <f>SUM(MI13:MK13)</f>
        <v>0</v>
      </c>
      <c r="MI13" s="862">
        <f>'Проверочная  таблица'!MA13-MQ13</f>
        <v>0</v>
      </c>
      <c r="MJ13" s="862">
        <f>'Проверочная  таблица'!MB13-MR13</f>
        <v>0</v>
      </c>
      <c r="MK13" s="863">
        <f>'Проверочная  таблица'!MC13-MS13</f>
        <v>0</v>
      </c>
      <c r="ML13" s="879">
        <f>SUM(MM13:MO13)</f>
        <v>0</v>
      </c>
      <c r="MM13" s="850">
        <f>[1]Субсидия_факт!DT14</f>
        <v>0</v>
      </c>
      <c r="MN13" s="850">
        <f>[1]Субсидия_факт!CF14</f>
        <v>0</v>
      </c>
      <c r="MO13" s="860">
        <f>[1]Субсидия_факт!CL14</f>
        <v>0</v>
      </c>
      <c r="MP13" s="879">
        <f>SUM(MQ13:MS13)</f>
        <v>0</v>
      </c>
      <c r="MQ13" s="850"/>
      <c r="MR13" s="850"/>
      <c r="MS13" s="860"/>
      <c r="MT13" s="1360">
        <f>SUM(MU13:NA13)</f>
        <v>317626.71999999997</v>
      </c>
      <c r="MU13" s="850">
        <f>[1]Субсидия_факт!CN14</f>
        <v>0</v>
      </c>
      <c r="MV13" s="858">
        <f>[1]Субсидия_факт!CP14</f>
        <v>0</v>
      </c>
      <c r="MW13" s="862">
        <f>[1]Субсидия_факт!CR14</f>
        <v>0</v>
      </c>
      <c r="MX13" s="863">
        <f>[1]Субсидия_факт!CT14</f>
        <v>0</v>
      </c>
      <c r="MY13" s="851">
        <f>[1]Субсидия_факт!DV14</f>
        <v>0</v>
      </c>
      <c r="MZ13" s="859">
        <f>[1]Субсидия_факт!FJ14</f>
        <v>82582.949999999983</v>
      </c>
      <c r="NA13" s="858">
        <f>[1]Субсидия_факт!FP14</f>
        <v>235043.77</v>
      </c>
      <c r="NB13" s="1003">
        <f>SUM(NC13:NI13)</f>
        <v>317626.71999999997</v>
      </c>
      <c r="NC13" s="850"/>
      <c r="ND13" s="860"/>
      <c r="NE13" s="866"/>
      <c r="NF13" s="890"/>
      <c r="NG13" s="850"/>
      <c r="NH13" s="850">
        <f t="shared" si="100"/>
        <v>82582.949999999983</v>
      </c>
      <c r="NI13" s="860">
        <f t="shared" si="100"/>
        <v>235043.77</v>
      </c>
      <c r="NJ13" s="1003">
        <f>SUM(NK13:NL13)</f>
        <v>0</v>
      </c>
      <c r="NK13" s="859">
        <f>[1]Субсидия_факт!FL14</f>
        <v>0</v>
      </c>
      <c r="NL13" s="858">
        <f>[1]Субсидия_факт!FR14</f>
        <v>0</v>
      </c>
      <c r="NM13" s="1003">
        <f>SUM(NN13:NO13)</f>
        <v>0</v>
      </c>
      <c r="NN13" s="851"/>
      <c r="NO13" s="860"/>
      <c r="NP13" s="878">
        <f>SUM(NQ13:NR13)</f>
        <v>0</v>
      </c>
      <c r="NQ13" s="859">
        <f>'Проверочная  таблица'!NK13-NW13</f>
        <v>0</v>
      </c>
      <c r="NR13" s="860">
        <f>'Проверочная  таблица'!NL13-NX13</f>
        <v>0</v>
      </c>
      <c r="NS13" s="878">
        <f>SUM(NT13:NU13)</f>
        <v>0</v>
      </c>
      <c r="NT13" s="850">
        <f>'Проверочная  таблица'!NN13-NZ13</f>
        <v>0</v>
      </c>
      <c r="NU13" s="867">
        <f>'Проверочная  таблица'!NO13-OA13</f>
        <v>0</v>
      </c>
      <c r="NV13" s="878">
        <f>SUM(NW13:NX13)</f>
        <v>0</v>
      </c>
      <c r="NW13" s="859">
        <f>[1]Субсидия_факт!FN14</f>
        <v>0</v>
      </c>
      <c r="NX13" s="858">
        <f>[1]Субсидия_факт!FT14</f>
        <v>0</v>
      </c>
      <c r="NY13" s="878">
        <f>SUM(NZ13:OA13)</f>
        <v>0</v>
      </c>
      <c r="NZ13" s="850"/>
      <c r="OA13" s="860"/>
      <c r="OB13" s="1012">
        <f>SUM(OC13:OE13)</f>
        <v>0</v>
      </c>
      <c r="OC13" s="859">
        <f>[1]Субсидия_факт!AR14</f>
        <v>0</v>
      </c>
      <c r="OD13" s="858">
        <f>[1]Субсидия_факт!AT14</f>
        <v>0</v>
      </c>
      <c r="OE13" s="859">
        <f>[1]Субсидия_факт!AV14</f>
        <v>0</v>
      </c>
      <c r="OF13" s="1050">
        <f>SUM(OG13:OI13)</f>
        <v>0</v>
      </c>
      <c r="OG13" s="866"/>
      <c r="OH13" s="863"/>
      <c r="OI13" s="866"/>
      <c r="OJ13" s="1376">
        <f>SUM(OK13:OM13)</f>
        <v>15000000</v>
      </c>
      <c r="OK13" s="859">
        <f>[1]Субсидия_факт!GD14</f>
        <v>0</v>
      </c>
      <c r="OL13" s="858">
        <f>[1]Субсидия_факт!GJ14</f>
        <v>0</v>
      </c>
      <c r="OM13" s="866">
        <f>[1]Субсидия_факт!GP14</f>
        <v>15000000</v>
      </c>
      <c r="ON13" s="1376">
        <f>SUM(OO13:OQ13)</f>
        <v>13839605.869999999</v>
      </c>
      <c r="OO13" s="851"/>
      <c r="OP13" s="860"/>
      <c r="OQ13" s="850">
        <v>13839605.869999999</v>
      </c>
      <c r="OR13" s="1352">
        <f>SUM(OS13:OU13)</f>
        <v>0</v>
      </c>
      <c r="OS13" s="859">
        <f>[1]Субсидия_факт!GF14</f>
        <v>0</v>
      </c>
      <c r="OT13" s="858">
        <f>[1]Субсидия_факт!GL14</f>
        <v>0</v>
      </c>
      <c r="OU13" s="850">
        <f>[1]Субсидия_факт!GR14</f>
        <v>0</v>
      </c>
      <c r="OV13" s="1352">
        <f>SUM(OW13:OY13)</f>
        <v>0</v>
      </c>
      <c r="OW13" s="850"/>
      <c r="OX13" s="867"/>
      <c r="OY13" s="850"/>
      <c r="OZ13" s="1354">
        <f>SUM(PA13:PC13)</f>
        <v>0</v>
      </c>
      <c r="PA13" s="885">
        <f>'Проверочная  таблица'!OS13-PI13</f>
        <v>0</v>
      </c>
      <c r="PB13" s="863">
        <f>'Проверочная  таблица'!OT13-PJ13</f>
        <v>0</v>
      </c>
      <c r="PC13" s="866">
        <f>'Проверочная  таблица'!OU13-PK13</f>
        <v>0</v>
      </c>
      <c r="PD13" s="1354">
        <f>SUM(PE13:PG13)</f>
        <v>0</v>
      </c>
      <c r="PE13" s="851">
        <f>'Проверочная  таблица'!OW13-PM13</f>
        <v>0</v>
      </c>
      <c r="PF13" s="860">
        <f>'Проверочная  таблица'!OX13-PN13</f>
        <v>0</v>
      </c>
      <c r="PG13" s="850">
        <f>'Проверочная  таблица'!OY13-PO13</f>
        <v>0</v>
      </c>
      <c r="PH13" s="1354">
        <f>SUM(PI13:PK13)</f>
        <v>0</v>
      </c>
      <c r="PI13" s="859">
        <f>[1]Субсидия_факт!GH14</f>
        <v>0</v>
      </c>
      <c r="PJ13" s="858">
        <f>[1]Субсидия_факт!GN14</f>
        <v>0</v>
      </c>
      <c r="PK13" s="859">
        <f>[1]Субсидия_факт!GT14</f>
        <v>0</v>
      </c>
      <c r="PL13" s="1354">
        <f>SUM(PM13:PO13)</f>
        <v>0</v>
      </c>
      <c r="PM13" s="851">
        <f t="shared" ref="PM13:PM29" si="191">OW13</f>
        <v>0</v>
      </c>
      <c r="PN13" s="860">
        <f t="shared" ref="PN13:PN29" si="192">OX13</f>
        <v>0</v>
      </c>
      <c r="PO13" s="859"/>
      <c r="PP13" s="1003">
        <f t="shared" ref="PP13:PP29" si="193">SUM(PQ13:PT13)</f>
        <v>171852053.88</v>
      </c>
      <c r="PQ13" s="862">
        <f>[1]Субсидия_факт!JB14</f>
        <v>152102.69</v>
      </c>
      <c r="PR13" s="863">
        <f>[1]Субсидия_факт!JH14</f>
        <v>2889951.19</v>
      </c>
      <c r="PS13" s="862">
        <v>8440500</v>
      </c>
      <c r="PT13" s="863">
        <v>160369500</v>
      </c>
      <c r="PU13" s="1003">
        <f t="shared" ref="PU13:PU29" si="194">SUM(PV13:PY13)</f>
        <v>94284805.600000009</v>
      </c>
      <c r="PV13" s="866">
        <v>70706.759999999995</v>
      </c>
      <c r="PW13" s="890">
        <v>1343428.44</v>
      </c>
      <c r="PX13" s="866">
        <v>4643533.53</v>
      </c>
      <c r="PY13" s="890">
        <v>88227136.870000005</v>
      </c>
      <c r="PZ13" s="1050">
        <f>SUM(QA13:QB13)</f>
        <v>0</v>
      </c>
      <c r="QA13" s="862">
        <f>[1]Субсидия_факт!JD14</f>
        <v>0</v>
      </c>
      <c r="QB13" s="863">
        <f>[1]Субсидия_факт!JJ14</f>
        <v>0</v>
      </c>
      <c r="QC13" s="1391">
        <f>SUM(QD13:QE13)</f>
        <v>0</v>
      </c>
      <c r="QD13" s="866"/>
      <c r="QE13" s="890"/>
      <c r="QF13" s="879">
        <f>SUM(QG13:QH13)</f>
        <v>0</v>
      </c>
      <c r="QG13" s="866">
        <f t="shared" ref="QG13:QH15" si="195">QA13-QM13</f>
        <v>0</v>
      </c>
      <c r="QH13" s="863">
        <f t="shared" si="195"/>
        <v>0</v>
      </c>
      <c r="QI13" s="1373">
        <f>SUM(QJ13:QK13)</f>
        <v>0</v>
      </c>
      <c r="QJ13" s="862">
        <f t="shared" ref="QJ13:QK15" si="196">QD13-QP13</f>
        <v>0</v>
      </c>
      <c r="QK13" s="863">
        <f t="shared" si="196"/>
        <v>0</v>
      </c>
      <c r="QL13" s="1373">
        <f>SUM(QM13:QN13)</f>
        <v>0</v>
      </c>
      <c r="QM13" s="862">
        <f>[1]Субсидия_факт!JF14</f>
        <v>0</v>
      </c>
      <c r="QN13" s="863">
        <f>[1]Субсидия_факт!JL14</f>
        <v>0</v>
      </c>
      <c r="QO13" s="879">
        <f>SUM(QP13:QQ13)</f>
        <v>0</v>
      </c>
      <c r="QP13" s="866"/>
      <c r="QQ13" s="890"/>
      <c r="QR13" s="1050">
        <f>SUM(QS13:QT13)</f>
        <v>0</v>
      </c>
      <c r="QS13" s="862">
        <f>[1]Субсидия_факт!CV14</f>
        <v>0</v>
      </c>
      <c r="QT13" s="863">
        <f>[1]Субсидия_факт!CX14</f>
        <v>0</v>
      </c>
      <c r="QU13" s="1050">
        <f>SUM(QV13:QW13)</f>
        <v>0</v>
      </c>
      <c r="QV13" s="862"/>
      <c r="QW13" s="863"/>
      <c r="QX13" s="897">
        <f>SUM(QY13:QZ13)</f>
        <v>0</v>
      </c>
      <c r="QY13" s="862">
        <f>[1]Субсидия_факт!CZ14</f>
        <v>0</v>
      </c>
      <c r="QZ13" s="863">
        <f>[1]Субсидия_факт!DF14</f>
        <v>0</v>
      </c>
      <c r="RA13" s="1050">
        <f>SUM(RB13:RC13)</f>
        <v>0</v>
      </c>
      <c r="RB13" s="862"/>
      <c r="RC13" s="863"/>
      <c r="RD13" s="897">
        <f t="shared" si="122"/>
        <v>0</v>
      </c>
      <c r="RE13" s="862">
        <f>[1]Субсидия_факт!DB14</f>
        <v>0</v>
      </c>
      <c r="RF13" s="863">
        <f>[1]Субсидия_факт!DH14</f>
        <v>0</v>
      </c>
      <c r="RG13" s="1050">
        <f>SUM(RH13:RI13)</f>
        <v>0</v>
      </c>
      <c r="RH13" s="862"/>
      <c r="RI13" s="863"/>
      <c r="RJ13" s="1373">
        <f>SUM(RK13:RL13)</f>
        <v>0</v>
      </c>
      <c r="RK13" s="862">
        <f t="shared" ref="RK13:RL15" si="197">RE13-RQ13</f>
        <v>0</v>
      </c>
      <c r="RL13" s="863">
        <f t="shared" si="197"/>
        <v>0</v>
      </c>
      <c r="RM13" s="879">
        <f>SUM(RN13:RO13)</f>
        <v>0</v>
      </c>
      <c r="RN13" s="862">
        <f t="shared" ref="RN13:RO15" si="198">RH13-RT13</f>
        <v>0</v>
      </c>
      <c r="RO13" s="863">
        <f t="shared" si="198"/>
        <v>0</v>
      </c>
      <c r="RP13" s="897">
        <f t="shared" si="128"/>
        <v>0</v>
      </c>
      <c r="RQ13" s="862">
        <f>[1]Субсидия_факт!DD14</f>
        <v>0</v>
      </c>
      <c r="RR13" s="863">
        <f>[1]Субсидия_факт!DJ14</f>
        <v>0</v>
      </c>
      <c r="RS13" s="879">
        <f>SUM(RT13:RU13)</f>
        <v>0</v>
      </c>
      <c r="RT13" s="862"/>
      <c r="RU13" s="863"/>
      <c r="RV13" s="897">
        <f>SUM(RW13:RX13)</f>
        <v>0</v>
      </c>
      <c r="RW13" s="862">
        <f>[1]Субсидия_факт!DL14</f>
        <v>0</v>
      </c>
      <c r="RX13" s="863">
        <f>[1]Субсидия_факт!DN14</f>
        <v>0</v>
      </c>
      <c r="RY13" s="1391">
        <f>SUM(RZ13:SA13)</f>
        <v>0</v>
      </c>
      <c r="RZ13" s="885"/>
      <c r="SA13" s="889"/>
      <c r="SB13" s="1050">
        <f>SUM(SC13:SE13)</f>
        <v>0</v>
      </c>
      <c r="SC13" s="859">
        <f>[1]Субсидия_факт!BJ14</f>
        <v>0</v>
      </c>
      <c r="SD13" s="862">
        <f>[1]Субсидия_факт!BF14</f>
        <v>0</v>
      </c>
      <c r="SE13" s="889">
        <f>[1]Субсидия_факт!BH14</f>
        <v>0</v>
      </c>
      <c r="SF13" s="1050">
        <f>SUM(SG13:SI13)</f>
        <v>0</v>
      </c>
      <c r="SG13" s="891"/>
      <c r="SH13" s="885"/>
      <c r="SI13" s="889"/>
      <c r="SJ13" s="897">
        <f t="shared" si="133"/>
        <v>0</v>
      </c>
      <c r="SK13" s="862">
        <f>[1]Субсидия_факт!AD14</f>
        <v>0</v>
      </c>
      <c r="SL13" s="863">
        <f>[1]Субсидия_факт!AF14</f>
        <v>0</v>
      </c>
      <c r="SM13" s="1050">
        <f>SUM(SN13:SO13)</f>
        <v>0</v>
      </c>
      <c r="SN13" s="885"/>
      <c r="SO13" s="889"/>
      <c r="SP13" s="897">
        <f>SUM(SQ13:SV13)</f>
        <v>596573622.53999996</v>
      </c>
      <c r="SQ13" s="862">
        <f>[1]Субсидия_факт!ID14</f>
        <v>5835828.4599999934</v>
      </c>
      <c r="SR13" s="863">
        <f>[1]Субсидия_факт!IJ14</f>
        <v>110880741.45</v>
      </c>
      <c r="SS13" s="885">
        <f>[1]Субсидия_факт!IP14</f>
        <v>0</v>
      </c>
      <c r="ST13" s="863">
        <f>[1]Субсидия_факт!IV14</f>
        <v>0</v>
      </c>
      <c r="SU13" s="1123">
        <f>[1]Субсидия_факт!JZ14-PS13</f>
        <v>23992852.629999995</v>
      </c>
      <c r="SV13" s="889">
        <f>[1]Субсидия_факт!KF14-PT13</f>
        <v>455864200</v>
      </c>
      <c r="SW13" s="1050">
        <f>SUM(SX13:TC13)</f>
        <v>485076605.31999999</v>
      </c>
      <c r="SX13" s="1244">
        <v>3629970.11</v>
      </c>
      <c r="SY13" s="890">
        <v>68969431.310000002</v>
      </c>
      <c r="SZ13" s="1244"/>
      <c r="TA13" s="890"/>
      <c r="TB13" s="1393">
        <f>25267393.72-PX13</f>
        <v>20623860.189999998</v>
      </c>
      <c r="TC13" s="1394">
        <f>480080480.58-PY13</f>
        <v>391853343.70999998</v>
      </c>
      <c r="TD13" s="897">
        <f>SUM(TE13:TJ13)</f>
        <v>3414035.2</v>
      </c>
      <c r="TE13" s="862">
        <f>[1]Субсидия_факт!IF14</f>
        <v>0</v>
      </c>
      <c r="TF13" s="863">
        <f>[1]Субсидия_факт!IL14</f>
        <v>0</v>
      </c>
      <c r="TG13" s="885">
        <f>[1]Субсидия_факт!IR14</f>
        <v>170701.76000000024</v>
      </c>
      <c r="TH13" s="863">
        <f>[1]Субсидия_факт!IX14</f>
        <v>3243333.44</v>
      </c>
      <c r="TI13" s="885">
        <f>[1]Субсидия_факт!KB14</f>
        <v>0</v>
      </c>
      <c r="TJ13" s="863">
        <f>[1]Субсидия_факт!KH14</f>
        <v>0</v>
      </c>
      <c r="TK13" s="1050">
        <f>SUM(TL13:TQ13)</f>
        <v>0</v>
      </c>
      <c r="TL13" s="866"/>
      <c r="TM13" s="890"/>
      <c r="TN13" s="1123"/>
      <c r="TO13" s="890"/>
      <c r="TP13" s="866"/>
      <c r="TQ13" s="890"/>
      <c r="TR13" s="879">
        <f>SUM(TS13:TX13)</f>
        <v>3414035.2</v>
      </c>
      <c r="TS13" s="862">
        <f t="shared" ref="TS13:TX15" si="199">TE13-UG13</f>
        <v>0</v>
      </c>
      <c r="TT13" s="863">
        <f t="shared" si="199"/>
        <v>0</v>
      </c>
      <c r="TU13" s="862">
        <f t="shared" si="199"/>
        <v>170701.76000000024</v>
      </c>
      <c r="TV13" s="863">
        <f t="shared" si="199"/>
        <v>3243333.44</v>
      </c>
      <c r="TW13" s="885">
        <f t="shared" si="199"/>
        <v>0</v>
      </c>
      <c r="TX13" s="863">
        <f t="shared" si="199"/>
        <v>0</v>
      </c>
      <c r="TY13" s="879">
        <f>SUM(TZ13:UE13)</f>
        <v>0</v>
      </c>
      <c r="TZ13" s="862">
        <f t="shared" ref="TZ13:UE15" si="200">TL13-UN13</f>
        <v>0</v>
      </c>
      <c r="UA13" s="863">
        <f t="shared" si="200"/>
        <v>0</v>
      </c>
      <c r="UB13" s="862">
        <f t="shared" si="200"/>
        <v>0</v>
      </c>
      <c r="UC13" s="863">
        <f t="shared" si="200"/>
        <v>0</v>
      </c>
      <c r="UD13" s="885">
        <f t="shared" si="200"/>
        <v>0</v>
      </c>
      <c r="UE13" s="863">
        <f t="shared" si="200"/>
        <v>0</v>
      </c>
      <c r="UF13" s="1373">
        <f>SUM(UG13:UL13)</f>
        <v>0</v>
      </c>
      <c r="UG13" s="862">
        <f>[1]Субсидия_факт!IH14</f>
        <v>0</v>
      </c>
      <c r="UH13" s="863">
        <f>[1]Субсидия_факт!IN14</f>
        <v>0</v>
      </c>
      <c r="UI13" s="885">
        <f>[1]Субсидия_факт!IT14</f>
        <v>0</v>
      </c>
      <c r="UJ13" s="863">
        <f>[1]Субсидия_факт!IZ14</f>
        <v>0</v>
      </c>
      <c r="UK13" s="885">
        <f>[1]Субсидия_факт!KD14</f>
        <v>0</v>
      </c>
      <c r="UL13" s="863">
        <f>[1]Субсидия_факт!KJ14</f>
        <v>0</v>
      </c>
      <c r="UM13" s="879">
        <f>SUM(UN13:US13)</f>
        <v>0</v>
      </c>
      <c r="UN13" s="1123"/>
      <c r="UO13" s="890"/>
      <c r="UP13" s="1123"/>
      <c r="UQ13" s="890"/>
      <c r="UR13" s="1123"/>
      <c r="US13" s="890"/>
      <c r="UT13" s="1050">
        <f>'Прочая  субсидия_МР  и  ГО'!B9</f>
        <v>84063469.599999994</v>
      </c>
      <c r="UU13" s="1050">
        <f>'Прочая  субсидия_МР  и  ГО'!C9</f>
        <v>71679035.530000001</v>
      </c>
      <c r="UV13" s="1371">
        <f>'Прочая  субсидия_БП'!B9</f>
        <v>0</v>
      </c>
      <c r="UW13" s="897">
        <f>'Прочая  субсидия_БП'!C9</f>
        <v>0</v>
      </c>
      <c r="UX13" s="1395">
        <f>'Прочая  субсидия_БП'!D9</f>
        <v>0</v>
      </c>
      <c r="UY13" s="1386">
        <f>'Прочая  субсидия_БП'!E9</f>
        <v>0</v>
      </c>
      <c r="UZ13" s="1387">
        <f>'Прочая  субсидия_БП'!F9</f>
        <v>0</v>
      </c>
      <c r="VA13" s="1395">
        <f>'Прочая  субсидия_БП'!G9</f>
        <v>0</v>
      </c>
      <c r="VB13" s="897">
        <f>SUM(VC13:VD13)</f>
        <v>506073358.36000001</v>
      </c>
      <c r="VC13" s="866">
        <f>'Проверочная  таблица'!WE13+'Проверочная  таблица'!VH13+'Проверочная  таблица'!VJ13+VY13</f>
        <v>494518711.99000001</v>
      </c>
      <c r="VD13" s="891">
        <f>'Проверочная  таблица'!WF13+'Проверочная  таблица'!VN13+'Проверочная  таблица'!VT13+'Проверочная  таблица'!VP13+'Проверочная  таблица'!VR13+VV13+VZ13+VL13</f>
        <v>11554646.370000001</v>
      </c>
      <c r="VE13" s="1050">
        <f>SUM(VF13:VG13)</f>
        <v>386013681.54999995</v>
      </c>
      <c r="VF13" s="866">
        <f>'Проверочная  таблица'!WH13+'Проверочная  таблица'!VI13+'Проверочная  таблица'!VK13+WB13</f>
        <v>377535646.78999996</v>
      </c>
      <c r="VG13" s="891">
        <f>'Проверочная  таблица'!WI13+'Проверочная  таблица'!VO13+'Проверочная  таблица'!VU13+'Проверочная  таблица'!VQ13+'Проверочная  таблица'!VS13+VW13+WC13+VM13</f>
        <v>8478034.7599999998</v>
      </c>
      <c r="VH13" s="1391">
        <f>'Субвенция  на  полномочия'!B9</f>
        <v>475925516.52000004</v>
      </c>
      <c r="VI13" s="1371">
        <f>'Субвенция  на  полномочия'!C9</f>
        <v>363700656.64999998</v>
      </c>
      <c r="VJ13" s="886">
        <f>[1]Субвенция_факт!M13*1000</f>
        <v>13958360</v>
      </c>
      <c r="VK13" s="892">
        <v>10170000</v>
      </c>
      <c r="VL13" s="886">
        <f>[1]Субвенция_факт!AE13*1000</f>
        <v>2743300</v>
      </c>
      <c r="VM13" s="892">
        <f>ВУС!E7</f>
        <v>636619.31000000006</v>
      </c>
      <c r="VN13" s="886">
        <f>[1]Субвенция_факт!AF13*1000</f>
        <v>0</v>
      </c>
      <c r="VO13" s="892"/>
      <c r="VP13" s="1396">
        <f>[1]Субвенция_факт!AG13*1000</f>
        <v>0</v>
      </c>
      <c r="VQ13" s="893"/>
      <c r="VR13" s="888">
        <f>[1]Субвенция_факт!E13*1000</f>
        <v>0</v>
      </c>
      <c r="VS13" s="893"/>
      <c r="VT13" s="888">
        <f>[1]Субвенция_факт!F13*1000</f>
        <v>0</v>
      </c>
      <c r="VU13" s="893"/>
      <c r="VV13" s="887">
        <f>[1]Субвенция_факт!G13*1000</f>
        <v>0</v>
      </c>
      <c r="VW13" s="892"/>
      <c r="VX13" s="897">
        <f>SUM(VY13:VZ13)</f>
        <v>10886954.560000001</v>
      </c>
      <c r="VY13" s="862">
        <f>[1]Субвенция_факт!P13*1000</f>
        <v>2830608.1900000004</v>
      </c>
      <c r="VZ13" s="863">
        <f>[1]Субвенция_факт!Q13*1000</f>
        <v>8056346.3700000001</v>
      </c>
      <c r="WA13" s="1050">
        <f>SUM(WB13:WC13)</f>
        <v>9765346.6699999999</v>
      </c>
      <c r="WB13" s="866">
        <v>2538990.14</v>
      </c>
      <c r="WC13" s="894">
        <v>7226356.5300000003</v>
      </c>
      <c r="WD13" s="1050">
        <f>SUM(WE13:WF13)</f>
        <v>2559227.2799999998</v>
      </c>
      <c r="WE13" s="895">
        <f>[1]Субвенция_факт!X13*1000</f>
        <v>1804227.2799999998</v>
      </c>
      <c r="WF13" s="896">
        <f>[1]Субвенция_факт!W13*1000</f>
        <v>755000</v>
      </c>
      <c r="WG13" s="1050">
        <f>SUM(WH13:WI13)</f>
        <v>1741058.92</v>
      </c>
      <c r="WH13" s="866">
        <v>1126000</v>
      </c>
      <c r="WI13" s="894">
        <v>615058.92000000004</v>
      </c>
      <c r="WJ13" s="897">
        <f t="shared" ref="WJ13:WJ29" si="201">WR13+WX13+XD13+XJ13+XN13+XV13+YR13+WL13</f>
        <v>151759931.60999998</v>
      </c>
      <c r="WK13" s="1050">
        <f t="shared" ref="WK13:WK29" si="202">WU13+XA13+XG13+XL13+XP13+YG13+YX13+WO13</f>
        <v>59541589.300000004</v>
      </c>
      <c r="WL13" s="1391">
        <f>SUM(WM13:WN13)</f>
        <v>0</v>
      </c>
      <c r="WM13" s="895"/>
      <c r="WN13" s="896">
        <f>'[1]Иные межбюджетные трансферты'!I11</f>
        <v>0</v>
      </c>
      <c r="WO13" s="1391">
        <f>SUM(WP13:WQ13)</f>
        <v>0</v>
      </c>
      <c r="WP13" s="895"/>
      <c r="WQ13" s="896"/>
      <c r="WR13" s="1391">
        <f>SUM(WS13:WT13)</f>
        <v>3307047.49</v>
      </c>
      <c r="WS13" s="895">
        <f>'[1]Иные межбюджетные трансферты'!AQ14</f>
        <v>3307047.49</v>
      </c>
      <c r="WT13" s="896">
        <f>'[1]Иные межбюджетные трансферты'!AS14</f>
        <v>0</v>
      </c>
      <c r="WU13" s="1391">
        <f>SUM(WV13:WW13)</f>
        <v>0</v>
      </c>
      <c r="WV13" s="895"/>
      <c r="WW13" s="896"/>
      <c r="WX13" s="1050">
        <f>SUM(WY13:WZ13)</f>
        <v>3505048.8</v>
      </c>
      <c r="WY13" s="895">
        <f>'[1]Иные межбюджетные трансферты'!AM14</f>
        <v>175252.44</v>
      </c>
      <c r="WZ13" s="896">
        <f>'[1]Иные межбюджетные трансферты'!AO14</f>
        <v>3329796.36</v>
      </c>
      <c r="XA13" s="1050">
        <f>SUM(XB13:XC13)</f>
        <v>2628786.6</v>
      </c>
      <c r="XB13" s="895">
        <v>131439.32999999999</v>
      </c>
      <c r="XC13" s="896">
        <v>2497347.27</v>
      </c>
      <c r="XD13" s="1050">
        <f>SUM(XE13:XF13)</f>
        <v>33693482</v>
      </c>
      <c r="XE13" s="895">
        <f>'[1]Иные межбюджетные трансферты'!K14</f>
        <v>15525211</v>
      </c>
      <c r="XF13" s="896">
        <f>'[1]Иные межбюджетные трансферты'!M14</f>
        <v>18168271</v>
      </c>
      <c r="XG13" s="1050">
        <f>SUM(XH13:XI13)</f>
        <v>18168271</v>
      </c>
      <c r="XH13" s="882"/>
      <c r="XI13" s="896">
        <v>18168271</v>
      </c>
      <c r="XJ13" s="1050">
        <f>SUM(XK13:XK13)</f>
        <v>0</v>
      </c>
      <c r="XK13" s="885"/>
      <c r="XL13" s="1050">
        <f>SUM(XM13:XM13)</f>
        <v>0</v>
      </c>
      <c r="XM13" s="885"/>
      <c r="XN13" s="897">
        <f>SUM(XO13:XO13)</f>
        <v>0</v>
      </c>
      <c r="XO13" s="862">
        <f>'[1]Иные межбюджетные трансферты'!O14</f>
        <v>0</v>
      </c>
      <c r="XP13" s="1050">
        <f>SUM(XQ13:XQ13)</f>
        <v>0</v>
      </c>
      <c r="XQ13" s="866"/>
      <c r="XR13" s="1390">
        <f>XN13-XT13</f>
        <v>0</v>
      </c>
      <c r="XS13" s="879">
        <f>XP13-XU13</f>
        <v>0</v>
      </c>
      <c r="XT13" s="1390">
        <f>XN13</f>
        <v>0</v>
      </c>
      <c r="XU13" s="879">
        <f>XP13</f>
        <v>0</v>
      </c>
      <c r="XV13" s="1050">
        <f>SUM(XW13:YF13)</f>
        <v>111079100.88</v>
      </c>
      <c r="XW13" s="883">
        <f>'[1]Иные межбюджетные трансферты'!E14</f>
        <v>0</v>
      </c>
      <c r="XX13" s="895">
        <f>'[1]Иные межбюджетные трансферты'!G14</f>
        <v>0</v>
      </c>
      <c r="XY13" s="882">
        <f>'[1]Иные межбюджетные трансферты'!S14</f>
        <v>6378526</v>
      </c>
      <c r="XZ13" s="883">
        <f>'[1]Иные межбюджетные трансферты'!Y14</f>
        <v>6694800</v>
      </c>
      <c r="YA13" s="882">
        <f>'[1]Иные межбюджетные трансферты'!AA14</f>
        <v>6694800</v>
      </c>
      <c r="YB13" s="1275">
        <f>'[1]Иные межбюджетные трансферты'!AG14</f>
        <v>73457366</v>
      </c>
      <c r="YC13" s="882">
        <f>'[1]Иные межбюджетные трансферты'!AU14</f>
        <v>3307047.49</v>
      </c>
      <c r="YD13" s="862">
        <f>'[1]Иные межбюджетные трансферты'!BA14</f>
        <v>3838367.78</v>
      </c>
      <c r="YE13" s="882">
        <f>'[1]Иные межбюджетные трансферты'!BC14</f>
        <v>0</v>
      </c>
      <c r="YF13" s="1275">
        <f>'[1]Иные межбюджетные трансферты'!BE14</f>
        <v>10708193.609999999</v>
      </c>
      <c r="YG13" s="1050">
        <f>SUM(YH13:YQ13)</f>
        <v>38744531.700000003</v>
      </c>
      <c r="YH13" s="882"/>
      <c r="YI13" s="882"/>
      <c r="YJ13" s="851">
        <v>6338526</v>
      </c>
      <c r="YK13" s="882"/>
      <c r="YL13" s="848">
        <f>YA13</f>
        <v>6694800</v>
      </c>
      <c r="YM13" s="848">
        <v>15003012.09</v>
      </c>
      <c r="YN13" s="848"/>
      <c r="YO13" s="848"/>
      <c r="YP13" s="848"/>
      <c r="YQ13" s="848">
        <v>10708193.609999999</v>
      </c>
      <c r="YR13" s="1050">
        <f>SUM(YS13:YW13)</f>
        <v>175252.44</v>
      </c>
      <c r="YS13" s="895">
        <f>'[1]Иные межбюджетные трансферты'!U14</f>
        <v>0</v>
      </c>
      <c r="YT13" s="882">
        <f>'[1]Иные межбюджетные трансферты'!AC14</f>
        <v>0</v>
      </c>
      <c r="YU13" s="1275">
        <f>'[1]Иные межбюджетные трансферты'!AI14</f>
        <v>175252.44</v>
      </c>
      <c r="YV13" s="883">
        <f>'[1]Иные межбюджетные трансферты'!AW14</f>
        <v>0</v>
      </c>
      <c r="YW13" s="848">
        <f>'[1]Иные межбюджетные трансферты'!BG14</f>
        <v>0</v>
      </c>
      <c r="YX13" s="1050">
        <f>SUM(YY13:ZC13)</f>
        <v>0</v>
      </c>
      <c r="YY13" s="865"/>
      <c r="YZ13" s="865">
        <f>YT13</f>
        <v>0</v>
      </c>
      <c r="ZA13" s="865"/>
      <c r="ZB13" s="848"/>
      <c r="ZC13" s="848">
        <v>0</v>
      </c>
      <c r="ZD13" s="879">
        <f>SUM(ZE13:ZI13)</f>
        <v>175252.44</v>
      </c>
      <c r="ZE13" s="859">
        <f>'Проверочная  таблица'!YS13-ZQ13</f>
        <v>0</v>
      </c>
      <c r="ZF13" s="859">
        <f>'Проверочная  таблица'!YT13-ZR13</f>
        <v>0</v>
      </c>
      <c r="ZG13" s="859">
        <f>'Проверочная  таблица'!YU13-ZS13</f>
        <v>175252.44</v>
      </c>
      <c r="ZH13" s="859">
        <f>'Проверочная  таблица'!YV13-ZT13</f>
        <v>0</v>
      </c>
      <c r="ZI13" s="859">
        <f>'Проверочная  таблица'!YW13-ZU13</f>
        <v>0</v>
      </c>
      <c r="ZJ13" s="879">
        <f>SUM(ZK13:ZO13)</f>
        <v>0</v>
      </c>
      <c r="ZK13" s="859">
        <f>'Проверочная  таблица'!YY13-ZW13</f>
        <v>0</v>
      </c>
      <c r="ZL13" s="859">
        <f>'Проверочная  таблица'!YZ13-ZX13</f>
        <v>0</v>
      </c>
      <c r="ZM13" s="859">
        <f>'Проверочная  таблица'!ZA13-ZY13</f>
        <v>0</v>
      </c>
      <c r="ZN13" s="859">
        <f>'Проверочная  таблица'!ZB13-ZZ13</f>
        <v>0</v>
      </c>
      <c r="ZO13" s="859">
        <f>'Проверочная  таблица'!ZC13-AAA13</f>
        <v>0</v>
      </c>
      <c r="ZP13" s="879">
        <f>SUM(ZQ13:ZU13)</f>
        <v>0</v>
      </c>
      <c r="ZQ13" s="895">
        <f>'[1]Иные межбюджетные трансферты'!W14</f>
        <v>0</v>
      </c>
      <c r="ZR13" s="895">
        <f>'[1]Иные межбюджетные трансферты'!AE14</f>
        <v>0</v>
      </c>
      <c r="ZS13" s="882"/>
      <c r="ZT13" s="883">
        <f>'[1]Иные межбюджетные трансферты'!AY14</f>
        <v>0</v>
      </c>
      <c r="ZU13" s="848"/>
      <c r="ZV13" s="879">
        <f>SUM(ZW13:AAA13)</f>
        <v>0</v>
      </c>
      <c r="ZW13" s="865"/>
      <c r="ZX13" s="865">
        <f>YZ13</f>
        <v>0</v>
      </c>
      <c r="ZY13" s="865"/>
      <c r="ZZ13" s="848"/>
      <c r="AAA13" s="848"/>
      <c r="AAB13" s="1050">
        <f>AAD13+'Проверочная  таблица'!AAL13+AAH13+'Проверочная  таблица'!AAP13+AAJ13+'Проверочная  таблица'!AAR13</f>
        <v>0</v>
      </c>
      <c r="AAC13" s="1050">
        <f>AAE13+'Проверочная  таблица'!AAM13+AAI13+'Проверочная  таблица'!AAQ13+AAK13+'Проверочная  таблица'!AAS13</f>
        <v>0</v>
      </c>
      <c r="AAD13" s="897"/>
      <c r="AAE13" s="897"/>
      <c r="AAF13" s="897"/>
      <c r="AAG13" s="897"/>
      <c r="AAH13" s="1373">
        <f t="shared" ref="AAH13:AAI15" si="203">AAF13-AAJ13</f>
        <v>0</v>
      </c>
      <c r="AAI13" s="879">
        <f t="shared" si="203"/>
        <v>0</v>
      </c>
      <c r="AAJ13" s="898"/>
      <c r="AAK13" s="879"/>
      <c r="AAL13" s="897"/>
      <c r="AAM13" s="897"/>
      <c r="AAN13" s="897"/>
      <c r="AAO13" s="897"/>
      <c r="AAP13" s="1373">
        <f t="shared" ref="AAP13:AAQ15" si="204">AAN13-AAR13</f>
        <v>0</v>
      </c>
      <c r="AAQ13" s="879">
        <f t="shared" si="204"/>
        <v>0</v>
      </c>
      <c r="AAR13" s="879"/>
      <c r="AAS13" s="879"/>
      <c r="AAT13" s="1384">
        <f>'Проверочная  таблица'!AAL13+'Проверочная  таблица'!AAN13</f>
        <v>0</v>
      </c>
      <c r="AAU13" s="1384">
        <f>'Проверочная  таблица'!AAM13+'Проверочная  таблица'!AAO13</f>
        <v>0</v>
      </c>
    </row>
    <row r="14" spans="1:723" ht="20.45" customHeight="1" x14ac:dyDescent="0.25">
      <c r="A14" s="903" t="s">
        <v>1283</v>
      </c>
      <c r="B14" s="858">
        <f>D14+AN14+'Проверочная  таблица'!VB14+'Проверочная  таблица'!WJ14</f>
        <v>1058162406.92</v>
      </c>
      <c r="C14" s="860">
        <f>E14+'Проверочная  таблица'!VE14+AO14+'Проверочная  таблица'!WK14</f>
        <v>543902684.57999992</v>
      </c>
      <c r="D14" s="1371">
        <f t="shared" si="174"/>
        <v>336728920</v>
      </c>
      <c r="E14" s="897">
        <f t="shared" si="1"/>
        <v>179140000</v>
      </c>
      <c r="F14" s="1376">
        <f>'[1]Дотация  из  ОБ_факт'!M16</f>
        <v>185528920</v>
      </c>
      <c r="G14" s="1385">
        <v>139140000</v>
      </c>
      <c r="H14" s="1376">
        <f>'[1]Дотация  из  ОБ_факт'!G16</f>
        <v>0</v>
      </c>
      <c r="I14" s="1385"/>
      <c r="J14" s="1386">
        <f t="shared" si="175"/>
        <v>0</v>
      </c>
      <c r="K14" s="1387">
        <f t="shared" si="175"/>
        <v>0</v>
      </c>
      <c r="L14" s="1386">
        <f>'[1]Дотация  из  ОБ_факт'!K16</f>
        <v>0</v>
      </c>
      <c r="M14" s="881"/>
      <c r="N14" s="1376">
        <f>'[1]Дотация  из  ОБ_факт'!Q16</f>
        <v>151200000</v>
      </c>
      <c r="O14" s="1385">
        <v>40000000</v>
      </c>
      <c r="P14" s="1376">
        <f>'[1]Дотация  из  ОБ_факт'!S16</f>
        <v>0</v>
      </c>
      <c r="Q14" s="1385"/>
      <c r="R14" s="1386">
        <f t="shared" si="176"/>
        <v>0</v>
      </c>
      <c r="S14" s="1387">
        <f t="shared" si="176"/>
        <v>0</v>
      </c>
      <c r="T14" s="1386">
        <f>'[1]Дотация  из  ОБ_факт'!W16</f>
        <v>0</v>
      </c>
      <c r="U14" s="881"/>
      <c r="V14" s="886">
        <f>SUM(W14:Y14)</f>
        <v>0</v>
      </c>
      <c r="W14" s="1388">
        <f>'[1]Дотация  из  ОБ_факт'!$AA$16</f>
        <v>0</v>
      </c>
      <c r="X14" s="1389">
        <f>'[1]Дотация  из  ОБ_факт'!$AC$16</f>
        <v>0</v>
      </c>
      <c r="Y14" s="1389">
        <f>'[1]Дотация  из  ОБ_факт'!$AG$16</f>
        <v>0</v>
      </c>
      <c r="Z14" s="887">
        <f>SUM(AA14:AC14)</f>
        <v>0</v>
      </c>
      <c r="AA14" s="848">
        <f t="shared" si="177"/>
        <v>0</v>
      </c>
      <c r="AB14" s="848">
        <f t="shared" si="177"/>
        <v>0</v>
      </c>
      <c r="AC14" s="882"/>
      <c r="AD14" s="886">
        <f>SUM(AE14:AF14)</f>
        <v>0</v>
      </c>
      <c r="AE14" s="1388">
        <f>'[1]Дотация  из  ОБ_факт'!$Y$16</f>
        <v>0</v>
      </c>
      <c r="AF14" s="1389">
        <f>'[1]Дотация  из  ОБ_факт'!$AE$16</f>
        <v>0</v>
      </c>
      <c r="AG14" s="886">
        <f>SUM(AH14:AI14)</f>
        <v>0</v>
      </c>
      <c r="AH14" s="1359">
        <f t="shared" si="178"/>
        <v>0</v>
      </c>
      <c r="AI14" s="848">
        <f t="shared" si="179"/>
        <v>0</v>
      </c>
      <c r="AJ14" s="1386">
        <f t="shared" si="8"/>
        <v>0</v>
      </c>
      <c r="AK14" s="1387">
        <f t="shared" si="180"/>
        <v>0</v>
      </c>
      <c r="AL14" s="1386">
        <f>'[1]Дотация  из  ОБ_факт'!AE16</f>
        <v>0</v>
      </c>
      <c r="AM14" s="884"/>
      <c r="AN14" s="1012">
        <f>'Проверочная  таблица'!UT14+'Проверочная  таблица'!UV14+BL14+BN14+BZ14+CB14+AZ14+BD14+'Проверочная  таблица'!MT14+'Проверочная  таблица'!NJ14+'Проверочная  таблица'!DT14+'Проверочная  таблица'!OB14+DL14+'Проверочная  таблица'!JJ14+'Проверочная  таблица'!JP14+'Проверочная  таблица'!OJ14+'Проверочная  таблица'!OR14+JD14+AP14+AV14+ET14+EZ14+CN14+SP14+DZ14+TD14+PZ14+EF14+EN14+LN14+LV14+SJ14+GN14+RV14+QX14+KH14+KR14+RD14+SB14+CH14+QR14+HD14+FX14+HJ14+HP14+FR14+DB14+PP14+BT14+IH14+IX14+GV14+GD14+IN14</f>
        <v>352656068.29999995</v>
      </c>
      <c r="AO14" s="1013">
        <f>'Проверочная  таблица'!UU14+'Проверочная  таблица'!UW14+BM14+BO14+CA14+CC14+BB14+BF14+'Проверочная  таблица'!NB14+'Проверочная  таблица'!NM14+'Проверочная  таблица'!DW14+'Проверочная  таблица'!OF14+DP14+'Проверочная  таблица'!JM14+'Проверочная  таблица'!JS14+'Проверочная  таблица'!ON14+'Проверочная  таблица'!OV14+JG14+AS14+AX14+EW14+FC14+CU14+SW14+EC14+TK14+QC14+EJ14+EQ14+LR14+LZ14+SM14+GR14+RY14+RA14+KM14+KW14+RG14+SF14+CK14+QU14+HG14+GA14+HM14+HS14+FU14+DE14+PU14+BW14+IK14+JA14+GX14+GG14+IQ14</f>
        <v>112717930.96999998</v>
      </c>
      <c r="AP14" s="1014">
        <f>SUM(AQ14:AR14)</f>
        <v>49564519.879999995</v>
      </c>
      <c r="AQ14" s="885">
        <f>[1]Субсидия_факт!HV18</f>
        <v>49564519.879999995</v>
      </c>
      <c r="AR14" s="866">
        <f>[1]Субсидия_факт!MR18</f>
        <v>0</v>
      </c>
      <c r="AS14" s="1014">
        <f>SUM(AT14:AU14)</f>
        <v>25571705.23</v>
      </c>
      <c r="AT14" s="866">
        <v>25571705.23</v>
      </c>
      <c r="AU14" s="885"/>
      <c r="AV14" s="1003">
        <f>SUM(AW14:AW14)</f>
        <v>0</v>
      </c>
      <c r="AW14" s="866">
        <f>[1]Субсидия_факт!MV18</f>
        <v>0</v>
      </c>
      <c r="AX14" s="1360">
        <f>SUM(AY14:AY14)</f>
        <v>0</v>
      </c>
      <c r="AY14" s="866"/>
      <c r="AZ14" s="897">
        <f>SUM(BA14:BA14)</f>
        <v>0</v>
      </c>
      <c r="BA14" s="866">
        <f>[1]Субсидия_факт!KZ18</f>
        <v>0</v>
      </c>
      <c r="BB14" s="1050">
        <f>SUM(BC14:BC14)</f>
        <v>0</v>
      </c>
      <c r="BC14" s="866"/>
      <c r="BD14" s="897">
        <f>SUM(BE14:BE14)</f>
        <v>0</v>
      </c>
      <c r="BE14" s="866">
        <f>[1]Субсидия_факт!LB18</f>
        <v>0</v>
      </c>
      <c r="BF14" s="1050">
        <f>SUM(BG14:BG14)</f>
        <v>0</v>
      </c>
      <c r="BG14" s="866"/>
      <c r="BH14" s="1373">
        <f>BD14-BJ14</f>
        <v>0</v>
      </c>
      <c r="BI14" s="879">
        <f>BF14-BK14</f>
        <v>0</v>
      </c>
      <c r="BJ14" s="1390">
        <f>BD14</f>
        <v>0</v>
      </c>
      <c r="BK14" s="1373">
        <f>BF14</f>
        <v>0</v>
      </c>
      <c r="BL14" s="897">
        <f>[1]Субсидия_факт!GV18</f>
        <v>0</v>
      </c>
      <c r="BM14" s="886"/>
      <c r="BN14" s="1391">
        <f>[1]Субсидия_факт!GX18</f>
        <v>0</v>
      </c>
      <c r="BO14" s="887"/>
      <c r="BP14" s="1390">
        <f t="shared" si="181"/>
        <v>0</v>
      </c>
      <c r="BQ14" s="1373">
        <f t="shared" si="181"/>
        <v>0</v>
      </c>
      <c r="BR14" s="879">
        <f>[1]Субсидия_факт!GZ18</f>
        <v>0</v>
      </c>
      <c r="BS14" s="881"/>
      <c r="BT14" s="939">
        <f>SUM(BU14:BV14)</f>
        <v>23600305.479999997</v>
      </c>
      <c r="BU14" s="862">
        <f>[1]Субсидия_факт!HL18</f>
        <v>16551305.479999999</v>
      </c>
      <c r="BV14" s="866">
        <f>[1]Субсидия_факт!HN18</f>
        <v>7049000</v>
      </c>
      <c r="BW14" s="1014">
        <f>SUM(BX14:BY14)</f>
        <v>0</v>
      </c>
      <c r="BX14" s="866"/>
      <c r="BY14" s="866"/>
      <c r="BZ14" s="1050">
        <f>[1]Субсидия_факт!HB18</f>
        <v>0</v>
      </c>
      <c r="CA14" s="888"/>
      <c r="CB14" s="1050">
        <f>[1]Субсидия_факт!HD18</f>
        <v>0</v>
      </c>
      <c r="CC14" s="887"/>
      <c r="CD14" s="1367">
        <f t="shared" si="182"/>
        <v>0</v>
      </c>
      <c r="CE14" s="878">
        <f t="shared" si="182"/>
        <v>0</v>
      </c>
      <c r="CF14" s="1368">
        <f>[1]Субсидия_факт!HF18</f>
        <v>0</v>
      </c>
      <c r="CG14" s="849"/>
      <c r="CH14" s="939">
        <f>SUM(CI14:CJ14)</f>
        <v>4075707.43</v>
      </c>
      <c r="CI14" s="862">
        <f>[1]Субсидия_факт!HP18</f>
        <v>0</v>
      </c>
      <c r="CJ14" s="866">
        <f>[1]Субсидия_факт!HR18</f>
        <v>4075707.43</v>
      </c>
      <c r="CK14" s="1014">
        <f>SUM(CL14:CM14)</f>
        <v>0</v>
      </c>
      <c r="CL14" s="866"/>
      <c r="CM14" s="866"/>
      <c r="CN14" s="1003">
        <f>SUM(CO14:CT14)</f>
        <v>0</v>
      </c>
      <c r="CO14" s="859">
        <f>[1]Субсидия_факт!LR18</f>
        <v>0</v>
      </c>
      <c r="CP14" s="858">
        <f>[1]Субсидия_факт!LT18</f>
        <v>0</v>
      </c>
      <c r="CQ14" s="850">
        <f>[1]Субсидия_факт!LV18</f>
        <v>0</v>
      </c>
      <c r="CR14" s="858">
        <f>[1]Субсидия_факт!MB18</f>
        <v>0</v>
      </c>
      <c r="CS14" s="850">
        <f>[1]Субсидия_факт!MH18</f>
        <v>0</v>
      </c>
      <c r="CT14" s="858">
        <f>[1]Субсидия_факт!MJ18</f>
        <v>0</v>
      </c>
      <c r="CU14" s="1003">
        <f>SUM(CV14:DA14)</f>
        <v>0</v>
      </c>
      <c r="CV14" s="851"/>
      <c r="CW14" s="858"/>
      <c r="CX14" s="850"/>
      <c r="CY14" s="858"/>
      <c r="CZ14" s="850"/>
      <c r="DA14" s="858"/>
      <c r="DB14" s="1013">
        <f>SUM(DC14:DD14)</f>
        <v>0</v>
      </c>
      <c r="DC14" s="859">
        <f>[1]Субсидия_факт!LX18</f>
        <v>0</v>
      </c>
      <c r="DD14" s="858">
        <f>[1]Субсидия_факт!MD18</f>
        <v>0</v>
      </c>
      <c r="DE14" s="1003">
        <f>SUM(DF14:DG14)</f>
        <v>0</v>
      </c>
      <c r="DF14" s="859"/>
      <c r="DG14" s="860"/>
      <c r="DH14" s="1367">
        <f>DB14-DJ14</f>
        <v>0</v>
      </c>
      <c r="DI14" s="878">
        <f>DE14-DK14</f>
        <v>0</v>
      </c>
      <c r="DJ14" s="1368">
        <f>DB14</f>
        <v>0</v>
      </c>
      <c r="DK14" s="849">
        <f>DE14</f>
        <v>0</v>
      </c>
      <c r="DL14" s="1050">
        <f>SUM(DM14:DO14)</f>
        <v>0</v>
      </c>
      <c r="DM14" s="885">
        <f>[1]Субсидия_факт!R18</f>
        <v>0</v>
      </c>
      <c r="DN14" s="862">
        <f>[1]Субсидия_факт!T18</f>
        <v>0</v>
      </c>
      <c r="DO14" s="866">
        <f>[1]Субсидия_факт!V18</f>
        <v>0</v>
      </c>
      <c r="DP14" s="1050">
        <f>SUM(DQ14:DS14)</f>
        <v>0</v>
      </c>
      <c r="DQ14" s="902"/>
      <c r="DR14" s="902"/>
      <c r="DS14" s="902"/>
      <c r="DT14" s="939">
        <f>SUM(DU14:DV14)</f>
        <v>0</v>
      </c>
      <c r="DU14" s="862">
        <f>[1]Субсидия_факт!AX18</f>
        <v>0</v>
      </c>
      <c r="DV14" s="863">
        <f>[1]Субсидия_факт!AZ18</f>
        <v>0</v>
      </c>
      <c r="DW14" s="1050">
        <f>SUM(DX14:DY14)</f>
        <v>0</v>
      </c>
      <c r="DX14" s="885"/>
      <c r="DY14" s="889"/>
      <c r="DZ14" s="897">
        <f>SUM(EA14:EB14)</f>
        <v>0</v>
      </c>
      <c r="EA14" s="862">
        <f>[1]Субсидия_факт!X18</f>
        <v>0</v>
      </c>
      <c r="EB14" s="863">
        <f>[1]Субсидия_факт!Z18</f>
        <v>0</v>
      </c>
      <c r="EC14" s="1050">
        <f>SUM(ED14:EE14)</f>
        <v>0</v>
      </c>
      <c r="ED14" s="862"/>
      <c r="EE14" s="863"/>
      <c r="EF14" s="1013">
        <f>SUM(EG14:EI14)</f>
        <v>0</v>
      </c>
      <c r="EG14" s="859">
        <f>[1]Субсидия_факт!AP18</f>
        <v>0</v>
      </c>
      <c r="EH14" s="859">
        <f>[1]Субсидия_факт!AL18</f>
        <v>0</v>
      </c>
      <c r="EI14" s="860">
        <f>[1]Субсидия_факт!AN18</f>
        <v>0</v>
      </c>
      <c r="EJ14" s="1013">
        <f>SUM(EK14:EM14)</f>
        <v>0</v>
      </c>
      <c r="EK14" s="859"/>
      <c r="EL14" s="859"/>
      <c r="EM14" s="860"/>
      <c r="EN14" s="1013">
        <f>SUM(EO14:EP14)</f>
        <v>0</v>
      </c>
      <c r="EO14" s="859">
        <f>[1]Субсидия_факт!HH18</f>
        <v>0</v>
      </c>
      <c r="EP14" s="858">
        <f>[1]Субсидия_факт!HJ18</f>
        <v>0</v>
      </c>
      <c r="EQ14" s="1003">
        <f>SUM(ER14:ES14)</f>
        <v>0</v>
      </c>
      <c r="ER14" s="859"/>
      <c r="ES14" s="858"/>
      <c r="ET14" s="1013">
        <f>SUM(EU14:EV14)</f>
        <v>2027026.14</v>
      </c>
      <c r="EU14" s="862">
        <f>[1]Субсидия_факт!PK18</f>
        <v>529080.10999999987</v>
      </c>
      <c r="EV14" s="863">
        <f>[1]Субсидия_факт!PQ18</f>
        <v>1497946.03</v>
      </c>
      <c r="EW14" s="1003">
        <f>SUM(EX14:EY14)</f>
        <v>0</v>
      </c>
      <c r="EX14" s="859"/>
      <c r="EY14" s="860"/>
      <c r="EZ14" s="1013">
        <f>SUM(FA14:FB14)</f>
        <v>0</v>
      </c>
      <c r="FA14" s="859">
        <f>[1]Субсидия_факт!PM18</f>
        <v>0</v>
      </c>
      <c r="FB14" s="858">
        <f>[1]Субсидия_факт!PS18</f>
        <v>0</v>
      </c>
      <c r="FC14" s="1003">
        <f>SUM(FD14:FE14)</f>
        <v>0</v>
      </c>
      <c r="FD14" s="859"/>
      <c r="FE14" s="860"/>
      <c r="FF14" s="1369">
        <f>SUM(FG14:FH14)</f>
        <v>0</v>
      </c>
      <c r="FG14" s="859">
        <f t="shared" si="183"/>
        <v>0</v>
      </c>
      <c r="FH14" s="858">
        <f t="shared" si="183"/>
        <v>0</v>
      </c>
      <c r="FI14" s="878">
        <f>SUM(FJ14:FK14)</f>
        <v>0</v>
      </c>
      <c r="FJ14" s="859">
        <f t="shared" si="184"/>
        <v>0</v>
      </c>
      <c r="FK14" s="858">
        <f t="shared" si="184"/>
        <v>0</v>
      </c>
      <c r="FL14" s="1369">
        <f>SUM(FM14:FN14)</f>
        <v>0</v>
      </c>
      <c r="FM14" s="859">
        <f>[1]Субсидия_факт!PO18</f>
        <v>0</v>
      </c>
      <c r="FN14" s="858">
        <f>[1]Субсидия_факт!PU18</f>
        <v>0</v>
      </c>
      <c r="FO14" s="878">
        <f>SUM(FP14:FQ14)</f>
        <v>0</v>
      </c>
      <c r="FP14" s="859"/>
      <c r="FQ14" s="860"/>
      <c r="FR14" s="1013">
        <f t="shared" si="49"/>
        <v>0</v>
      </c>
      <c r="FS14" s="862">
        <f>[1]Субсидия_факт!EP18</f>
        <v>0</v>
      </c>
      <c r="FT14" s="863">
        <f>[1]Субсидия_факт!ER18</f>
        <v>0</v>
      </c>
      <c r="FU14" s="1371">
        <f>SUM(FV14:FW14)</f>
        <v>0</v>
      </c>
      <c r="FV14" s="862"/>
      <c r="FW14" s="863"/>
      <c r="FX14" s="939">
        <f>SUM(FY14:FZ14)</f>
        <v>10640836.840000004</v>
      </c>
      <c r="FY14" s="908">
        <f>[1]Субсидия_факт!JN18</f>
        <v>10640836.840000004</v>
      </c>
      <c r="FZ14" s="909">
        <f>[1]Субсидия_факт!JP18</f>
        <v>0</v>
      </c>
      <c r="GA14" s="939">
        <f>SUM(GB14:GC14)</f>
        <v>0</v>
      </c>
      <c r="GB14" s="908"/>
      <c r="GC14" s="909"/>
      <c r="GD14" s="1233">
        <f>SUM(GE14:GF14)</f>
        <v>0</v>
      </c>
      <c r="GE14" s="859">
        <f>[1]Субсидия_факт!JR18</f>
        <v>0</v>
      </c>
      <c r="GF14" s="860">
        <f>[1]Субсидия_факт!JV18</f>
        <v>0</v>
      </c>
      <c r="GG14" s="1372">
        <f>SUM(GH14:GI14)</f>
        <v>0</v>
      </c>
      <c r="GH14" s="862"/>
      <c r="GI14" s="889"/>
      <c r="GJ14" s="1373">
        <f>GD14-GL14</f>
        <v>0</v>
      </c>
      <c r="GK14" s="879">
        <f>GG14-GM14</f>
        <v>0</v>
      </c>
      <c r="GL14" s="1390">
        <f>GD14</f>
        <v>0</v>
      </c>
      <c r="GM14" s="879">
        <f>GG14</f>
        <v>0</v>
      </c>
      <c r="GN14" s="1371">
        <f>SUM(GO14:GQ14)</f>
        <v>0</v>
      </c>
      <c r="GO14" s="862">
        <f>[1]Субсидия_факт!KL18</f>
        <v>0</v>
      </c>
      <c r="GP14" s="863">
        <f>[1]Субсидия_факт!KN18</f>
        <v>0</v>
      </c>
      <c r="GQ14" s="862">
        <f>[1]Субсидия_факт!KP18</f>
        <v>0</v>
      </c>
      <c r="GR14" s="897">
        <f>SUM(GS14:GU14)</f>
        <v>0</v>
      </c>
      <c r="GS14" s="862"/>
      <c r="GT14" s="863"/>
      <c r="GU14" s="866"/>
      <c r="GV14" s="1372">
        <f>GW14</f>
        <v>0</v>
      </c>
      <c r="GW14" s="862">
        <f>[1]Субсидия_факт!KR18</f>
        <v>0</v>
      </c>
      <c r="GX14" s="1372">
        <f>GY14</f>
        <v>0</v>
      </c>
      <c r="GY14" s="866"/>
      <c r="GZ14" s="1373">
        <f>GV14-HB14</f>
        <v>0</v>
      </c>
      <c r="HA14" s="1373">
        <f>GX14-HC14</f>
        <v>0</v>
      </c>
      <c r="HB14" s="1373">
        <f>GV14</f>
        <v>0</v>
      </c>
      <c r="HC14" s="1373">
        <f>GX14</f>
        <v>0</v>
      </c>
      <c r="HD14" s="939">
        <f>SUM(HE14:HF14)</f>
        <v>0</v>
      </c>
      <c r="HE14" s="862">
        <f>[1]Субсидия_факт!KV18</f>
        <v>0</v>
      </c>
      <c r="HF14" s="863">
        <f>[1]Субсидия_факт!KX18</f>
        <v>0</v>
      </c>
      <c r="HG14" s="1050">
        <f>SUM(HH14:HI14)</f>
        <v>0</v>
      </c>
      <c r="HH14" s="862"/>
      <c r="HI14" s="863"/>
      <c r="HJ14" s="939">
        <f>SUM(HK14:HL14)</f>
        <v>0</v>
      </c>
      <c r="HK14" s="908"/>
      <c r="HL14" s="909"/>
      <c r="HM14" s="1014">
        <f>SUM(HN14:HO14)</f>
        <v>0</v>
      </c>
      <c r="HN14" s="908"/>
      <c r="HO14" s="909"/>
      <c r="HP14" s="939">
        <f>SUM(HQ14:HR14)</f>
        <v>0</v>
      </c>
      <c r="HQ14" s="862">
        <f>[1]Субсидия_факт!FV18</f>
        <v>0</v>
      </c>
      <c r="HR14" s="863">
        <f>[1]Субсидия_факт!FZ18</f>
        <v>0</v>
      </c>
      <c r="HS14" s="1050">
        <f>SUM(HT14:HU14)</f>
        <v>0</v>
      </c>
      <c r="HT14" s="862"/>
      <c r="HU14" s="863"/>
      <c r="HV14" s="1369">
        <f>SUM(HW14:HX14)</f>
        <v>0</v>
      </c>
      <c r="HW14" s="859">
        <f t="shared" si="185"/>
        <v>0</v>
      </c>
      <c r="HX14" s="858">
        <f t="shared" si="185"/>
        <v>0</v>
      </c>
      <c r="HY14" s="878">
        <f>SUM(HZ14:IA14)</f>
        <v>0</v>
      </c>
      <c r="HZ14" s="859">
        <f t="shared" si="186"/>
        <v>0</v>
      </c>
      <c r="IA14" s="858">
        <f t="shared" si="186"/>
        <v>0</v>
      </c>
      <c r="IB14" s="1369">
        <f>SUM(IC14:ID14)</f>
        <v>0</v>
      </c>
      <c r="IC14" s="859">
        <f>[1]Субсидия_факт!FX18</f>
        <v>0</v>
      </c>
      <c r="ID14" s="858">
        <f>[1]Субсидия_факт!GB18</f>
        <v>0</v>
      </c>
      <c r="IE14" s="878">
        <f>SUM(IF14:IG14)</f>
        <v>0</v>
      </c>
      <c r="IF14" s="859">
        <f t="shared" si="187"/>
        <v>0</v>
      </c>
      <c r="IG14" s="860">
        <f t="shared" si="188"/>
        <v>0</v>
      </c>
      <c r="IH14" s="939">
        <f>SUM(II14:IJ14)</f>
        <v>0</v>
      </c>
      <c r="II14" s="908">
        <f>[1]Субсидия_факт!ED18</f>
        <v>0</v>
      </c>
      <c r="IJ14" s="909">
        <f>[1]Субсидия_факт!EF18</f>
        <v>0</v>
      </c>
      <c r="IK14" s="1014">
        <f>SUM(IL14:IM14)</f>
        <v>0</v>
      </c>
      <c r="IL14" s="908"/>
      <c r="IM14" s="909"/>
      <c r="IN14" s="1233">
        <f>SUM(IO14:IP14)</f>
        <v>0</v>
      </c>
      <c r="IO14" s="859">
        <f>[1]Субсидия_факт!EH18</f>
        <v>0</v>
      </c>
      <c r="IP14" s="860">
        <f>[1]Субсидия_факт!EL18</f>
        <v>0</v>
      </c>
      <c r="IQ14" s="1392">
        <f>SUM(IR14:IS14)</f>
        <v>0</v>
      </c>
      <c r="IR14" s="862"/>
      <c r="IS14" s="889"/>
      <c r="IT14" s="1373">
        <f>IN14-IV14</f>
        <v>0</v>
      </c>
      <c r="IU14" s="1373">
        <f>IQ14-IW14</f>
        <v>0</v>
      </c>
      <c r="IV14" s="1373">
        <f>IN14</f>
        <v>0</v>
      </c>
      <c r="IW14" s="879">
        <f>IQ14</f>
        <v>0</v>
      </c>
      <c r="IX14" s="897">
        <f>SUM(IY14:IZ14)</f>
        <v>0</v>
      </c>
      <c r="IY14" s="862">
        <f>[1]Субсидия_факт!BX18</f>
        <v>0</v>
      </c>
      <c r="IZ14" s="863">
        <f>[1]Субсидия_факт!BZ18</f>
        <v>0</v>
      </c>
      <c r="JA14" s="1050">
        <f>SUM(JB14:JC14)</f>
        <v>0</v>
      </c>
      <c r="JB14" s="862"/>
      <c r="JC14" s="863"/>
      <c r="JD14" s="1050">
        <f>SUM(JE14:JF14)</f>
        <v>0</v>
      </c>
      <c r="JE14" s="862">
        <f>[1]Субсидия_факт!ET18</f>
        <v>0</v>
      </c>
      <c r="JF14" s="863">
        <f>[1]Субсидия_факт!EV18</f>
        <v>0</v>
      </c>
      <c r="JG14" s="1050">
        <f>SUM(JH14:JI14)</f>
        <v>0</v>
      </c>
      <c r="JH14" s="862"/>
      <c r="JI14" s="863"/>
      <c r="JJ14" s="1003">
        <f>SUM(JK14:JL14)</f>
        <v>0</v>
      </c>
      <c r="JK14" s="859">
        <f>[1]Субсидия_факт!EX18</f>
        <v>0</v>
      </c>
      <c r="JL14" s="858">
        <f>[1]Субсидия_факт!FD18</f>
        <v>0</v>
      </c>
      <c r="JM14" s="1003">
        <f>SUM(JN14:JO14)</f>
        <v>0</v>
      </c>
      <c r="JN14" s="859"/>
      <c r="JO14" s="860"/>
      <c r="JP14" s="1003">
        <f>SUM(JQ14:JR14)</f>
        <v>0</v>
      </c>
      <c r="JQ14" s="859">
        <f>[1]Субсидия_факт!EZ18</f>
        <v>0</v>
      </c>
      <c r="JR14" s="860">
        <f>[1]Субсидия_факт!FF18</f>
        <v>0</v>
      </c>
      <c r="JS14" s="1003">
        <f>SUM(JT14:JU14)</f>
        <v>0</v>
      </c>
      <c r="JT14" s="850"/>
      <c r="JU14" s="864"/>
      <c r="JV14" s="1003">
        <f>SUM(JW14:JX14)</f>
        <v>-122521.57</v>
      </c>
      <c r="JW14" s="851">
        <f>'Проверочная  таблица'!JQ14-'Проверочная  таблица'!KC14</f>
        <v>-31855.61</v>
      </c>
      <c r="JX14" s="860">
        <f>'Проверочная  таблица'!JR14-'Проверочная  таблица'!KD14</f>
        <v>-90665.96</v>
      </c>
      <c r="JY14" s="1368">
        <f>SUM(JZ14:KA14)</f>
        <v>0</v>
      </c>
      <c r="JZ14" s="850">
        <f>'Проверочная  таблица'!JT14-'Проверочная  таблица'!KF14</f>
        <v>0</v>
      </c>
      <c r="KA14" s="867">
        <f>'Проверочная  таблица'!JU14-'Проверочная  таблица'!KG14</f>
        <v>0</v>
      </c>
      <c r="KB14" s="1003">
        <f>SUM(KC14:KD14)</f>
        <v>122521.57</v>
      </c>
      <c r="KC14" s="859">
        <f>[1]Субсидия_факт!FB18</f>
        <v>31855.61</v>
      </c>
      <c r="KD14" s="858">
        <f>[1]Субсидия_факт!FH18</f>
        <v>90665.96</v>
      </c>
      <c r="KE14" s="878">
        <f>SUM(KF14:KG14)</f>
        <v>0</v>
      </c>
      <c r="KF14" s="859"/>
      <c r="KG14" s="860"/>
      <c r="KH14" s="1352">
        <f>SUM(KI14:KL14)</f>
        <v>646935.53</v>
      </c>
      <c r="KI14" s="850">
        <f>[1]Субсидия_факт!OD18</f>
        <v>233000</v>
      </c>
      <c r="KJ14" s="860">
        <f>[1]Субсидия_факт!OJ18</f>
        <v>327695.53000000003</v>
      </c>
      <c r="KK14" s="850">
        <f>[1]Субсидия_факт!OR18</f>
        <v>31352.35</v>
      </c>
      <c r="KL14" s="860">
        <f>[1]Субсидия_факт!OT18</f>
        <v>54887.65</v>
      </c>
      <c r="KM14" s="1352">
        <f>SUM(KN14:KQ14)</f>
        <v>0</v>
      </c>
      <c r="KN14" s="850"/>
      <c r="KO14" s="860"/>
      <c r="KP14" s="850"/>
      <c r="KQ14" s="860"/>
      <c r="KR14" s="1352">
        <f>SUM(KS14:KV14)</f>
        <v>31210</v>
      </c>
      <c r="KS14" s="885">
        <f>[1]Субсидия_факт!OF18</f>
        <v>31210</v>
      </c>
      <c r="KT14" s="863">
        <f>[1]Субсидия_факт!OL18</f>
        <v>0</v>
      </c>
      <c r="KU14" s="885"/>
      <c r="KV14" s="863"/>
      <c r="KW14" s="1352">
        <f>SUM(KX14:LA14)</f>
        <v>0</v>
      </c>
      <c r="KX14" s="850"/>
      <c r="KY14" s="860"/>
      <c r="KZ14" s="850"/>
      <c r="LA14" s="860"/>
      <c r="LB14" s="1354">
        <f>SUM(LC14:LD14)</f>
        <v>-23820</v>
      </c>
      <c r="LC14" s="885">
        <f t="shared" si="189"/>
        <v>-23820</v>
      </c>
      <c r="LD14" s="863">
        <f t="shared" si="189"/>
        <v>0</v>
      </c>
      <c r="LE14" s="1354">
        <f>SUM(LF14:LG14)</f>
        <v>0</v>
      </c>
      <c r="LF14" s="885">
        <f t="shared" si="190"/>
        <v>0</v>
      </c>
      <c r="LG14" s="863">
        <f t="shared" si="190"/>
        <v>0</v>
      </c>
      <c r="LH14" s="1354">
        <f>SUM(LI14:LJ14)</f>
        <v>55030</v>
      </c>
      <c r="LI14" s="859">
        <f>[1]Субсидия_факт!OH18</f>
        <v>55030</v>
      </c>
      <c r="LJ14" s="858">
        <f>[1]Субсидия_факт!ON18</f>
        <v>0</v>
      </c>
      <c r="LK14" s="1354">
        <f>SUM(LL14:LM14)</f>
        <v>0</v>
      </c>
      <c r="LL14" s="851"/>
      <c r="LM14" s="860"/>
      <c r="LN14" s="1050">
        <f>SUM(LO14:LQ14)</f>
        <v>0</v>
      </c>
      <c r="LO14" s="865">
        <f>[1]Субсидия_факт!DP18</f>
        <v>0</v>
      </c>
      <c r="LP14" s="850">
        <f>[1]Субсидия_факт!CB18</f>
        <v>0</v>
      </c>
      <c r="LQ14" s="860">
        <f>[1]Субсидия_факт!CH18</f>
        <v>0</v>
      </c>
      <c r="LR14" s="1050">
        <f>SUM(LS14:LU14)</f>
        <v>0</v>
      </c>
      <c r="LS14" s="865"/>
      <c r="LT14" s="850"/>
      <c r="LU14" s="860"/>
      <c r="LV14" s="1050">
        <f>SUM(LW14:LY14)</f>
        <v>0</v>
      </c>
      <c r="LW14" s="865">
        <f>[1]Субсидия_факт!DR18</f>
        <v>0</v>
      </c>
      <c r="LX14" s="850">
        <f>[1]Субсидия_факт!CD18</f>
        <v>0</v>
      </c>
      <c r="LY14" s="860">
        <f>[1]Субсидия_факт!CJ18</f>
        <v>0</v>
      </c>
      <c r="LZ14" s="1050">
        <f>SUM(MA14:MC14)</f>
        <v>0</v>
      </c>
      <c r="MA14" s="865"/>
      <c r="MB14" s="850"/>
      <c r="MC14" s="858"/>
      <c r="MD14" s="879">
        <f>SUM(ME14:MG14)</f>
        <v>0</v>
      </c>
      <c r="ME14" s="862">
        <f>'Проверочная  таблица'!LW14-MM14</f>
        <v>0</v>
      </c>
      <c r="MF14" s="862">
        <f>'Проверочная  таблица'!LX14-MN14</f>
        <v>0</v>
      </c>
      <c r="MG14" s="863">
        <f>'Проверочная  таблица'!LY14-MO14</f>
        <v>0</v>
      </c>
      <c r="MH14" s="879">
        <f>SUM(MI14:MK14)</f>
        <v>0</v>
      </c>
      <c r="MI14" s="862">
        <f>'Проверочная  таблица'!MA14-MQ14</f>
        <v>0</v>
      </c>
      <c r="MJ14" s="862">
        <f>'Проверочная  таблица'!MB14-MR14</f>
        <v>0</v>
      </c>
      <c r="MK14" s="863">
        <f>'Проверочная  таблица'!MC14-MS14</f>
        <v>0</v>
      </c>
      <c r="ML14" s="879">
        <f>SUM(MM14:MO14)</f>
        <v>0</v>
      </c>
      <c r="MM14" s="850">
        <f>[1]Субсидия_факт!DT18</f>
        <v>0</v>
      </c>
      <c r="MN14" s="850">
        <f>[1]Субсидия_факт!CF18</f>
        <v>0</v>
      </c>
      <c r="MO14" s="860">
        <f>[1]Субсидия_факт!CL18</f>
        <v>0</v>
      </c>
      <c r="MP14" s="879">
        <f>SUM(MQ14:MS14)</f>
        <v>0</v>
      </c>
      <c r="MQ14" s="850"/>
      <c r="MR14" s="850"/>
      <c r="MS14" s="860"/>
      <c r="MT14" s="1360">
        <f>SUM(MU14:NA14)</f>
        <v>122521.57</v>
      </c>
      <c r="MU14" s="850">
        <f>[1]Субсидия_факт!CN18</f>
        <v>0</v>
      </c>
      <c r="MV14" s="858">
        <f>[1]Субсидия_факт!CP18</f>
        <v>0</v>
      </c>
      <c r="MW14" s="862">
        <f>[1]Субсидия_факт!CR18</f>
        <v>0</v>
      </c>
      <c r="MX14" s="863">
        <f>[1]Субсидия_факт!CT18</f>
        <v>0</v>
      </c>
      <c r="MY14" s="851">
        <f>[1]Субсидия_факт!DV18</f>
        <v>0</v>
      </c>
      <c r="MZ14" s="859">
        <f>[1]Субсидия_факт!FJ18</f>
        <v>31855.61</v>
      </c>
      <c r="NA14" s="858">
        <f>[1]Субсидия_факт!FP18</f>
        <v>90665.96</v>
      </c>
      <c r="NB14" s="1003">
        <f>SUM(NC14:NI14)</f>
        <v>122521.57</v>
      </c>
      <c r="NC14" s="850"/>
      <c r="ND14" s="860"/>
      <c r="NE14" s="866"/>
      <c r="NF14" s="890"/>
      <c r="NG14" s="850"/>
      <c r="NH14" s="850">
        <f t="shared" si="100"/>
        <v>31855.61</v>
      </c>
      <c r="NI14" s="860">
        <f t="shared" si="100"/>
        <v>90665.96</v>
      </c>
      <c r="NJ14" s="1003">
        <f>SUM(NK14:NL14)</f>
        <v>0</v>
      </c>
      <c r="NK14" s="859">
        <f>[1]Субсидия_факт!FL18</f>
        <v>0</v>
      </c>
      <c r="NL14" s="858">
        <f>[1]Субсидия_факт!FR18</f>
        <v>0</v>
      </c>
      <c r="NM14" s="1003">
        <f>SUM(NN14:NO14)</f>
        <v>0</v>
      </c>
      <c r="NN14" s="851"/>
      <c r="NO14" s="860"/>
      <c r="NP14" s="878">
        <f>SUM(NQ14:NR14)</f>
        <v>0</v>
      </c>
      <c r="NQ14" s="859">
        <f>'Проверочная  таблица'!NK14-NW14</f>
        <v>0</v>
      </c>
      <c r="NR14" s="860">
        <f>'Проверочная  таблица'!NL14-NX14</f>
        <v>0</v>
      </c>
      <c r="NS14" s="878">
        <f>SUM(NT14:NU14)</f>
        <v>0</v>
      </c>
      <c r="NT14" s="850">
        <f>'Проверочная  таблица'!NN14-NZ14</f>
        <v>0</v>
      </c>
      <c r="NU14" s="867">
        <f>'Проверочная  таблица'!NO14-OA14</f>
        <v>0</v>
      </c>
      <c r="NV14" s="878">
        <f>SUM(NW14:NX14)</f>
        <v>0</v>
      </c>
      <c r="NW14" s="859">
        <f>[1]Субсидия_факт!FN18</f>
        <v>0</v>
      </c>
      <c r="NX14" s="858">
        <f>[1]Субсидия_факт!FT18</f>
        <v>0</v>
      </c>
      <c r="NY14" s="878">
        <f>SUM(NZ14:OA14)</f>
        <v>0</v>
      </c>
      <c r="NZ14" s="850"/>
      <c r="OA14" s="860"/>
      <c r="OB14" s="1012">
        <f>SUM(OC14:OE14)</f>
        <v>0</v>
      </c>
      <c r="OC14" s="859">
        <f>[1]Субсидия_факт!AR18</f>
        <v>0</v>
      </c>
      <c r="OD14" s="858">
        <f>[1]Субсидия_факт!AT18</f>
        <v>0</v>
      </c>
      <c r="OE14" s="859">
        <f>[1]Субсидия_факт!AV18</f>
        <v>0</v>
      </c>
      <c r="OF14" s="1050">
        <f>SUM(OG14:OI14)</f>
        <v>0</v>
      </c>
      <c r="OG14" s="866"/>
      <c r="OH14" s="863"/>
      <c r="OI14" s="866"/>
      <c r="OJ14" s="1376">
        <f>SUM(OK14:OM14)</f>
        <v>0</v>
      </c>
      <c r="OK14" s="859">
        <f>[1]Субсидия_факт!GD18</f>
        <v>0</v>
      </c>
      <c r="OL14" s="858">
        <f>[1]Субсидия_факт!GJ18</f>
        <v>0</v>
      </c>
      <c r="OM14" s="866">
        <f>[1]Субсидия_факт!GP18</f>
        <v>0</v>
      </c>
      <c r="ON14" s="1376">
        <f>SUM(OO14:OQ14)</f>
        <v>0</v>
      </c>
      <c r="OO14" s="851"/>
      <c r="OP14" s="860"/>
      <c r="OQ14" s="850"/>
      <c r="OR14" s="1352">
        <f>SUM(OS14:OU14)</f>
        <v>0</v>
      </c>
      <c r="OS14" s="859">
        <f>[1]Субсидия_факт!GF18</f>
        <v>0</v>
      </c>
      <c r="OT14" s="858">
        <f>[1]Субсидия_факт!GL18</f>
        <v>0</v>
      </c>
      <c r="OU14" s="850">
        <f>[1]Субсидия_факт!GR18</f>
        <v>0</v>
      </c>
      <c r="OV14" s="1352">
        <f>SUM(OW14:OY14)</f>
        <v>0</v>
      </c>
      <c r="OW14" s="850"/>
      <c r="OX14" s="867"/>
      <c r="OY14" s="850"/>
      <c r="OZ14" s="1354">
        <f>SUM(PA14:PC14)</f>
        <v>0</v>
      </c>
      <c r="PA14" s="885">
        <f>'Проверочная  таблица'!OS14-PI14</f>
        <v>0</v>
      </c>
      <c r="PB14" s="863">
        <f>'Проверочная  таблица'!OT14-PJ14</f>
        <v>0</v>
      </c>
      <c r="PC14" s="866">
        <f>'Проверочная  таблица'!OU14-PK14</f>
        <v>0</v>
      </c>
      <c r="PD14" s="1354">
        <f>SUM(PE14:PG14)</f>
        <v>0</v>
      </c>
      <c r="PE14" s="851">
        <f>'Проверочная  таблица'!OW14-PM14</f>
        <v>0</v>
      </c>
      <c r="PF14" s="860">
        <f>'Проверочная  таблица'!OX14-PN14</f>
        <v>0</v>
      </c>
      <c r="PG14" s="850">
        <f>'Проверочная  таблица'!OY14-PO14</f>
        <v>0</v>
      </c>
      <c r="PH14" s="1354">
        <f>SUM(PI14:PK14)</f>
        <v>0</v>
      </c>
      <c r="PI14" s="859">
        <f>[1]Субсидия_факт!GH18</f>
        <v>0</v>
      </c>
      <c r="PJ14" s="858">
        <f>[1]Субсидия_факт!GN18</f>
        <v>0</v>
      </c>
      <c r="PK14" s="859">
        <f>[1]Субсидия_факт!GT18</f>
        <v>0</v>
      </c>
      <c r="PL14" s="1354">
        <f>SUM(PM14:PO14)</f>
        <v>0</v>
      </c>
      <c r="PM14" s="851">
        <f t="shared" si="191"/>
        <v>0</v>
      </c>
      <c r="PN14" s="860">
        <f t="shared" si="192"/>
        <v>0</v>
      </c>
      <c r="PO14" s="859"/>
      <c r="PP14" s="1003">
        <f t="shared" si="193"/>
        <v>0</v>
      </c>
      <c r="PQ14" s="862">
        <f>[1]Субсидия_факт!JB18</f>
        <v>0</v>
      </c>
      <c r="PR14" s="863">
        <f>[1]Субсидия_факт!JH18</f>
        <v>0</v>
      </c>
      <c r="PS14" s="862"/>
      <c r="PT14" s="863"/>
      <c r="PU14" s="1003">
        <f t="shared" si="194"/>
        <v>0</v>
      </c>
      <c r="PV14" s="866"/>
      <c r="PW14" s="890"/>
      <c r="PX14" s="866"/>
      <c r="PY14" s="890"/>
      <c r="PZ14" s="1050">
        <f>SUM(QA14:QB14)</f>
        <v>0</v>
      </c>
      <c r="QA14" s="862">
        <f>[1]Субсидия_факт!JD18</f>
        <v>0</v>
      </c>
      <c r="QB14" s="863">
        <f>[1]Субсидия_факт!JJ18</f>
        <v>0</v>
      </c>
      <c r="QC14" s="1391">
        <f>SUM(QD14:QE14)</f>
        <v>0</v>
      </c>
      <c r="QD14" s="866"/>
      <c r="QE14" s="890"/>
      <c r="QF14" s="1397">
        <f>SUM(QG14:QH14)</f>
        <v>0</v>
      </c>
      <c r="QG14" s="866">
        <f t="shared" si="195"/>
        <v>0</v>
      </c>
      <c r="QH14" s="863">
        <f t="shared" si="195"/>
        <v>0</v>
      </c>
      <c r="QI14" s="1373">
        <f>SUM(QJ14:QK14)</f>
        <v>0</v>
      </c>
      <c r="QJ14" s="862">
        <f t="shared" si="196"/>
        <v>0</v>
      </c>
      <c r="QK14" s="863">
        <f t="shared" si="196"/>
        <v>0</v>
      </c>
      <c r="QL14" s="1373">
        <f>SUM(QM14:QN14)</f>
        <v>0</v>
      </c>
      <c r="QM14" s="862">
        <f>[1]Субсидия_факт!JF18</f>
        <v>0</v>
      </c>
      <c r="QN14" s="863">
        <f>[1]Субсидия_факт!JL18</f>
        <v>0</v>
      </c>
      <c r="QO14" s="879">
        <f>SUM(QP14:QQ14)</f>
        <v>0</v>
      </c>
      <c r="QP14" s="866"/>
      <c r="QQ14" s="890"/>
      <c r="QR14" s="939">
        <f>SUM(QS14:QT14)</f>
        <v>0</v>
      </c>
      <c r="QS14" s="862">
        <f>[1]Субсидия_факт!CV18</f>
        <v>0</v>
      </c>
      <c r="QT14" s="863">
        <f>[1]Субсидия_факт!CX18</f>
        <v>0</v>
      </c>
      <c r="QU14" s="1050">
        <f>SUM(QV14:QW14)</f>
        <v>0</v>
      </c>
      <c r="QV14" s="862"/>
      <c r="QW14" s="863"/>
      <c r="QX14" s="897">
        <f>SUM(QY14:QZ14)</f>
        <v>0</v>
      </c>
      <c r="QY14" s="862">
        <f>[1]Субсидия_факт!CZ18</f>
        <v>0</v>
      </c>
      <c r="QZ14" s="863">
        <f>[1]Субсидия_факт!DF18</f>
        <v>0</v>
      </c>
      <c r="RA14" s="1050">
        <f>SUM(RB14:RC14)</f>
        <v>0</v>
      </c>
      <c r="RB14" s="862"/>
      <c r="RC14" s="863"/>
      <c r="RD14" s="897">
        <f t="shared" si="122"/>
        <v>0</v>
      </c>
      <c r="RE14" s="862">
        <f>[1]Субсидия_факт!DB18</f>
        <v>0</v>
      </c>
      <c r="RF14" s="863">
        <f>[1]Субсидия_факт!DH18</f>
        <v>0</v>
      </c>
      <c r="RG14" s="1050">
        <f>SUM(RH14:RI14)</f>
        <v>0</v>
      </c>
      <c r="RH14" s="862"/>
      <c r="RI14" s="863"/>
      <c r="RJ14" s="1373">
        <f>SUM(RK14:RL14)</f>
        <v>0</v>
      </c>
      <c r="RK14" s="862">
        <f t="shared" si="197"/>
        <v>0</v>
      </c>
      <c r="RL14" s="863">
        <f t="shared" si="197"/>
        <v>0</v>
      </c>
      <c r="RM14" s="879">
        <f>SUM(RN14:RO14)</f>
        <v>0</v>
      </c>
      <c r="RN14" s="862">
        <f t="shared" si="198"/>
        <v>0</v>
      </c>
      <c r="RO14" s="863">
        <f t="shared" si="198"/>
        <v>0</v>
      </c>
      <c r="RP14" s="897">
        <f t="shared" si="128"/>
        <v>0</v>
      </c>
      <c r="RQ14" s="862">
        <f>[1]Субсидия_факт!DD18</f>
        <v>0</v>
      </c>
      <c r="RR14" s="863">
        <f>[1]Субсидия_факт!DJ18</f>
        <v>0</v>
      </c>
      <c r="RS14" s="879">
        <f>SUM(RT14:RU14)</f>
        <v>0</v>
      </c>
      <c r="RT14" s="862"/>
      <c r="RU14" s="863"/>
      <c r="RV14" s="897">
        <f>SUM(RW14:RX14)</f>
        <v>0</v>
      </c>
      <c r="RW14" s="862">
        <f>[1]Субсидия_факт!DL18</f>
        <v>0</v>
      </c>
      <c r="RX14" s="863">
        <f>[1]Субсидия_факт!DN18</f>
        <v>0</v>
      </c>
      <c r="RY14" s="1391">
        <f>SUM(RZ14:SA14)</f>
        <v>0</v>
      </c>
      <c r="RZ14" s="885"/>
      <c r="SA14" s="889"/>
      <c r="SB14" s="1050">
        <f>SUM(SC14:SE14)</f>
        <v>0</v>
      </c>
      <c r="SC14" s="859">
        <f>[1]Субсидия_факт!BJ18</f>
        <v>0</v>
      </c>
      <c r="SD14" s="862">
        <f>[1]Субсидия_факт!BF18</f>
        <v>0</v>
      </c>
      <c r="SE14" s="889">
        <f>[1]Субсидия_факт!BH18</f>
        <v>0</v>
      </c>
      <c r="SF14" s="1050">
        <f>SUM(SG14:SI14)</f>
        <v>0</v>
      </c>
      <c r="SG14" s="891"/>
      <c r="SH14" s="885"/>
      <c r="SI14" s="889"/>
      <c r="SJ14" s="897">
        <f t="shared" si="133"/>
        <v>0</v>
      </c>
      <c r="SK14" s="862">
        <f>[1]Субсидия_факт!AD18</f>
        <v>0</v>
      </c>
      <c r="SL14" s="863">
        <f>[1]Субсидия_факт!AF18</f>
        <v>0</v>
      </c>
      <c r="SM14" s="1050">
        <f>SUM(SN14:SO14)</f>
        <v>0</v>
      </c>
      <c r="SN14" s="885"/>
      <c r="SO14" s="889"/>
      <c r="SP14" s="897">
        <f>SUM(SQ14:SV14)</f>
        <v>212816736.84</v>
      </c>
      <c r="SQ14" s="862">
        <f>[1]Субсидия_факт!ID18</f>
        <v>0</v>
      </c>
      <c r="SR14" s="863">
        <f>[1]Субсидия_факт!IJ18</f>
        <v>0</v>
      </c>
      <c r="SS14" s="885">
        <f>[1]Субсидия_факт!IP18</f>
        <v>0</v>
      </c>
      <c r="ST14" s="863">
        <f>[1]Субсидия_факт!IV18</f>
        <v>0</v>
      </c>
      <c r="SU14" s="1123">
        <f>[1]Субсидия_факт!JZ18</f>
        <v>10640836.840000004</v>
      </c>
      <c r="SV14" s="889">
        <f>[1]Субсидия_факт!KF18</f>
        <v>202175900</v>
      </c>
      <c r="SW14" s="1050">
        <f>SUM(SX14:TC14)</f>
        <v>75705871.529999986</v>
      </c>
      <c r="SX14" s="1244"/>
      <c r="SY14" s="890"/>
      <c r="SZ14" s="1244"/>
      <c r="TA14" s="890"/>
      <c r="TB14" s="1123">
        <v>3785293.57</v>
      </c>
      <c r="TC14" s="889">
        <v>71920577.959999993</v>
      </c>
      <c r="TD14" s="897">
        <f>SUM(TE14:TJ14)</f>
        <v>0</v>
      </c>
      <c r="TE14" s="862">
        <f>[1]Субсидия_факт!IF18</f>
        <v>0</v>
      </c>
      <c r="TF14" s="863">
        <f>[1]Субсидия_факт!IL18</f>
        <v>0</v>
      </c>
      <c r="TG14" s="885">
        <f>[1]Субсидия_факт!IR18</f>
        <v>0</v>
      </c>
      <c r="TH14" s="863">
        <f>[1]Субсидия_факт!IX18</f>
        <v>0</v>
      </c>
      <c r="TI14" s="885">
        <f>[1]Субсидия_факт!KB18</f>
        <v>0</v>
      </c>
      <c r="TJ14" s="863">
        <f>[1]Субсидия_факт!KH18</f>
        <v>0</v>
      </c>
      <c r="TK14" s="1050">
        <f>SUM(TL14:TQ14)</f>
        <v>0</v>
      </c>
      <c r="TL14" s="866"/>
      <c r="TM14" s="890"/>
      <c r="TN14" s="1123"/>
      <c r="TO14" s="890"/>
      <c r="TP14" s="866"/>
      <c r="TQ14" s="890"/>
      <c r="TR14" s="879">
        <f>SUM(TS14:TX14)</f>
        <v>0</v>
      </c>
      <c r="TS14" s="862">
        <f t="shared" si="199"/>
        <v>0</v>
      </c>
      <c r="TT14" s="863">
        <f t="shared" si="199"/>
        <v>0</v>
      </c>
      <c r="TU14" s="862">
        <f t="shared" si="199"/>
        <v>0</v>
      </c>
      <c r="TV14" s="863">
        <f t="shared" si="199"/>
        <v>0</v>
      </c>
      <c r="TW14" s="885">
        <f t="shared" si="199"/>
        <v>0</v>
      </c>
      <c r="TX14" s="863">
        <f t="shared" si="199"/>
        <v>0</v>
      </c>
      <c r="TY14" s="879">
        <f>SUM(TZ14:UE14)</f>
        <v>0</v>
      </c>
      <c r="TZ14" s="862">
        <f t="shared" si="200"/>
        <v>0</v>
      </c>
      <c r="UA14" s="863">
        <f t="shared" si="200"/>
        <v>0</v>
      </c>
      <c r="UB14" s="862">
        <f t="shared" si="200"/>
        <v>0</v>
      </c>
      <c r="UC14" s="863">
        <f t="shared" si="200"/>
        <v>0</v>
      </c>
      <c r="UD14" s="885">
        <f t="shared" si="200"/>
        <v>0</v>
      </c>
      <c r="UE14" s="863">
        <f t="shared" si="200"/>
        <v>0</v>
      </c>
      <c r="UF14" s="1373">
        <f>SUM(UG14:UL14)</f>
        <v>0</v>
      </c>
      <c r="UG14" s="862">
        <f>[1]Субсидия_факт!IH18</f>
        <v>0</v>
      </c>
      <c r="UH14" s="863">
        <f>[1]Субсидия_факт!IN18</f>
        <v>0</v>
      </c>
      <c r="UI14" s="885">
        <f>[1]Субсидия_факт!IT18</f>
        <v>0</v>
      </c>
      <c r="UJ14" s="863">
        <f>[1]Субсидия_факт!IZ18</f>
        <v>0</v>
      </c>
      <c r="UK14" s="885">
        <f>[1]Субсидия_факт!KD18</f>
        <v>0</v>
      </c>
      <c r="UL14" s="863">
        <f>[1]Субсидия_факт!KJ18</f>
        <v>0</v>
      </c>
      <c r="UM14" s="879">
        <f>SUM(UN14:US14)</f>
        <v>0</v>
      </c>
      <c r="UN14" s="1123"/>
      <c r="UO14" s="890"/>
      <c r="UP14" s="1123"/>
      <c r="UQ14" s="890"/>
      <c r="UR14" s="1123"/>
      <c r="US14" s="890"/>
      <c r="UT14" s="1050">
        <f>'Прочая  субсидия_МР  и  ГО'!B10</f>
        <v>49130268.590000004</v>
      </c>
      <c r="UU14" s="1050">
        <f>'Прочая  субсидия_МР  и  ГО'!C10</f>
        <v>11317832.640000001</v>
      </c>
      <c r="UV14" s="1371">
        <f>'Прочая  субсидия_БП'!B10</f>
        <v>0</v>
      </c>
      <c r="UW14" s="897">
        <f>'Прочая  субсидия_БП'!C10</f>
        <v>0</v>
      </c>
      <c r="UX14" s="1395">
        <f>'Прочая  субсидия_БП'!D10</f>
        <v>0</v>
      </c>
      <c r="UY14" s="1386">
        <f>'Прочая  субсидия_БП'!E10</f>
        <v>0</v>
      </c>
      <c r="UZ14" s="1387">
        <f>'Прочая  субсидия_БП'!F10</f>
        <v>0</v>
      </c>
      <c r="VA14" s="1395">
        <f>'Прочая  субсидия_БП'!G10</f>
        <v>0</v>
      </c>
      <c r="VB14" s="897">
        <f>SUM(VC14:VD14)</f>
        <v>284893860.46999997</v>
      </c>
      <c r="VC14" s="866">
        <f>'Проверочная  таблица'!WE14+'Проверочная  таблица'!VH14+'Проверочная  таблица'!VJ14+VY14</f>
        <v>277719595.63</v>
      </c>
      <c r="VD14" s="891">
        <f>'Проверочная  таблица'!WF14+'Проверочная  таблица'!VN14+'Проверочная  таблица'!VT14+'Проверочная  таблица'!VP14+'Проверочная  таблица'!VR14+VV14+VZ14+VL14</f>
        <v>7174264.8399999999</v>
      </c>
      <c r="VE14" s="1050">
        <f>SUM(VF14:VG14)</f>
        <v>214075601.50999999</v>
      </c>
      <c r="VF14" s="866">
        <f>'Проверочная  таблица'!WH14+'Проверочная  таблица'!VI14+'Проверочная  таблица'!VK14+WB14</f>
        <v>210192947.16</v>
      </c>
      <c r="VG14" s="891">
        <f>'Проверочная  таблица'!WI14+'Проверочная  таблица'!VO14+'Проверочная  таблица'!VU14+'Проверочная  таблица'!VQ14+'Проверочная  таблица'!VS14+VW14+WC14+VM14</f>
        <v>3882654.35</v>
      </c>
      <c r="VH14" s="1391">
        <f>'Субвенция  на  полномочия'!B10</f>
        <v>265847592.76999998</v>
      </c>
      <c r="VI14" s="1371">
        <f>'Субвенция  на  полномочия'!C10</f>
        <v>201460541.75</v>
      </c>
      <c r="VJ14" s="886">
        <f>[1]Субвенция_факт!M17*1000</f>
        <v>8414872</v>
      </c>
      <c r="VK14" s="892">
        <v>6400000</v>
      </c>
      <c r="VL14" s="886">
        <f>[1]Субвенция_факт!AE17*1000</f>
        <v>2029300</v>
      </c>
      <c r="VM14" s="892">
        <f>ВУС!E8</f>
        <v>349666.1</v>
      </c>
      <c r="VN14" s="886">
        <f>[1]Субвенция_факт!AF17*1000</f>
        <v>0</v>
      </c>
      <c r="VO14" s="892"/>
      <c r="VP14" s="1396">
        <f>[1]Субвенция_факт!AG17*1000</f>
        <v>0</v>
      </c>
      <c r="VQ14" s="893"/>
      <c r="VR14" s="888">
        <f>[1]Субвенция_факт!E17*1000</f>
        <v>0</v>
      </c>
      <c r="VS14" s="893"/>
      <c r="VT14" s="888">
        <f>[1]Субвенция_факт!F17*1000</f>
        <v>0</v>
      </c>
      <c r="VU14" s="893"/>
      <c r="VV14" s="887">
        <f>[1]Субвенция_факт!G17*1000</f>
        <v>0</v>
      </c>
      <c r="VW14" s="892"/>
      <c r="VX14" s="897">
        <f>SUM(VY14:VZ14)</f>
        <v>5844547.0700000003</v>
      </c>
      <c r="VY14" s="862">
        <f>[1]Субвенция_факт!P17*1000</f>
        <v>1519582.2300000004</v>
      </c>
      <c r="VZ14" s="863">
        <f>[1]Субвенция_факт!Q17*1000</f>
        <v>4324964.84</v>
      </c>
      <c r="WA14" s="1050">
        <f>SUM(WB14:WC14)</f>
        <v>3705405.41</v>
      </c>
      <c r="WB14" s="866">
        <v>963405.41</v>
      </c>
      <c r="WC14" s="894">
        <v>2742000</v>
      </c>
      <c r="WD14" s="1050">
        <f>SUM(WE14:WF14)</f>
        <v>2757548.63</v>
      </c>
      <c r="WE14" s="895">
        <f>[1]Субвенция_факт!X17*1000</f>
        <v>1937548.63</v>
      </c>
      <c r="WF14" s="896">
        <f>[1]Субвенция_факт!W17*1000</f>
        <v>820000</v>
      </c>
      <c r="WG14" s="1050">
        <f>SUM(WH14:WI14)</f>
        <v>2159988.25</v>
      </c>
      <c r="WH14" s="866">
        <v>1369000</v>
      </c>
      <c r="WI14" s="894">
        <v>790988.25</v>
      </c>
      <c r="WJ14" s="897">
        <f t="shared" si="201"/>
        <v>83883558.150000006</v>
      </c>
      <c r="WK14" s="1050">
        <f t="shared" si="202"/>
        <v>37969152.099999994</v>
      </c>
      <c r="WL14" s="1391">
        <f>SUM(WM14:WN14)</f>
        <v>0</v>
      </c>
      <c r="WM14" s="895"/>
      <c r="WN14" s="896">
        <f>'[1]Иные межбюджетные трансферты'!I12</f>
        <v>0</v>
      </c>
      <c r="WO14" s="1391">
        <f>SUM(WP14:WQ14)</f>
        <v>0</v>
      </c>
      <c r="WP14" s="895"/>
      <c r="WQ14" s="896"/>
      <c r="WR14" s="1391">
        <f>SUM(WS14:WT14)</f>
        <v>0</v>
      </c>
      <c r="WS14" s="895">
        <f>'[1]Иные межбюджетные трансферты'!AQ18</f>
        <v>0</v>
      </c>
      <c r="WT14" s="896">
        <f>'[1]Иные межбюджетные трансферты'!AS18</f>
        <v>0</v>
      </c>
      <c r="WU14" s="1391">
        <f>SUM(WV14:WW14)</f>
        <v>0</v>
      </c>
      <c r="WV14" s="895"/>
      <c r="WW14" s="896"/>
      <c r="WX14" s="1050">
        <f>SUM(WY14:WZ14)</f>
        <v>2156953.11</v>
      </c>
      <c r="WY14" s="895">
        <f>'[1]Иные межбюджетные трансферты'!AM18</f>
        <v>107847.66</v>
      </c>
      <c r="WZ14" s="896">
        <f>'[1]Иные межбюджетные трансферты'!AO18</f>
        <v>2049105.45</v>
      </c>
      <c r="XA14" s="1050">
        <f>SUM(XB14:XC14)</f>
        <v>1797458.38</v>
      </c>
      <c r="XB14" s="895">
        <v>89872.93</v>
      </c>
      <c r="XC14" s="896">
        <v>1707585.45</v>
      </c>
      <c r="XD14" s="1050">
        <f>SUM(XE14:XF14)</f>
        <v>21193552</v>
      </c>
      <c r="XE14" s="895">
        <f>'[1]Иные межбюджетные трансферты'!K18</f>
        <v>9704906</v>
      </c>
      <c r="XF14" s="896">
        <f>'[1]Иные межбюджетные трансферты'!M18</f>
        <v>11488646</v>
      </c>
      <c r="XG14" s="1050">
        <f>SUM(XH14:XI14)</f>
        <v>11488646</v>
      </c>
      <c r="XH14" s="882"/>
      <c r="XI14" s="896">
        <v>11488646</v>
      </c>
      <c r="XJ14" s="1050">
        <f>SUM(XK14:XK14)</f>
        <v>0</v>
      </c>
      <c r="XK14" s="885"/>
      <c r="XL14" s="1050">
        <f>SUM(XM14:XM14)</f>
        <v>0</v>
      </c>
      <c r="XM14" s="885"/>
      <c r="XN14" s="897">
        <f>SUM(XO14:XO14)</f>
        <v>0</v>
      </c>
      <c r="XO14" s="862">
        <f>'[1]Иные межбюджетные трансферты'!O18</f>
        <v>0</v>
      </c>
      <c r="XP14" s="1050">
        <f>SUM(XQ14:XQ14)</f>
        <v>0</v>
      </c>
      <c r="XQ14" s="866"/>
      <c r="XR14" s="1390">
        <f>XN14-XT14</f>
        <v>0</v>
      </c>
      <c r="XS14" s="879">
        <f>XP14-XU14</f>
        <v>0</v>
      </c>
      <c r="XT14" s="1390">
        <f>XN14</f>
        <v>0</v>
      </c>
      <c r="XU14" s="879">
        <f>XP14</f>
        <v>0</v>
      </c>
      <c r="XV14" s="1050">
        <f>SUM(XW14:YF14)</f>
        <v>60425205.38000001</v>
      </c>
      <c r="XW14" s="883">
        <f>'[1]Иные межбюджетные трансферты'!E18</f>
        <v>0</v>
      </c>
      <c r="XX14" s="895">
        <f>'[1]Иные межбюджетные трансферты'!G18</f>
        <v>27174991.600000001</v>
      </c>
      <c r="XY14" s="882">
        <f>'[1]Иные межбюджетные трансферты'!S18</f>
        <v>2001336.3</v>
      </c>
      <c r="XZ14" s="883">
        <f>'[1]Иные межбюджетные трансферты'!Y18</f>
        <v>0</v>
      </c>
      <c r="YA14" s="882">
        <f>'[1]Иные межбюджетные трансферты'!AA18</f>
        <v>0</v>
      </c>
      <c r="YB14" s="1275">
        <f>'[1]Иные межбюджетные трансферты'!AG18</f>
        <v>10661926</v>
      </c>
      <c r="YC14" s="882">
        <f>'[1]Иные межбюджетные трансферты'!AU18</f>
        <v>9267014</v>
      </c>
      <c r="YD14" s="862">
        <f>'[1]Иные межбюджетные трансферты'!BA18</f>
        <v>3213864.75</v>
      </c>
      <c r="YE14" s="882">
        <f>'[1]Иные межбюджетные трансферты'!BC18</f>
        <v>0</v>
      </c>
      <c r="YF14" s="1275">
        <f>'[1]Иные межбюджетные трансферты'!BE18</f>
        <v>8106072.7300000004</v>
      </c>
      <c r="YG14" s="1050">
        <f>SUM(YH14:YQ14)</f>
        <v>24683047.719999999</v>
      </c>
      <c r="YH14" s="882"/>
      <c r="YI14" s="882">
        <v>14575638.689999999</v>
      </c>
      <c r="YJ14" s="851">
        <v>2001336.3</v>
      </c>
      <c r="YK14" s="882"/>
      <c r="YL14" s="848">
        <f>YA14</f>
        <v>0</v>
      </c>
      <c r="YM14" s="848">
        <v>0</v>
      </c>
      <c r="YN14" s="848"/>
      <c r="YO14" s="848"/>
      <c r="YP14" s="848"/>
      <c r="YQ14" s="848">
        <v>8106072.7300000004</v>
      </c>
      <c r="YR14" s="1050">
        <f>SUM(YS14:YW14)</f>
        <v>107847.66</v>
      </c>
      <c r="YS14" s="895">
        <f>'[1]Иные межбюджетные трансферты'!U18</f>
        <v>0</v>
      </c>
      <c r="YT14" s="882">
        <f>'[1]Иные межбюджетные трансферты'!AC18</f>
        <v>0</v>
      </c>
      <c r="YU14" s="1275">
        <f>'[1]Иные межбюджетные трансферты'!AI18</f>
        <v>107847.66</v>
      </c>
      <c r="YV14" s="883">
        <f>'[1]Иные межбюджетные трансферты'!AW18</f>
        <v>0</v>
      </c>
      <c r="YW14" s="848">
        <f>'[1]Иные межбюджетные трансферты'!BG18</f>
        <v>0</v>
      </c>
      <c r="YX14" s="1050">
        <f>SUM(YY14:ZC14)</f>
        <v>0</v>
      </c>
      <c r="YY14" s="865"/>
      <c r="YZ14" s="865">
        <f>YT14</f>
        <v>0</v>
      </c>
      <c r="ZA14" s="865"/>
      <c r="ZB14" s="848"/>
      <c r="ZC14" s="848">
        <v>0</v>
      </c>
      <c r="ZD14" s="879">
        <f>SUM(ZE14:ZI14)</f>
        <v>107847.66</v>
      </c>
      <c r="ZE14" s="859">
        <f>'Проверочная  таблица'!YS14-ZQ14</f>
        <v>0</v>
      </c>
      <c r="ZF14" s="859">
        <f>'Проверочная  таблица'!YT14-ZR14</f>
        <v>0</v>
      </c>
      <c r="ZG14" s="859">
        <f>'Проверочная  таблица'!YU14-ZS14</f>
        <v>107847.66</v>
      </c>
      <c r="ZH14" s="859">
        <f>'Проверочная  таблица'!YV14-ZT14</f>
        <v>0</v>
      </c>
      <c r="ZI14" s="859">
        <f>'Проверочная  таблица'!YW14-ZU14</f>
        <v>0</v>
      </c>
      <c r="ZJ14" s="879">
        <f>SUM(ZK14:ZO14)</f>
        <v>0</v>
      </c>
      <c r="ZK14" s="859">
        <f>'Проверочная  таблица'!YY14-ZW14</f>
        <v>0</v>
      </c>
      <c r="ZL14" s="859">
        <f>'Проверочная  таблица'!YZ14-ZX14</f>
        <v>0</v>
      </c>
      <c r="ZM14" s="859">
        <f>'Проверочная  таблица'!ZA14-ZY14</f>
        <v>0</v>
      </c>
      <c r="ZN14" s="859">
        <f>'Проверочная  таблица'!ZB14-ZZ14</f>
        <v>0</v>
      </c>
      <c r="ZO14" s="859">
        <f>'Проверочная  таблица'!ZC14-AAA14</f>
        <v>0</v>
      </c>
      <c r="ZP14" s="879">
        <f>SUM(ZQ14:ZU14)</f>
        <v>0</v>
      </c>
      <c r="ZQ14" s="895">
        <f>'[1]Иные межбюджетные трансферты'!W18</f>
        <v>0</v>
      </c>
      <c r="ZR14" s="895">
        <f>'[1]Иные межбюджетные трансферты'!AE18</f>
        <v>0</v>
      </c>
      <c r="ZS14" s="882"/>
      <c r="ZT14" s="883">
        <f>'[1]Иные межбюджетные трансферты'!AY18</f>
        <v>0</v>
      </c>
      <c r="ZU14" s="848"/>
      <c r="ZV14" s="879">
        <f>SUM(ZW14:AAA14)</f>
        <v>0</v>
      </c>
      <c r="ZW14" s="865"/>
      <c r="ZX14" s="865">
        <f>YZ14</f>
        <v>0</v>
      </c>
      <c r="ZY14" s="865"/>
      <c r="ZZ14" s="848"/>
      <c r="AAA14" s="848"/>
      <c r="AAB14" s="1050">
        <f>AAD14+'Проверочная  таблица'!AAL14+AAH14+'Проверочная  таблица'!AAP14+AAJ14+'Проверочная  таблица'!AAR14</f>
        <v>0</v>
      </c>
      <c r="AAC14" s="1050">
        <f>AAE14+'Проверочная  таблица'!AAM14+AAI14+'Проверочная  таблица'!AAQ14+AAK14+'Проверочная  таблица'!AAS14</f>
        <v>0</v>
      </c>
      <c r="AAD14" s="897"/>
      <c r="AAE14" s="897"/>
      <c r="AAF14" s="897"/>
      <c r="AAG14" s="897"/>
      <c r="AAH14" s="1373">
        <f t="shared" si="203"/>
        <v>0</v>
      </c>
      <c r="AAI14" s="879">
        <f t="shared" si="203"/>
        <v>0</v>
      </c>
      <c r="AAJ14" s="898"/>
      <c r="AAK14" s="879"/>
      <c r="AAL14" s="897"/>
      <c r="AAM14" s="897"/>
      <c r="AAN14" s="897"/>
      <c r="AAO14" s="897"/>
      <c r="AAP14" s="1373">
        <f t="shared" si="204"/>
        <v>0</v>
      </c>
      <c r="AAQ14" s="879">
        <f t="shared" si="204"/>
        <v>0</v>
      </c>
      <c r="AAR14" s="879"/>
      <c r="AAS14" s="879"/>
      <c r="AAT14" s="1384">
        <f>'Проверочная  таблица'!AAL14+'Проверочная  таблица'!AAN14</f>
        <v>0</v>
      </c>
      <c r="AAU14" s="1384">
        <f>'Проверочная  таблица'!AAM14+'Проверочная  таблица'!AAO14</f>
        <v>0</v>
      </c>
    </row>
    <row r="15" spans="1:723" ht="20.45" customHeight="1" x14ac:dyDescent="0.25">
      <c r="A15" s="904" t="s">
        <v>1284</v>
      </c>
      <c r="B15" s="889">
        <f>D15+AN15+'Проверочная  таблица'!VB15+'Проверочная  таблица'!WJ15</f>
        <v>630826662.04000008</v>
      </c>
      <c r="C15" s="863">
        <f>E15+'Проверочная  таблица'!VE15+AO15+'Проверочная  таблица'!WK15</f>
        <v>400167587.78000003</v>
      </c>
      <c r="D15" s="1371">
        <f t="shared" si="174"/>
        <v>91097006</v>
      </c>
      <c r="E15" s="897">
        <f t="shared" si="1"/>
        <v>70428000</v>
      </c>
      <c r="F15" s="1376">
        <f>'[1]Дотация  из  ОБ_факт'!M21</f>
        <v>82697006</v>
      </c>
      <c r="G15" s="1385">
        <v>62028000</v>
      </c>
      <c r="H15" s="1376">
        <f>'[1]Дотация  из  ОБ_факт'!G21</f>
        <v>0</v>
      </c>
      <c r="I15" s="1385"/>
      <c r="J15" s="1386">
        <f t="shared" si="175"/>
        <v>0</v>
      </c>
      <c r="K15" s="1387">
        <f t="shared" si="175"/>
        <v>0</v>
      </c>
      <c r="L15" s="1386">
        <f>'[1]Дотация  из  ОБ_факт'!K21</f>
        <v>0</v>
      </c>
      <c r="M15" s="881"/>
      <c r="N15" s="1376">
        <f>'[1]Дотация  из  ОБ_факт'!Q21</f>
        <v>6900000</v>
      </c>
      <c r="O15" s="1385">
        <v>6900000</v>
      </c>
      <c r="P15" s="1376">
        <f>'[1]Дотация  из  ОБ_факт'!S21</f>
        <v>0</v>
      </c>
      <c r="Q15" s="1385"/>
      <c r="R15" s="1386">
        <f t="shared" si="176"/>
        <v>0</v>
      </c>
      <c r="S15" s="1387">
        <f t="shared" si="176"/>
        <v>0</v>
      </c>
      <c r="T15" s="1386">
        <f>'[1]Дотация  из  ОБ_факт'!W21</f>
        <v>0</v>
      </c>
      <c r="U15" s="881"/>
      <c r="V15" s="886">
        <f>SUM(W15:Y15)</f>
        <v>1500000</v>
      </c>
      <c r="W15" s="1388">
        <f>'[1]Дотация  из  ОБ_факт'!$AA$21</f>
        <v>300000</v>
      </c>
      <c r="X15" s="1389">
        <f>'[1]Дотация  из  ОБ_факт'!$AC$21</f>
        <v>1200000</v>
      </c>
      <c r="Y15" s="1389">
        <f>'[1]Дотация  из  ОБ_факт'!$AG$21</f>
        <v>0</v>
      </c>
      <c r="Z15" s="887">
        <f>SUM(AA15:AC15)</f>
        <v>1500000</v>
      </c>
      <c r="AA15" s="848">
        <f t="shared" si="177"/>
        <v>300000</v>
      </c>
      <c r="AB15" s="848">
        <f t="shared" si="177"/>
        <v>1200000</v>
      </c>
      <c r="AC15" s="882"/>
      <c r="AD15" s="886">
        <f>SUM(AE15:AF15)</f>
        <v>0</v>
      </c>
      <c r="AE15" s="1388">
        <f>'[1]Дотация  из  ОБ_факт'!$Y$21</f>
        <v>0</v>
      </c>
      <c r="AF15" s="1389">
        <f>'[1]Дотация  из  ОБ_факт'!$AE$21</f>
        <v>0</v>
      </c>
      <c r="AG15" s="886">
        <f>SUM(AH15:AI15)</f>
        <v>0</v>
      </c>
      <c r="AH15" s="1359">
        <f t="shared" si="178"/>
        <v>0</v>
      </c>
      <c r="AI15" s="848">
        <f t="shared" si="179"/>
        <v>0</v>
      </c>
      <c r="AJ15" s="1386">
        <f t="shared" si="8"/>
        <v>0</v>
      </c>
      <c r="AK15" s="1387">
        <f t="shared" si="180"/>
        <v>0</v>
      </c>
      <c r="AL15" s="1386">
        <f>'[1]Дотация  из  ОБ_факт'!AE21</f>
        <v>0</v>
      </c>
      <c r="AM15" s="884"/>
      <c r="AN15" s="1012">
        <f>'Проверочная  таблица'!UT15+'Проверочная  таблица'!UV15+BL15+BN15+BZ15+CB15+AZ15+BD15+'Проверочная  таблица'!MT15+'Проверочная  таблица'!NJ15+'Проверочная  таблица'!DT15+'Проверочная  таблица'!OB15+DL15+'Проверочная  таблица'!JJ15+'Проверочная  таблица'!JP15+'Проверочная  таблица'!OJ15+'Проверочная  таблица'!OR15+JD15+AP15+AV15+ET15+EZ15+CN15+SP15+DZ15+TD15+PZ15+EF15+EN15+LN15+LV15+SJ15+GN15+RV15+QX15+KH15+KR15+RD15+SB15+CH15+QR15+HD15+FX15+HJ15+HP15+FR15+DB15+PP15+BT15+IH15+IX15+GV15+GD15+IN15</f>
        <v>156003722.79000002</v>
      </c>
      <c r="AO15" s="1013">
        <f>'Проверочная  таблица'!UU15+'Проверочная  таблица'!UW15+BM15+BO15+CA15+CC15+BB15+BF15+'Проверочная  таблица'!NB15+'Проверочная  таблица'!NM15+'Проверочная  таблица'!DW15+'Проверочная  таблица'!OF15+DP15+'Проверочная  таблица'!JM15+'Проверочная  таблица'!JS15+'Проверочная  таблица'!ON15+'Проверочная  таблица'!OV15+JG15+AS15+AX15+EW15+FC15+CU15+SW15+EC15+TK15+QC15+EJ15+EQ15+LR15+LZ15+SM15+GR15+RY15+RA15+KM15+KW15+RG15+SF15+CK15+QU15+HG15+GA15+HM15+HS15+FU15+DE15+PU15+BW15+IK15+JA15+GX15+GG15+IQ15</f>
        <v>68684964.069999993</v>
      </c>
      <c r="AP15" s="1050">
        <f>SUM(AQ15:AR15)</f>
        <v>32821494.760000002</v>
      </c>
      <c r="AQ15" s="885">
        <f>[1]Субсидия_факт!HV23</f>
        <v>32821494.760000002</v>
      </c>
      <c r="AR15" s="866">
        <f>[1]Субсидия_факт!MR23</f>
        <v>0</v>
      </c>
      <c r="AS15" s="1050">
        <f>SUM(AT15:AU15)</f>
        <v>6603000</v>
      </c>
      <c r="AT15" s="866">
        <v>6603000</v>
      </c>
      <c r="AU15" s="885"/>
      <c r="AV15" s="1003">
        <f>SUM(AW15:AW15)</f>
        <v>0</v>
      </c>
      <c r="AW15" s="866">
        <f>[1]Субсидия_факт!MV23</f>
        <v>0</v>
      </c>
      <c r="AX15" s="1360">
        <f>SUM(AY15:AY15)</f>
        <v>0</v>
      </c>
      <c r="AY15" s="866"/>
      <c r="AZ15" s="897">
        <f>SUM(BA15:BA15)</f>
        <v>0</v>
      </c>
      <c r="BA15" s="866">
        <f>[1]Субсидия_факт!KZ23</f>
        <v>0</v>
      </c>
      <c r="BB15" s="1050">
        <f>SUM(BC15:BC15)</f>
        <v>0</v>
      </c>
      <c r="BC15" s="866"/>
      <c r="BD15" s="897">
        <f>SUM(BE15:BE15)</f>
        <v>0</v>
      </c>
      <c r="BE15" s="866">
        <f>[1]Субсидия_факт!LB23</f>
        <v>0</v>
      </c>
      <c r="BF15" s="1050">
        <f>SUM(BG15:BG15)</f>
        <v>0</v>
      </c>
      <c r="BG15" s="866"/>
      <c r="BH15" s="1029">
        <f>BD15-BJ15</f>
        <v>0</v>
      </c>
      <c r="BI15" s="1016">
        <f>BF15-BK15</f>
        <v>0</v>
      </c>
      <c r="BJ15" s="1027">
        <f>BD15</f>
        <v>0</v>
      </c>
      <c r="BK15" s="1029">
        <f>BF15</f>
        <v>0</v>
      </c>
      <c r="BL15" s="897">
        <f>[1]Субсидия_факт!GV23</f>
        <v>0</v>
      </c>
      <c r="BM15" s="886"/>
      <c r="BN15" s="1391">
        <f>[1]Субсидия_факт!GX23</f>
        <v>0</v>
      </c>
      <c r="BO15" s="887"/>
      <c r="BP15" s="1390">
        <f t="shared" si="181"/>
        <v>0</v>
      </c>
      <c r="BQ15" s="1373">
        <f t="shared" si="181"/>
        <v>0</v>
      </c>
      <c r="BR15" s="879">
        <f>[1]Субсидия_факт!GZ23</f>
        <v>0</v>
      </c>
      <c r="BS15" s="881"/>
      <c r="BT15" s="897">
        <f>SUM(BU15:BV15)</f>
        <v>32377641.370000001</v>
      </c>
      <c r="BU15" s="862">
        <f>[1]Субсидия_факт!HL23</f>
        <v>32377641.370000001</v>
      </c>
      <c r="BV15" s="866">
        <f>[1]Субсидия_факт!HN23</f>
        <v>0</v>
      </c>
      <c r="BW15" s="1050">
        <f>SUM(BX15:BY15)</f>
        <v>0</v>
      </c>
      <c r="BX15" s="866"/>
      <c r="BY15" s="866"/>
      <c r="BZ15" s="1050">
        <f>[1]Субсидия_факт!HB23</f>
        <v>0</v>
      </c>
      <c r="CA15" s="888"/>
      <c r="CB15" s="1050">
        <f>[1]Субсидия_факт!HD23</f>
        <v>0</v>
      </c>
      <c r="CC15" s="887"/>
      <c r="CD15" s="1367">
        <f t="shared" si="182"/>
        <v>0</v>
      </c>
      <c r="CE15" s="878">
        <f t="shared" si="182"/>
        <v>0</v>
      </c>
      <c r="CF15" s="1368">
        <f>[1]Субсидия_факт!HF23</f>
        <v>0</v>
      </c>
      <c r="CG15" s="849"/>
      <c r="CH15" s="897">
        <f>SUM(CI15:CJ15)</f>
        <v>0</v>
      </c>
      <c r="CI15" s="862">
        <f>[1]Субсидия_факт!HP23</f>
        <v>0</v>
      </c>
      <c r="CJ15" s="866">
        <f>[1]Субсидия_факт!HR23</f>
        <v>0</v>
      </c>
      <c r="CK15" s="1050">
        <f>SUM(CL15:CM15)</f>
        <v>0</v>
      </c>
      <c r="CL15" s="866"/>
      <c r="CM15" s="866"/>
      <c r="CN15" s="1003">
        <f>SUM(CO15:CT15)</f>
        <v>0</v>
      </c>
      <c r="CO15" s="859">
        <f>[1]Субсидия_факт!LR23</f>
        <v>0</v>
      </c>
      <c r="CP15" s="858">
        <f>[1]Субсидия_факт!LT23</f>
        <v>0</v>
      </c>
      <c r="CQ15" s="850">
        <f>[1]Субсидия_факт!LV23</f>
        <v>0</v>
      </c>
      <c r="CR15" s="858">
        <f>[1]Субсидия_факт!MB23</f>
        <v>0</v>
      </c>
      <c r="CS15" s="850">
        <f>[1]Субсидия_факт!MH23</f>
        <v>0</v>
      </c>
      <c r="CT15" s="858">
        <f>[1]Субсидия_факт!MJ23</f>
        <v>0</v>
      </c>
      <c r="CU15" s="1003">
        <f>SUM(CV15:DA15)</f>
        <v>0</v>
      </c>
      <c r="CV15" s="851"/>
      <c r="CW15" s="858"/>
      <c r="CX15" s="850"/>
      <c r="CY15" s="858"/>
      <c r="CZ15" s="850"/>
      <c r="DA15" s="858"/>
      <c r="DB15" s="1013">
        <f>SUM(DC15:DD15)</f>
        <v>0</v>
      </c>
      <c r="DC15" s="859">
        <f>[1]Субсидия_факт!LX23</f>
        <v>0</v>
      </c>
      <c r="DD15" s="858">
        <f>[1]Субсидия_факт!MD23</f>
        <v>0</v>
      </c>
      <c r="DE15" s="1003">
        <f>SUM(DF15:DG15)</f>
        <v>0</v>
      </c>
      <c r="DF15" s="859"/>
      <c r="DG15" s="860"/>
      <c r="DH15" s="1367">
        <f>DB15-DJ15</f>
        <v>0</v>
      </c>
      <c r="DI15" s="878">
        <f>DE15-DK15</f>
        <v>0</v>
      </c>
      <c r="DJ15" s="1368">
        <f>DB15</f>
        <v>0</v>
      </c>
      <c r="DK15" s="849">
        <f>DE15</f>
        <v>0</v>
      </c>
      <c r="DL15" s="1050">
        <f>SUM(DM15:DO15)</f>
        <v>0</v>
      </c>
      <c r="DM15" s="885">
        <f>[1]Субсидия_факт!R23</f>
        <v>0</v>
      </c>
      <c r="DN15" s="862">
        <f>[1]Субсидия_факт!T23</f>
        <v>0</v>
      </c>
      <c r="DO15" s="866">
        <f>[1]Субсидия_факт!V23</f>
        <v>0</v>
      </c>
      <c r="DP15" s="1050">
        <f>SUM(DQ15:DS15)</f>
        <v>0</v>
      </c>
      <c r="DQ15" s="866"/>
      <c r="DR15" s="866"/>
      <c r="DS15" s="866"/>
      <c r="DT15" s="897">
        <f>SUM(DU15:DV15)</f>
        <v>0</v>
      </c>
      <c r="DU15" s="862">
        <f>[1]Субсидия_факт!AX23</f>
        <v>0</v>
      </c>
      <c r="DV15" s="863">
        <f>[1]Субсидия_факт!AZ23</f>
        <v>0</v>
      </c>
      <c r="DW15" s="1050">
        <f>SUM(DX15:DY15)</f>
        <v>0</v>
      </c>
      <c r="DX15" s="885"/>
      <c r="DY15" s="889"/>
      <c r="DZ15" s="897">
        <f>SUM(EA15:EB15)</f>
        <v>0</v>
      </c>
      <c r="EA15" s="862">
        <f>[1]Субсидия_факт!X23</f>
        <v>0</v>
      </c>
      <c r="EB15" s="863">
        <f>[1]Субсидия_факт!Z23</f>
        <v>0</v>
      </c>
      <c r="EC15" s="1050">
        <f>SUM(ED15:EE15)</f>
        <v>0</v>
      </c>
      <c r="ED15" s="862"/>
      <c r="EE15" s="863"/>
      <c r="EF15" s="1013">
        <f>SUM(EG15:EI15)</f>
        <v>0</v>
      </c>
      <c r="EG15" s="859">
        <f>[1]Субсидия_факт!AP23</f>
        <v>0</v>
      </c>
      <c r="EH15" s="859">
        <f>[1]Субсидия_факт!AL23</f>
        <v>0</v>
      </c>
      <c r="EI15" s="860">
        <f>[1]Субсидия_факт!AN23</f>
        <v>0</v>
      </c>
      <c r="EJ15" s="1013">
        <f>SUM(EK15:EM15)</f>
        <v>0</v>
      </c>
      <c r="EK15" s="859"/>
      <c r="EL15" s="859"/>
      <c r="EM15" s="860"/>
      <c r="EN15" s="1013">
        <f>SUM(EO15:EP15)</f>
        <v>0</v>
      </c>
      <c r="EO15" s="859">
        <f>[1]Субсидия_факт!HH23</f>
        <v>0</v>
      </c>
      <c r="EP15" s="858">
        <f>[1]Субсидия_факт!HJ23</f>
        <v>0</v>
      </c>
      <c r="EQ15" s="1003">
        <f>SUM(ER15:ES15)</f>
        <v>0</v>
      </c>
      <c r="ER15" s="859"/>
      <c r="ES15" s="858"/>
      <c r="ET15" s="1013">
        <f>SUM(EU15:EV15)</f>
        <v>0</v>
      </c>
      <c r="EU15" s="862">
        <f>[1]Субсидия_факт!PK23</f>
        <v>0</v>
      </c>
      <c r="EV15" s="863">
        <f>[1]Субсидия_факт!PQ23</f>
        <v>0</v>
      </c>
      <c r="EW15" s="1003">
        <f>SUM(EX15:EY15)</f>
        <v>0</v>
      </c>
      <c r="EX15" s="859"/>
      <c r="EY15" s="860"/>
      <c r="EZ15" s="1013">
        <f>SUM(FA15:FB15)</f>
        <v>0</v>
      </c>
      <c r="FA15" s="859">
        <f>[1]Субсидия_факт!PM23</f>
        <v>0</v>
      </c>
      <c r="FB15" s="858">
        <f>[1]Субсидия_факт!PS23</f>
        <v>0</v>
      </c>
      <c r="FC15" s="1003">
        <f>SUM(FD15:FE15)</f>
        <v>0</v>
      </c>
      <c r="FD15" s="859"/>
      <c r="FE15" s="860"/>
      <c r="FF15" s="1369">
        <f>SUM(FG15:FH15)</f>
        <v>0</v>
      </c>
      <c r="FG15" s="859">
        <f t="shared" si="183"/>
        <v>0</v>
      </c>
      <c r="FH15" s="858">
        <f t="shared" si="183"/>
        <v>0</v>
      </c>
      <c r="FI15" s="878">
        <f>SUM(FJ15:FK15)</f>
        <v>0</v>
      </c>
      <c r="FJ15" s="859">
        <f t="shared" si="184"/>
        <v>0</v>
      </c>
      <c r="FK15" s="858">
        <f t="shared" si="184"/>
        <v>0</v>
      </c>
      <c r="FL15" s="1369">
        <f>SUM(FM15:FN15)</f>
        <v>0</v>
      </c>
      <c r="FM15" s="859">
        <f>[1]Субсидия_факт!PO23</f>
        <v>0</v>
      </c>
      <c r="FN15" s="858">
        <f>[1]Субсидия_факт!PU23</f>
        <v>0</v>
      </c>
      <c r="FO15" s="878">
        <f>SUM(FP15:FQ15)</f>
        <v>0</v>
      </c>
      <c r="FP15" s="859"/>
      <c r="FQ15" s="860"/>
      <c r="FR15" s="1013">
        <f t="shared" si="49"/>
        <v>0</v>
      </c>
      <c r="FS15" s="862">
        <f>[1]Субсидия_факт!EP23</f>
        <v>0</v>
      </c>
      <c r="FT15" s="863">
        <f>[1]Субсидия_факт!ER23</f>
        <v>0</v>
      </c>
      <c r="FU15" s="1371">
        <f>SUM(FV15:FW15)</f>
        <v>0</v>
      </c>
      <c r="FV15" s="862"/>
      <c r="FW15" s="863"/>
      <c r="FX15" s="897">
        <f>SUM(FY15:FZ15)</f>
        <v>0</v>
      </c>
      <c r="FY15" s="862">
        <f>[1]Субсидия_факт!JN23</f>
        <v>0</v>
      </c>
      <c r="FZ15" s="863">
        <f>[1]Субсидия_факт!JP23</f>
        <v>0</v>
      </c>
      <c r="GA15" s="897">
        <f>SUM(GB15:GC15)</f>
        <v>0</v>
      </c>
      <c r="GB15" s="862"/>
      <c r="GC15" s="863"/>
      <c r="GD15" s="1392">
        <f>SUM(GE15:GF15)</f>
        <v>0</v>
      </c>
      <c r="GE15" s="859">
        <f>[1]Субсидия_факт!JR23</f>
        <v>0</v>
      </c>
      <c r="GF15" s="860">
        <f>[1]Субсидия_факт!JV23</f>
        <v>0</v>
      </c>
      <c r="GG15" s="1372">
        <f>SUM(GH15:GI15)</f>
        <v>0</v>
      </c>
      <c r="GH15" s="862"/>
      <c r="GI15" s="889"/>
      <c r="GJ15" s="1373">
        <f>GD15-GL15</f>
        <v>0</v>
      </c>
      <c r="GK15" s="879">
        <f>GG15-GM15</f>
        <v>0</v>
      </c>
      <c r="GL15" s="1390">
        <f>GD15</f>
        <v>0</v>
      </c>
      <c r="GM15" s="879">
        <f>GG15</f>
        <v>0</v>
      </c>
      <c r="GN15" s="1371">
        <f>SUM(GO15:GQ15)</f>
        <v>0</v>
      </c>
      <c r="GO15" s="862">
        <f>[1]Субсидия_факт!KL23</f>
        <v>0</v>
      </c>
      <c r="GP15" s="863">
        <f>[1]Субсидия_факт!KN23</f>
        <v>0</v>
      </c>
      <c r="GQ15" s="862">
        <f>[1]Субсидия_факт!KP23</f>
        <v>0</v>
      </c>
      <c r="GR15" s="897">
        <f>SUM(GS15:GU15)</f>
        <v>0</v>
      </c>
      <c r="GS15" s="862"/>
      <c r="GT15" s="863"/>
      <c r="GU15" s="866"/>
      <c r="GV15" s="1372">
        <f>GW15</f>
        <v>0</v>
      </c>
      <c r="GW15" s="862">
        <f>[1]Субсидия_факт!KR23</f>
        <v>0</v>
      </c>
      <c r="GX15" s="1372">
        <f>GY15</f>
        <v>0</v>
      </c>
      <c r="GY15" s="866"/>
      <c r="GZ15" s="1373">
        <f>GV15-HB15</f>
        <v>0</v>
      </c>
      <c r="HA15" s="1373">
        <f>GX15-HC15</f>
        <v>0</v>
      </c>
      <c r="HB15" s="1373">
        <f>GV15</f>
        <v>0</v>
      </c>
      <c r="HC15" s="1373">
        <f>GX15</f>
        <v>0</v>
      </c>
      <c r="HD15" s="1050">
        <f>SUM(HE15:HF15)</f>
        <v>0</v>
      </c>
      <c r="HE15" s="862">
        <f>[1]Субсидия_факт!KV23</f>
        <v>0</v>
      </c>
      <c r="HF15" s="863">
        <f>[1]Субсидия_факт!KX23</f>
        <v>0</v>
      </c>
      <c r="HG15" s="1050">
        <f>SUM(HH15:HI15)</f>
        <v>0</v>
      </c>
      <c r="HH15" s="862"/>
      <c r="HI15" s="863"/>
      <c r="HJ15" s="897">
        <f>SUM(HK15:HL15)</f>
        <v>0</v>
      </c>
      <c r="HK15" s="862"/>
      <c r="HL15" s="863"/>
      <c r="HM15" s="1050">
        <f>SUM(HN15:HO15)</f>
        <v>0</v>
      </c>
      <c r="HN15" s="862"/>
      <c r="HO15" s="863"/>
      <c r="HP15" s="1050">
        <f>SUM(HQ15:HR15)</f>
        <v>0</v>
      </c>
      <c r="HQ15" s="862">
        <f>[1]Субсидия_факт!FV23</f>
        <v>0</v>
      </c>
      <c r="HR15" s="863">
        <f>[1]Субсидия_факт!FZ23</f>
        <v>0</v>
      </c>
      <c r="HS15" s="1050">
        <f>SUM(HT15:HU15)</f>
        <v>0</v>
      </c>
      <c r="HT15" s="862"/>
      <c r="HU15" s="863"/>
      <c r="HV15" s="1369">
        <f>SUM(HW15:HX15)</f>
        <v>0</v>
      </c>
      <c r="HW15" s="859">
        <f t="shared" si="185"/>
        <v>0</v>
      </c>
      <c r="HX15" s="858">
        <f t="shared" si="185"/>
        <v>0</v>
      </c>
      <c r="HY15" s="878">
        <f>SUM(HZ15:IA15)</f>
        <v>0</v>
      </c>
      <c r="HZ15" s="859">
        <f t="shared" si="186"/>
        <v>0</v>
      </c>
      <c r="IA15" s="858">
        <f t="shared" si="186"/>
        <v>0</v>
      </c>
      <c r="IB15" s="1369">
        <f>SUM(IC15:ID15)</f>
        <v>0</v>
      </c>
      <c r="IC15" s="859">
        <f>[1]Субсидия_факт!FX23</f>
        <v>0</v>
      </c>
      <c r="ID15" s="858">
        <f>[1]Субсидия_факт!GB23</f>
        <v>0</v>
      </c>
      <c r="IE15" s="878">
        <f>SUM(IF15:IG15)</f>
        <v>0</v>
      </c>
      <c r="IF15" s="859">
        <f t="shared" si="187"/>
        <v>0</v>
      </c>
      <c r="IG15" s="860">
        <f t="shared" si="188"/>
        <v>0</v>
      </c>
      <c r="IH15" s="897">
        <f>SUM(II15:IJ15)</f>
        <v>0</v>
      </c>
      <c r="II15" s="862">
        <f>[1]Субсидия_факт!ED23</f>
        <v>0</v>
      </c>
      <c r="IJ15" s="863">
        <f>[1]Субсидия_факт!EF23</f>
        <v>0</v>
      </c>
      <c r="IK15" s="1050">
        <f>SUM(IL15:IM15)</f>
        <v>0</v>
      </c>
      <c r="IL15" s="862"/>
      <c r="IM15" s="863"/>
      <c r="IN15" s="1392">
        <f>SUM(IO15:IP15)</f>
        <v>0</v>
      </c>
      <c r="IO15" s="859">
        <f>[1]Субсидия_факт!EH23</f>
        <v>0</v>
      </c>
      <c r="IP15" s="860">
        <f>[1]Субсидия_факт!EL23</f>
        <v>0</v>
      </c>
      <c r="IQ15" s="1392">
        <f>SUM(IR15:IS15)</f>
        <v>0</v>
      </c>
      <c r="IR15" s="862"/>
      <c r="IS15" s="889"/>
      <c r="IT15" s="1373">
        <f>IN15-IV15</f>
        <v>0</v>
      </c>
      <c r="IU15" s="1373">
        <f>IQ15-IW15</f>
        <v>0</v>
      </c>
      <c r="IV15" s="1373">
        <f>IN15</f>
        <v>0</v>
      </c>
      <c r="IW15" s="879">
        <f>IQ15</f>
        <v>0</v>
      </c>
      <c r="IX15" s="1398">
        <f>SUM(IY15:IZ15)</f>
        <v>0</v>
      </c>
      <c r="IY15" s="859">
        <f>[1]Субсидия_факт!BX23</f>
        <v>0</v>
      </c>
      <c r="IZ15" s="860">
        <f>[1]Субсидия_факт!BZ23</f>
        <v>0</v>
      </c>
      <c r="JA15" s="1003">
        <f>SUM(JB15:JC15)</f>
        <v>0</v>
      </c>
      <c r="JB15" s="859"/>
      <c r="JC15" s="860"/>
      <c r="JD15" s="939">
        <f>SUM(JE15:JF15)</f>
        <v>0</v>
      </c>
      <c r="JE15" s="862">
        <f>[1]Субсидия_факт!ET23</f>
        <v>0</v>
      </c>
      <c r="JF15" s="863">
        <f>[1]Субсидия_факт!EV23</f>
        <v>0</v>
      </c>
      <c r="JG15" s="1050">
        <f>SUM(JH15:JI15)</f>
        <v>0</v>
      </c>
      <c r="JH15" s="862"/>
      <c r="JI15" s="863"/>
      <c r="JJ15" s="1003">
        <f>SUM(JK15:JL15)</f>
        <v>0</v>
      </c>
      <c r="JK15" s="859">
        <f>[1]Субсидия_факт!EX23</f>
        <v>0</v>
      </c>
      <c r="JL15" s="858">
        <f>[1]Субсидия_факт!FD23</f>
        <v>0</v>
      </c>
      <c r="JM15" s="1003">
        <f>SUM(JN15:JO15)</f>
        <v>0</v>
      </c>
      <c r="JN15" s="859"/>
      <c r="JO15" s="860"/>
      <c r="JP15" s="1003">
        <f>SUM(JQ15:JR15)</f>
        <v>0</v>
      </c>
      <c r="JQ15" s="859">
        <f>[1]Субсидия_факт!EZ23</f>
        <v>0</v>
      </c>
      <c r="JR15" s="860">
        <f>[1]Субсидия_факт!FF23</f>
        <v>0</v>
      </c>
      <c r="JS15" s="1003">
        <f>SUM(JT15:JU15)</f>
        <v>0</v>
      </c>
      <c r="JT15" s="850"/>
      <c r="JU15" s="864"/>
      <c r="JV15" s="1003">
        <f>SUM(JW15:JX15)</f>
        <v>-189668.53</v>
      </c>
      <c r="JW15" s="851">
        <f>'Проверочная  таблица'!JQ15-'Проверочная  таблица'!KC15</f>
        <v>-49313.820000000007</v>
      </c>
      <c r="JX15" s="860">
        <f>'Проверочная  таблица'!JR15-'Проверочная  таблица'!KD15</f>
        <v>-140354.71</v>
      </c>
      <c r="JY15" s="1368">
        <f>SUM(JZ15:KA15)</f>
        <v>0</v>
      </c>
      <c r="JZ15" s="850">
        <f>'Проверочная  таблица'!JT15-'Проверочная  таблица'!KF15</f>
        <v>0</v>
      </c>
      <c r="KA15" s="867">
        <f>'Проверочная  таблица'!JU15-'Проверочная  таблица'!KG15</f>
        <v>0</v>
      </c>
      <c r="KB15" s="1003">
        <f>SUM(KC15:KD15)</f>
        <v>189668.53</v>
      </c>
      <c r="KC15" s="859">
        <f>[1]Субсидия_факт!FB23</f>
        <v>49313.820000000007</v>
      </c>
      <c r="KD15" s="858">
        <f>[1]Субсидия_факт!FH23</f>
        <v>140354.71</v>
      </c>
      <c r="KE15" s="878">
        <f>SUM(KF15:KG15)</f>
        <v>0</v>
      </c>
      <c r="KF15" s="859"/>
      <c r="KG15" s="860"/>
      <c r="KH15" s="1352">
        <f>SUM(KI15:KL15)</f>
        <v>2857401.08</v>
      </c>
      <c r="KI15" s="850">
        <f>[1]Субсидия_факт!OD23</f>
        <v>1947840</v>
      </c>
      <c r="KJ15" s="860">
        <f>[1]Субсидия_факт!OJ23</f>
        <v>876551.08</v>
      </c>
      <c r="KK15" s="850">
        <f>[1]Субсидия_факт!OR23</f>
        <v>12000.71</v>
      </c>
      <c r="KL15" s="860">
        <f>[1]Субсидия_факт!OT23</f>
        <v>21009.29</v>
      </c>
      <c r="KM15" s="1352">
        <f>SUM(KN15:KQ15)</f>
        <v>0</v>
      </c>
      <c r="KN15" s="850"/>
      <c r="KO15" s="860"/>
      <c r="KP15" s="850"/>
      <c r="KQ15" s="860"/>
      <c r="KR15" s="1352">
        <f>SUM(KS15:KV15)</f>
        <v>11780</v>
      </c>
      <c r="KS15" s="885">
        <f>[1]Субсидия_факт!OF23</f>
        <v>11780</v>
      </c>
      <c r="KT15" s="863">
        <f>[1]Субсидия_факт!OL23</f>
        <v>0</v>
      </c>
      <c r="KU15" s="885"/>
      <c r="KV15" s="863"/>
      <c r="KW15" s="1352">
        <f>SUM(KX15:LA15)</f>
        <v>0</v>
      </c>
      <c r="KX15" s="850"/>
      <c r="KY15" s="860"/>
      <c r="KZ15" s="850"/>
      <c r="LA15" s="860"/>
      <c r="LB15" s="1354">
        <f>SUM(LC15:LD15)</f>
        <v>-9450</v>
      </c>
      <c r="LC15" s="885">
        <f t="shared" si="189"/>
        <v>-9450</v>
      </c>
      <c r="LD15" s="863">
        <f t="shared" si="189"/>
        <v>0</v>
      </c>
      <c r="LE15" s="1354">
        <f>SUM(LF15:LG15)</f>
        <v>0</v>
      </c>
      <c r="LF15" s="885">
        <f t="shared" si="190"/>
        <v>0</v>
      </c>
      <c r="LG15" s="863">
        <f t="shared" si="190"/>
        <v>0</v>
      </c>
      <c r="LH15" s="1354">
        <f>SUM(LI15:LJ15)</f>
        <v>21230</v>
      </c>
      <c r="LI15" s="859">
        <f>[1]Субсидия_факт!OH23</f>
        <v>21230</v>
      </c>
      <c r="LJ15" s="858">
        <f>[1]Субсидия_факт!ON23</f>
        <v>0</v>
      </c>
      <c r="LK15" s="1354">
        <f>SUM(LL15:LM15)</f>
        <v>0</v>
      </c>
      <c r="LL15" s="851"/>
      <c r="LM15" s="860"/>
      <c r="LN15" s="1050">
        <f>SUM(LO15:LQ15)</f>
        <v>0</v>
      </c>
      <c r="LO15" s="865">
        <f>[1]Субсидия_факт!DP23</f>
        <v>0</v>
      </c>
      <c r="LP15" s="850">
        <f>[1]Субсидия_факт!CB23</f>
        <v>0</v>
      </c>
      <c r="LQ15" s="860">
        <f>[1]Субсидия_факт!CH23</f>
        <v>0</v>
      </c>
      <c r="LR15" s="1050">
        <f>SUM(LS15:LU15)</f>
        <v>0</v>
      </c>
      <c r="LS15" s="865"/>
      <c r="LT15" s="850"/>
      <c r="LU15" s="860"/>
      <c r="LV15" s="1050">
        <f>SUM(LW15:LY15)</f>
        <v>0</v>
      </c>
      <c r="LW15" s="865">
        <f>[1]Субсидия_факт!DR23</f>
        <v>0</v>
      </c>
      <c r="LX15" s="850">
        <f>[1]Субсидия_факт!CD23</f>
        <v>0</v>
      </c>
      <c r="LY15" s="860">
        <f>[1]Субсидия_факт!CJ23</f>
        <v>0</v>
      </c>
      <c r="LZ15" s="1050">
        <f>SUM(MA15:MC15)</f>
        <v>0</v>
      </c>
      <c r="MA15" s="865"/>
      <c r="MB15" s="850"/>
      <c r="MC15" s="858"/>
      <c r="MD15" s="879">
        <f>SUM(ME15:MG15)</f>
        <v>0</v>
      </c>
      <c r="ME15" s="862">
        <f>'Проверочная  таблица'!LW15-MM15</f>
        <v>0</v>
      </c>
      <c r="MF15" s="862">
        <f>'Проверочная  таблица'!LX15-MN15</f>
        <v>0</v>
      </c>
      <c r="MG15" s="863">
        <f>'Проверочная  таблица'!LY15-MO15</f>
        <v>0</v>
      </c>
      <c r="MH15" s="879">
        <f>SUM(MI15:MK15)</f>
        <v>0</v>
      </c>
      <c r="MI15" s="862">
        <f>'Проверочная  таблица'!MA15-MQ15</f>
        <v>0</v>
      </c>
      <c r="MJ15" s="862">
        <f>'Проверочная  таблица'!MB15-MR15</f>
        <v>0</v>
      </c>
      <c r="MK15" s="863">
        <f>'Проверочная  таблица'!MC15-MS15</f>
        <v>0</v>
      </c>
      <c r="ML15" s="879">
        <f>SUM(MM15:MO15)</f>
        <v>0</v>
      </c>
      <c r="MM15" s="850">
        <f>[1]Субсидия_факт!DT23</f>
        <v>0</v>
      </c>
      <c r="MN15" s="850">
        <f>[1]Субсидия_факт!CF23</f>
        <v>0</v>
      </c>
      <c r="MO15" s="860">
        <f>[1]Субсидия_факт!CL23</f>
        <v>0</v>
      </c>
      <c r="MP15" s="879">
        <f>SUM(MQ15:MS15)</f>
        <v>0</v>
      </c>
      <c r="MQ15" s="850"/>
      <c r="MR15" s="850"/>
      <c r="MS15" s="860"/>
      <c r="MT15" s="1360">
        <f>SUM(MU15:NA15)</f>
        <v>189668.53</v>
      </c>
      <c r="MU15" s="850">
        <f>[1]Субсидия_факт!CN23</f>
        <v>0</v>
      </c>
      <c r="MV15" s="858">
        <f>[1]Субсидия_факт!CP23</f>
        <v>0</v>
      </c>
      <c r="MW15" s="862">
        <f>[1]Субсидия_факт!CR23</f>
        <v>0</v>
      </c>
      <c r="MX15" s="863">
        <f>[1]Субсидия_факт!CT23</f>
        <v>0</v>
      </c>
      <c r="MY15" s="851">
        <f>[1]Субсидия_факт!DV23</f>
        <v>0</v>
      </c>
      <c r="MZ15" s="859">
        <f>[1]Субсидия_факт!FJ23</f>
        <v>49313.820000000007</v>
      </c>
      <c r="NA15" s="858">
        <f>[1]Субсидия_факт!FP23</f>
        <v>140354.71</v>
      </c>
      <c r="NB15" s="1003">
        <f>SUM(NC15:NI15)</f>
        <v>189668.53</v>
      </c>
      <c r="NC15" s="850"/>
      <c r="ND15" s="860"/>
      <c r="NE15" s="866"/>
      <c r="NF15" s="890"/>
      <c r="NG15" s="850"/>
      <c r="NH15" s="850">
        <f t="shared" si="100"/>
        <v>49313.820000000007</v>
      </c>
      <c r="NI15" s="860">
        <f t="shared" si="100"/>
        <v>140354.71</v>
      </c>
      <c r="NJ15" s="1003">
        <f>SUM(NK15:NL15)</f>
        <v>0</v>
      </c>
      <c r="NK15" s="859">
        <f>[1]Субсидия_факт!FL23</f>
        <v>0</v>
      </c>
      <c r="NL15" s="858">
        <f>[1]Субсидия_факт!FR23</f>
        <v>0</v>
      </c>
      <c r="NM15" s="1003">
        <f>SUM(NN15:NO15)</f>
        <v>0</v>
      </c>
      <c r="NN15" s="851"/>
      <c r="NO15" s="860"/>
      <c r="NP15" s="878">
        <f>SUM(NQ15:NR15)</f>
        <v>0</v>
      </c>
      <c r="NQ15" s="859">
        <f>'Проверочная  таблица'!NK15-NW15</f>
        <v>0</v>
      </c>
      <c r="NR15" s="860">
        <f>'Проверочная  таблица'!NL15-NX15</f>
        <v>0</v>
      </c>
      <c r="NS15" s="878">
        <f>SUM(NT15:NU15)</f>
        <v>0</v>
      </c>
      <c r="NT15" s="850">
        <f>'Проверочная  таблица'!NN15-NZ15</f>
        <v>0</v>
      </c>
      <c r="NU15" s="867">
        <f>'Проверочная  таблица'!NO15-OA15</f>
        <v>0</v>
      </c>
      <c r="NV15" s="878">
        <f>SUM(NW15:NX15)</f>
        <v>0</v>
      </c>
      <c r="NW15" s="859">
        <f>[1]Субсидия_факт!FN23</f>
        <v>0</v>
      </c>
      <c r="NX15" s="858">
        <f>[1]Субсидия_факт!FT23</f>
        <v>0</v>
      </c>
      <c r="NY15" s="878">
        <f>SUM(NZ15:OA15)</f>
        <v>0</v>
      </c>
      <c r="NZ15" s="850"/>
      <c r="OA15" s="860"/>
      <c r="OB15" s="1012">
        <f>SUM(OC15:OE15)</f>
        <v>0</v>
      </c>
      <c r="OC15" s="859">
        <f>[1]Субсидия_факт!AR23</f>
        <v>0</v>
      </c>
      <c r="OD15" s="858">
        <f>[1]Субсидия_факт!AT23</f>
        <v>0</v>
      </c>
      <c r="OE15" s="859">
        <f>[1]Субсидия_факт!AV23</f>
        <v>0</v>
      </c>
      <c r="OF15" s="1050">
        <f>SUM(OG15:OI15)</f>
        <v>0</v>
      </c>
      <c r="OG15" s="866"/>
      <c r="OH15" s="863"/>
      <c r="OI15" s="866"/>
      <c r="OJ15" s="1376">
        <f>SUM(OK15:OM15)</f>
        <v>0</v>
      </c>
      <c r="OK15" s="859">
        <f>[1]Субсидия_факт!GD23</f>
        <v>0</v>
      </c>
      <c r="OL15" s="858">
        <f>[1]Субсидия_факт!GJ23</f>
        <v>0</v>
      </c>
      <c r="OM15" s="866">
        <f>[1]Субсидия_факт!GP23</f>
        <v>0</v>
      </c>
      <c r="ON15" s="1376">
        <f>SUM(OO15:OQ15)</f>
        <v>0</v>
      </c>
      <c r="OO15" s="851"/>
      <c r="OP15" s="860"/>
      <c r="OQ15" s="850"/>
      <c r="OR15" s="1352">
        <f>SUM(OS15:OU15)</f>
        <v>0</v>
      </c>
      <c r="OS15" s="859">
        <f>[1]Субсидия_факт!GF23</f>
        <v>0</v>
      </c>
      <c r="OT15" s="858">
        <f>[1]Субсидия_факт!GL23</f>
        <v>0</v>
      </c>
      <c r="OU15" s="850">
        <f>[1]Субсидия_факт!GR23</f>
        <v>0</v>
      </c>
      <c r="OV15" s="1352">
        <f>SUM(OW15:OY15)</f>
        <v>0</v>
      </c>
      <c r="OW15" s="850"/>
      <c r="OX15" s="867"/>
      <c r="OY15" s="850"/>
      <c r="OZ15" s="1354">
        <f>SUM(PA15:PC15)</f>
        <v>0</v>
      </c>
      <c r="PA15" s="885">
        <f>'Проверочная  таблица'!OS15-PI15</f>
        <v>0</v>
      </c>
      <c r="PB15" s="863">
        <f>'Проверочная  таблица'!OT15-PJ15</f>
        <v>0</v>
      </c>
      <c r="PC15" s="866">
        <f>'Проверочная  таблица'!OU15-PK15</f>
        <v>0</v>
      </c>
      <c r="PD15" s="1354">
        <f>SUM(PE15:PG15)</f>
        <v>0</v>
      </c>
      <c r="PE15" s="851">
        <f>'Проверочная  таблица'!OW15-PM15</f>
        <v>0</v>
      </c>
      <c r="PF15" s="860">
        <f>'Проверочная  таблица'!OX15-PN15</f>
        <v>0</v>
      </c>
      <c r="PG15" s="850">
        <f>'Проверочная  таблица'!OY15-PO15</f>
        <v>0</v>
      </c>
      <c r="PH15" s="1354">
        <f>SUM(PI15:PK15)</f>
        <v>0</v>
      </c>
      <c r="PI15" s="859">
        <f>[1]Субсидия_факт!GH23</f>
        <v>0</v>
      </c>
      <c r="PJ15" s="858">
        <f>[1]Субсидия_факт!GN23</f>
        <v>0</v>
      </c>
      <c r="PK15" s="859">
        <f>[1]Субсидия_факт!GT23</f>
        <v>0</v>
      </c>
      <c r="PL15" s="1354">
        <f>SUM(PM15:PO15)</f>
        <v>0</v>
      </c>
      <c r="PM15" s="851">
        <f t="shared" si="191"/>
        <v>0</v>
      </c>
      <c r="PN15" s="860">
        <f t="shared" si="192"/>
        <v>0</v>
      </c>
      <c r="PO15" s="859"/>
      <c r="PP15" s="1003">
        <f t="shared" si="193"/>
        <v>0</v>
      </c>
      <c r="PQ15" s="862">
        <f>[1]Субсидия_факт!JB23</f>
        <v>0</v>
      </c>
      <c r="PR15" s="863">
        <f>[1]Субсидия_факт!JH23</f>
        <v>0</v>
      </c>
      <c r="PS15" s="862"/>
      <c r="PT15" s="863"/>
      <c r="PU15" s="1003">
        <f t="shared" si="194"/>
        <v>0</v>
      </c>
      <c r="PV15" s="866"/>
      <c r="PW15" s="890"/>
      <c r="PX15" s="866"/>
      <c r="PY15" s="890"/>
      <c r="PZ15" s="1050">
        <f>SUM(QA15:QB15)</f>
        <v>0</v>
      </c>
      <c r="QA15" s="862">
        <f>[1]Субсидия_факт!JD23</f>
        <v>0</v>
      </c>
      <c r="QB15" s="863">
        <f>[1]Субсидия_факт!JJ23</f>
        <v>0</v>
      </c>
      <c r="QC15" s="1391">
        <f>SUM(QD15:QE15)</f>
        <v>0</v>
      </c>
      <c r="QD15" s="866"/>
      <c r="QE15" s="890"/>
      <c r="QF15" s="879">
        <f>SUM(QG15:QH15)</f>
        <v>0</v>
      </c>
      <c r="QG15" s="866">
        <f t="shared" si="195"/>
        <v>0</v>
      </c>
      <c r="QH15" s="863">
        <f t="shared" si="195"/>
        <v>0</v>
      </c>
      <c r="QI15" s="1373">
        <f>SUM(QJ15:QK15)</f>
        <v>0</v>
      </c>
      <c r="QJ15" s="862">
        <f t="shared" si="196"/>
        <v>0</v>
      </c>
      <c r="QK15" s="863">
        <f t="shared" si="196"/>
        <v>0</v>
      </c>
      <c r="QL15" s="1373">
        <f>SUM(QM15:QN15)</f>
        <v>0</v>
      </c>
      <c r="QM15" s="862">
        <f>[1]Субсидия_факт!JF23</f>
        <v>0</v>
      </c>
      <c r="QN15" s="863">
        <f>[1]Субсидия_факт!JL23</f>
        <v>0</v>
      </c>
      <c r="QO15" s="1016">
        <f>SUM(QP15:QQ15)</f>
        <v>0</v>
      </c>
      <c r="QP15" s="866"/>
      <c r="QQ15" s="890"/>
      <c r="QR15" s="1050">
        <f>SUM(QS15:QT15)</f>
        <v>0</v>
      </c>
      <c r="QS15" s="862">
        <f>[1]Субсидия_факт!CV23</f>
        <v>0</v>
      </c>
      <c r="QT15" s="863">
        <f>[1]Субсидия_факт!CX23</f>
        <v>0</v>
      </c>
      <c r="QU15" s="1050">
        <f>SUM(QV15:QW15)</f>
        <v>0</v>
      </c>
      <c r="QV15" s="862"/>
      <c r="QW15" s="863"/>
      <c r="QX15" s="897">
        <f>SUM(QY15:QZ15)</f>
        <v>0</v>
      </c>
      <c r="QY15" s="862">
        <f>[1]Субсидия_факт!CZ23</f>
        <v>0</v>
      </c>
      <c r="QZ15" s="863">
        <f>[1]Субсидия_факт!DF23</f>
        <v>0</v>
      </c>
      <c r="RA15" s="1050">
        <f>SUM(RB15:RC15)</f>
        <v>0</v>
      </c>
      <c r="RB15" s="862"/>
      <c r="RC15" s="863"/>
      <c r="RD15" s="897">
        <f t="shared" si="122"/>
        <v>0</v>
      </c>
      <c r="RE15" s="862">
        <f>[1]Субсидия_факт!DB23</f>
        <v>0</v>
      </c>
      <c r="RF15" s="863">
        <f>[1]Субсидия_факт!DH23</f>
        <v>0</v>
      </c>
      <c r="RG15" s="1050">
        <f>SUM(RH15:RI15)</f>
        <v>0</v>
      </c>
      <c r="RH15" s="862"/>
      <c r="RI15" s="863"/>
      <c r="RJ15" s="1373">
        <f>SUM(RK15:RL15)</f>
        <v>0</v>
      </c>
      <c r="RK15" s="862">
        <f t="shared" si="197"/>
        <v>0</v>
      </c>
      <c r="RL15" s="863">
        <f t="shared" si="197"/>
        <v>0</v>
      </c>
      <c r="RM15" s="879">
        <f>SUM(RN15:RO15)</f>
        <v>0</v>
      </c>
      <c r="RN15" s="862">
        <f t="shared" si="198"/>
        <v>0</v>
      </c>
      <c r="RO15" s="863">
        <f t="shared" si="198"/>
        <v>0</v>
      </c>
      <c r="RP15" s="897">
        <f t="shared" si="128"/>
        <v>0</v>
      </c>
      <c r="RQ15" s="862">
        <f>[1]Субсидия_факт!DD23</f>
        <v>0</v>
      </c>
      <c r="RR15" s="863">
        <f>[1]Субсидия_факт!DJ23</f>
        <v>0</v>
      </c>
      <c r="RS15" s="879">
        <f>SUM(RT15:RU15)</f>
        <v>0</v>
      </c>
      <c r="RT15" s="862"/>
      <c r="RU15" s="863"/>
      <c r="RV15" s="897">
        <f>SUM(RW15:RX15)</f>
        <v>0</v>
      </c>
      <c r="RW15" s="862">
        <f>[1]Субсидия_факт!DL23</f>
        <v>0</v>
      </c>
      <c r="RX15" s="863">
        <f>[1]Субсидия_факт!DN23</f>
        <v>0</v>
      </c>
      <c r="RY15" s="1391">
        <f>SUM(RZ15:SA15)</f>
        <v>0</v>
      </c>
      <c r="RZ15" s="885"/>
      <c r="SA15" s="889"/>
      <c r="SB15" s="1050">
        <f>SUM(SC15:SE15)</f>
        <v>0</v>
      </c>
      <c r="SC15" s="859">
        <f>[1]Субсидия_факт!BJ23</f>
        <v>0</v>
      </c>
      <c r="SD15" s="862">
        <f>[1]Субсидия_факт!BF23</f>
        <v>0</v>
      </c>
      <c r="SE15" s="889">
        <f>[1]Субсидия_факт!BH23</f>
        <v>0</v>
      </c>
      <c r="SF15" s="1050">
        <f>SUM(SG15:SI15)</f>
        <v>0</v>
      </c>
      <c r="SG15" s="891"/>
      <c r="SH15" s="885"/>
      <c r="SI15" s="889"/>
      <c r="SJ15" s="897">
        <f t="shared" si="133"/>
        <v>0</v>
      </c>
      <c r="SK15" s="862">
        <f>[1]Субсидия_факт!AD23</f>
        <v>0</v>
      </c>
      <c r="SL15" s="863">
        <f>[1]Субсидия_факт!AF23</f>
        <v>0</v>
      </c>
      <c r="SM15" s="1050">
        <f>SUM(SN15:SO15)</f>
        <v>0</v>
      </c>
      <c r="SN15" s="885"/>
      <c r="SO15" s="889"/>
      <c r="SP15" s="897">
        <f>SUM(SQ15:SV15)</f>
        <v>0</v>
      </c>
      <c r="SQ15" s="862">
        <f>[1]Субсидия_факт!ID23</f>
        <v>0</v>
      </c>
      <c r="SR15" s="863">
        <f>[1]Субсидия_факт!IJ23</f>
        <v>0</v>
      </c>
      <c r="SS15" s="885">
        <f>[1]Субсидия_факт!IP23</f>
        <v>0</v>
      </c>
      <c r="ST15" s="863">
        <f>[1]Субсидия_факт!IV23</f>
        <v>0</v>
      </c>
      <c r="SU15" s="1123">
        <f>[1]Субсидия_факт!JZ23</f>
        <v>0</v>
      </c>
      <c r="SV15" s="889">
        <f>[1]Субсидия_факт!KF23</f>
        <v>0</v>
      </c>
      <c r="SW15" s="1050">
        <f>SUM(SX15:TC15)</f>
        <v>0</v>
      </c>
      <c r="SX15" s="1244"/>
      <c r="SY15" s="890"/>
      <c r="SZ15" s="1244"/>
      <c r="TA15" s="890"/>
      <c r="TB15" s="1123"/>
      <c r="TC15" s="889"/>
      <c r="TD15" s="939">
        <f>SUM(TE15:TJ15)</f>
        <v>0</v>
      </c>
      <c r="TE15" s="862">
        <f>[1]Субсидия_факт!IF23</f>
        <v>0</v>
      </c>
      <c r="TF15" s="863">
        <f>[1]Субсидия_факт!IL23</f>
        <v>0</v>
      </c>
      <c r="TG15" s="885">
        <f>[1]Субсидия_факт!IR23</f>
        <v>0</v>
      </c>
      <c r="TH15" s="863">
        <f>[1]Субсидия_факт!IX23</f>
        <v>0</v>
      </c>
      <c r="TI15" s="885">
        <f>[1]Субсидия_факт!KB23</f>
        <v>0</v>
      </c>
      <c r="TJ15" s="863">
        <f>[1]Субсидия_факт!KH23</f>
        <v>0</v>
      </c>
      <c r="TK15" s="1050">
        <f>SUM(TL15:TQ15)</f>
        <v>0</v>
      </c>
      <c r="TL15" s="866"/>
      <c r="TM15" s="890"/>
      <c r="TN15" s="1123"/>
      <c r="TO15" s="890"/>
      <c r="TP15" s="866"/>
      <c r="TQ15" s="890"/>
      <c r="TR15" s="1016">
        <f>SUM(TS15:TX15)</f>
        <v>0</v>
      </c>
      <c r="TS15" s="862">
        <f t="shared" si="199"/>
        <v>0</v>
      </c>
      <c r="TT15" s="863">
        <f t="shared" si="199"/>
        <v>0</v>
      </c>
      <c r="TU15" s="862">
        <f t="shared" si="199"/>
        <v>0</v>
      </c>
      <c r="TV15" s="863">
        <f t="shared" si="199"/>
        <v>0</v>
      </c>
      <c r="TW15" s="885">
        <f t="shared" si="199"/>
        <v>0</v>
      </c>
      <c r="TX15" s="863">
        <f t="shared" si="199"/>
        <v>0</v>
      </c>
      <c r="TY15" s="879">
        <f>SUM(TZ15:UE15)</f>
        <v>0</v>
      </c>
      <c r="TZ15" s="862">
        <f t="shared" si="200"/>
        <v>0</v>
      </c>
      <c r="UA15" s="863">
        <f t="shared" si="200"/>
        <v>0</v>
      </c>
      <c r="UB15" s="862">
        <f t="shared" si="200"/>
        <v>0</v>
      </c>
      <c r="UC15" s="863">
        <f t="shared" si="200"/>
        <v>0</v>
      </c>
      <c r="UD15" s="885">
        <f t="shared" si="200"/>
        <v>0</v>
      </c>
      <c r="UE15" s="863">
        <f t="shared" si="200"/>
        <v>0</v>
      </c>
      <c r="UF15" s="1029">
        <f>SUM(UG15:UL15)</f>
        <v>0</v>
      </c>
      <c r="UG15" s="862">
        <f>[1]Субсидия_факт!IH23</f>
        <v>0</v>
      </c>
      <c r="UH15" s="863">
        <f>[1]Субсидия_факт!IN23</f>
        <v>0</v>
      </c>
      <c r="UI15" s="885">
        <f>[1]Субсидия_факт!IT23</f>
        <v>0</v>
      </c>
      <c r="UJ15" s="863">
        <f>[1]Субсидия_факт!IZ23</f>
        <v>0</v>
      </c>
      <c r="UK15" s="885">
        <f>[1]Субсидия_факт!KD23</f>
        <v>0</v>
      </c>
      <c r="UL15" s="863">
        <f>[1]Субсидия_факт!KJ23</f>
        <v>0</v>
      </c>
      <c r="UM15" s="879">
        <f>SUM(UN15:US15)</f>
        <v>0</v>
      </c>
      <c r="UN15" s="1123"/>
      <c r="UO15" s="890"/>
      <c r="UP15" s="1123"/>
      <c r="UQ15" s="890"/>
      <c r="UR15" s="1123"/>
      <c r="US15" s="890"/>
      <c r="UT15" s="1050">
        <f>'Прочая  субсидия_МР  и  ГО'!B11</f>
        <v>87745737.050000012</v>
      </c>
      <c r="UU15" s="1050">
        <f>'Прочая  субсидия_МР  и  ГО'!C11</f>
        <v>61892295.539999999</v>
      </c>
      <c r="UV15" s="1371">
        <f>'Прочая  субсидия_БП'!B11</f>
        <v>0</v>
      </c>
      <c r="UW15" s="897">
        <f>'Прочая  субсидия_БП'!C11</f>
        <v>0</v>
      </c>
      <c r="UX15" s="1395">
        <f>'Прочая  субсидия_БП'!D11</f>
        <v>0</v>
      </c>
      <c r="UY15" s="1386">
        <f>'Прочая  субсидия_БП'!E11</f>
        <v>0</v>
      </c>
      <c r="UZ15" s="1387">
        <f>'Прочая  субсидия_БП'!F11</f>
        <v>0</v>
      </c>
      <c r="VA15" s="1395">
        <f>'Прочая  субсидия_БП'!G11</f>
        <v>0</v>
      </c>
      <c r="VB15" s="897">
        <f>SUM(VC15:VD15)</f>
        <v>294852743.51000005</v>
      </c>
      <c r="VC15" s="866">
        <f>'Проверочная  таблица'!WE15+'Проверочная  таблица'!VH15+'Проверочная  таблица'!VJ15+VY15</f>
        <v>286541373.60000002</v>
      </c>
      <c r="VD15" s="891">
        <f>'Проверочная  таблица'!WF15+'Проверочная  таблица'!VN15+'Проверочная  таблица'!VT15+'Проверочная  таблица'!VP15+'Проверочная  таблица'!VR15+VV15+VZ15+VL15</f>
        <v>8311369.9100000001</v>
      </c>
      <c r="VE15" s="1050">
        <f>SUM(VF15:VG15)</f>
        <v>219181850.96000001</v>
      </c>
      <c r="VF15" s="866">
        <f>'Проверочная  таблица'!WH15+'Проверочная  таблица'!VI15+'Проверочная  таблица'!VK15+WB15</f>
        <v>216069654.24000001</v>
      </c>
      <c r="VG15" s="891">
        <f>'Проверочная  таблица'!WI15+'Проверочная  таблица'!VO15+'Проверочная  таблица'!VU15+'Проверочная  таблица'!VQ15+'Проверочная  таблица'!VS15+VW15+WC15+VM15</f>
        <v>3112196.72</v>
      </c>
      <c r="VH15" s="1391">
        <f>'Субвенция  на  полномочия'!B11</f>
        <v>275461493.79000002</v>
      </c>
      <c r="VI15" s="1371">
        <f>'Субвенция  на  полномочия'!C11</f>
        <v>208602349</v>
      </c>
      <c r="VJ15" s="886">
        <f>[1]Субвенция_факт!M22*1000</f>
        <v>7750690</v>
      </c>
      <c r="VK15" s="892">
        <v>5660726.4299999997</v>
      </c>
      <c r="VL15" s="886">
        <f>[1]Субвенция_факт!AE22*1000</f>
        <v>2348100</v>
      </c>
      <c r="VM15" s="892">
        <f>ВУС!E9</f>
        <v>94937.04</v>
      </c>
      <c r="VN15" s="886">
        <f>[1]Субвенция_факт!AF22*1000</f>
        <v>0</v>
      </c>
      <c r="VO15" s="892"/>
      <c r="VP15" s="1396">
        <f>[1]Субвенция_факт!AG22*1000</f>
        <v>0</v>
      </c>
      <c r="VQ15" s="893"/>
      <c r="VR15" s="888">
        <f>[1]Субвенция_факт!E22*1000</f>
        <v>0</v>
      </c>
      <c r="VS15" s="893"/>
      <c r="VT15" s="888">
        <f>[1]Субвенция_факт!F22*1000</f>
        <v>0</v>
      </c>
      <c r="VU15" s="893"/>
      <c r="VV15" s="887">
        <f>[1]Субвенция_факт!G22*1000</f>
        <v>0</v>
      </c>
      <c r="VW15" s="892"/>
      <c r="VX15" s="897">
        <f>SUM(VY15:VZ15)</f>
        <v>6943607.9900000002</v>
      </c>
      <c r="VY15" s="862">
        <f>[1]Субвенция_факт!P22*1000</f>
        <v>1805338.08</v>
      </c>
      <c r="VZ15" s="863">
        <f>[1]Субвенция_факт!Q22*1000</f>
        <v>5138269.91</v>
      </c>
      <c r="WA15" s="1050">
        <f>SUM(WB15:WC15)</f>
        <v>3217610.81</v>
      </c>
      <c r="WB15" s="866">
        <v>836578.81</v>
      </c>
      <c r="WC15" s="894">
        <v>2381032</v>
      </c>
      <c r="WD15" s="1050">
        <f>SUM(WE15:WF15)</f>
        <v>2348851.7299999995</v>
      </c>
      <c r="WE15" s="895">
        <f>[1]Субвенция_факт!X22*1000</f>
        <v>1523851.7299999997</v>
      </c>
      <c r="WF15" s="896">
        <f>[1]Субвенция_факт!W22*1000</f>
        <v>825000</v>
      </c>
      <c r="WG15" s="1050">
        <f>SUM(WH15:WI15)</f>
        <v>1606227.6800000002</v>
      </c>
      <c r="WH15" s="866">
        <v>970000</v>
      </c>
      <c r="WI15" s="894">
        <v>636227.68000000005</v>
      </c>
      <c r="WJ15" s="897">
        <f t="shared" si="201"/>
        <v>88873189.74000001</v>
      </c>
      <c r="WK15" s="1050">
        <f t="shared" si="202"/>
        <v>41872772.75</v>
      </c>
      <c r="WL15" s="1391">
        <f>SUM(WM15:WN15)</f>
        <v>0</v>
      </c>
      <c r="WM15" s="895"/>
      <c r="WN15" s="896">
        <f>'[1]Иные межбюджетные трансферты'!I13</f>
        <v>0</v>
      </c>
      <c r="WO15" s="1391">
        <f>SUM(WP15:WQ15)</f>
        <v>0</v>
      </c>
      <c r="WP15" s="895"/>
      <c r="WQ15" s="896"/>
      <c r="WR15" s="1391">
        <f>SUM(WS15:WT15)</f>
        <v>3521500</v>
      </c>
      <c r="WS15" s="895">
        <f>'[1]Иные межбюджетные трансферты'!AQ23</f>
        <v>3521500</v>
      </c>
      <c r="WT15" s="896">
        <f>'[1]Иные межбюджетные трансферты'!AS23</f>
        <v>0</v>
      </c>
      <c r="WU15" s="1391">
        <f>SUM(WV15:WW15)</f>
        <v>0</v>
      </c>
      <c r="WV15" s="895"/>
      <c r="WW15" s="896"/>
      <c r="WX15" s="1050">
        <f>SUM(WY15:WZ15)</f>
        <v>1348095.69</v>
      </c>
      <c r="WY15" s="895">
        <f>'[1]Иные межбюджетные трансферты'!AM23</f>
        <v>67404.78</v>
      </c>
      <c r="WZ15" s="896">
        <f>'[1]Иные межбюджетные трансферты'!AO23</f>
        <v>1280690.9099999999</v>
      </c>
      <c r="XA15" s="1050">
        <f>SUM(XB15:XC15)</f>
        <v>927128.78999999992</v>
      </c>
      <c r="XB15" s="895">
        <v>46356.45</v>
      </c>
      <c r="XC15" s="896">
        <v>880772.34</v>
      </c>
      <c r="XD15" s="1050">
        <f>SUM(XE15:XF15)</f>
        <v>23261240</v>
      </c>
      <c r="XE15" s="895">
        <f>'[1]Иные межбюджетные трансферты'!K23</f>
        <v>10758280</v>
      </c>
      <c r="XF15" s="896">
        <f>'[1]Иные межбюджетные трансферты'!M23</f>
        <v>12502960</v>
      </c>
      <c r="XG15" s="1050">
        <f>SUM(XH15:XI15)</f>
        <v>12354750.189999999</v>
      </c>
      <c r="XH15" s="882"/>
      <c r="XI15" s="896">
        <v>12354750.189999999</v>
      </c>
      <c r="XJ15" s="1050">
        <f>SUM(XK15:XK15)</f>
        <v>0</v>
      </c>
      <c r="XK15" s="885"/>
      <c r="XL15" s="1050">
        <f>SUM(XM15:XM15)</f>
        <v>0</v>
      </c>
      <c r="XM15" s="885"/>
      <c r="XN15" s="897">
        <f>SUM(XO15:XO15)</f>
        <v>0</v>
      </c>
      <c r="XO15" s="862">
        <f>'[1]Иные межбюджетные трансферты'!O23</f>
        <v>0</v>
      </c>
      <c r="XP15" s="1050">
        <f>SUM(XQ15:XQ15)</f>
        <v>0</v>
      </c>
      <c r="XQ15" s="866"/>
      <c r="XR15" s="1390">
        <f>XN15-XT15</f>
        <v>0</v>
      </c>
      <c r="XS15" s="879">
        <f>XP15-XU15</f>
        <v>0</v>
      </c>
      <c r="XT15" s="1390">
        <f>XN15</f>
        <v>0</v>
      </c>
      <c r="XU15" s="879">
        <f>XP15</f>
        <v>0</v>
      </c>
      <c r="XV15" s="1050">
        <f>SUM(XW15:YF15)</f>
        <v>60674949.270000003</v>
      </c>
      <c r="XW15" s="883">
        <f>'[1]Иные межбюджетные трансферты'!E23</f>
        <v>0</v>
      </c>
      <c r="XX15" s="895">
        <f>'[1]Иные межбюджетные трансферты'!G23</f>
        <v>0</v>
      </c>
      <c r="XY15" s="882">
        <f>'[1]Иные межбюджетные трансферты'!S23</f>
        <v>0</v>
      </c>
      <c r="XZ15" s="883">
        <f>'[1]Иные межбюджетные трансферты'!Y23</f>
        <v>0</v>
      </c>
      <c r="YA15" s="882">
        <f>'[1]Иные межбюджетные трансферты'!AA23</f>
        <v>0</v>
      </c>
      <c r="YB15" s="1275">
        <f>'[1]Иные межбюджетные трансферты'!AG23</f>
        <v>46926725</v>
      </c>
      <c r="YC15" s="882">
        <f>'[1]Иные межбюджетные трансферты'!AU23</f>
        <v>3521500</v>
      </c>
      <c r="YD15" s="862">
        <f>'[1]Иные межбюджетные трансферты'!BA23</f>
        <v>2625703.2000000002</v>
      </c>
      <c r="YE15" s="882">
        <f>'[1]Иные межбюджетные трансферты'!BC23</f>
        <v>0</v>
      </c>
      <c r="YF15" s="1275">
        <f>'[1]Иные межбюджетные трансферты'!BE23</f>
        <v>7601021.0700000003</v>
      </c>
      <c r="YG15" s="1050">
        <f>SUM(YH15:YQ15)</f>
        <v>28590893.77</v>
      </c>
      <c r="YH15" s="882"/>
      <c r="YI15" s="882"/>
      <c r="YJ15" s="851"/>
      <c r="YK15" s="882"/>
      <c r="YL15" s="848">
        <f>YA15</f>
        <v>0</v>
      </c>
      <c r="YM15" s="848">
        <v>20989872.699999999</v>
      </c>
      <c r="YN15" s="848"/>
      <c r="YO15" s="848"/>
      <c r="YP15" s="848"/>
      <c r="YQ15" s="848">
        <v>7601021.0700000003</v>
      </c>
      <c r="YR15" s="1050">
        <f>SUM(YS15:YW15)</f>
        <v>67404.78</v>
      </c>
      <c r="YS15" s="895">
        <f>'[1]Иные межбюджетные трансферты'!U23</f>
        <v>0</v>
      </c>
      <c r="YT15" s="882">
        <f>'[1]Иные межбюджетные трансферты'!AC23</f>
        <v>0</v>
      </c>
      <c r="YU15" s="1275">
        <f>'[1]Иные межбюджетные трансферты'!AI23</f>
        <v>67404.78</v>
      </c>
      <c r="YV15" s="883">
        <f>'[1]Иные межбюджетные трансферты'!AW23</f>
        <v>0</v>
      </c>
      <c r="YW15" s="848">
        <f>'[1]Иные межбюджетные трансферты'!BG23</f>
        <v>0</v>
      </c>
      <c r="YX15" s="1050">
        <f>SUM(YY15:ZC15)</f>
        <v>0</v>
      </c>
      <c r="YY15" s="865"/>
      <c r="YZ15" s="865">
        <f>YT15</f>
        <v>0</v>
      </c>
      <c r="ZA15" s="865"/>
      <c r="ZB15" s="848"/>
      <c r="ZC15" s="848">
        <v>0</v>
      </c>
      <c r="ZD15" s="879">
        <f>SUM(ZE15:ZI15)</f>
        <v>67404.78</v>
      </c>
      <c r="ZE15" s="859">
        <f>'Проверочная  таблица'!YS15-ZQ15</f>
        <v>0</v>
      </c>
      <c r="ZF15" s="859">
        <f>'Проверочная  таблица'!YT15-ZR15</f>
        <v>0</v>
      </c>
      <c r="ZG15" s="859">
        <f>'Проверочная  таблица'!YU15-ZS15</f>
        <v>67404.78</v>
      </c>
      <c r="ZH15" s="859">
        <f>'Проверочная  таблица'!YV15-ZT15</f>
        <v>0</v>
      </c>
      <c r="ZI15" s="859">
        <f>'Проверочная  таблица'!YW15-ZU15</f>
        <v>0</v>
      </c>
      <c r="ZJ15" s="879">
        <f>SUM(ZK15:ZO15)</f>
        <v>0</v>
      </c>
      <c r="ZK15" s="859">
        <f>'Проверочная  таблица'!YY15-ZW15</f>
        <v>0</v>
      </c>
      <c r="ZL15" s="859">
        <f>'Проверочная  таблица'!YZ15-ZX15</f>
        <v>0</v>
      </c>
      <c r="ZM15" s="859">
        <f>'Проверочная  таблица'!ZA15-ZY15</f>
        <v>0</v>
      </c>
      <c r="ZN15" s="859">
        <f>'Проверочная  таблица'!ZB15-ZZ15</f>
        <v>0</v>
      </c>
      <c r="ZO15" s="859">
        <f>'Проверочная  таблица'!ZC15-AAA15</f>
        <v>0</v>
      </c>
      <c r="ZP15" s="879">
        <f>SUM(ZQ15:ZU15)</f>
        <v>0</v>
      </c>
      <c r="ZQ15" s="895">
        <f>'[1]Иные межбюджетные трансферты'!W23</f>
        <v>0</v>
      </c>
      <c r="ZR15" s="895">
        <f>'[1]Иные межбюджетные трансферты'!AE23</f>
        <v>0</v>
      </c>
      <c r="ZS15" s="882"/>
      <c r="ZT15" s="883">
        <f>'[1]Иные межбюджетные трансферты'!AY23</f>
        <v>0</v>
      </c>
      <c r="ZU15" s="848"/>
      <c r="ZV15" s="879">
        <f>SUM(ZW15:AAA15)</f>
        <v>0</v>
      </c>
      <c r="ZW15" s="865"/>
      <c r="ZX15" s="865">
        <f>YZ15</f>
        <v>0</v>
      </c>
      <c r="ZY15" s="865"/>
      <c r="ZZ15" s="848"/>
      <c r="AAA15" s="848"/>
      <c r="AAB15" s="1050">
        <f>AAD15+'Проверочная  таблица'!AAL15+AAH15+'Проверочная  таблица'!AAP15+AAJ15+'Проверочная  таблица'!AAR15</f>
        <v>0</v>
      </c>
      <c r="AAC15" s="1050">
        <f>AAE15+'Проверочная  таблица'!AAM15+AAI15+'Проверочная  таблица'!AAQ15+AAK15+'Проверочная  таблица'!AAS15</f>
        <v>0</v>
      </c>
      <c r="AAD15" s="897"/>
      <c r="AAE15" s="897"/>
      <c r="AAF15" s="897"/>
      <c r="AAG15" s="897"/>
      <c r="AAH15" s="1373">
        <f t="shared" si="203"/>
        <v>0</v>
      </c>
      <c r="AAI15" s="879">
        <f t="shared" si="203"/>
        <v>0</v>
      </c>
      <c r="AAJ15" s="898"/>
      <c r="AAK15" s="879"/>
      <c r="AAL15" s="897"/>
      <c r="AAM15" s="897"/>
      <c r="AAN15" s="897"/>
      <c r="AAO15" s="897"/>
      <c r="AAP15" s="1373">
        <f t="shared" si="204"/>
        <v>0</v>
      </c>
      <c r="AAQ15" s="879">
        <f t="shared" si="204"/>
        <v>0</v>
      </c>
      <c r="AAR15" s="879"/>
      <c r="AAS15" s="879"/>
      <c r="AAT15" s="1384">
        <f>'Проверочная  таблица'!AAL15+'Проверочная  таблица'!AAN15</f>
        <v>0</v>
      </c>
      <c r="AAU15" s="1384">
        <f>'Проверочная  таблица'!AAM15+'Проверочная  таблица'!AAO15</f>
        <v>0</v>
      </c>
    </row>
    <row r="16" spans="1:723" ht="20.45" customHeight="1" x14ac:dyDescent="0.25">
      <c r="A16" s="880" t="s">
        <v>1285</v>
      </c>
      <c r="B16" s="897">
        <f>D16+AN16+'Проверочная  таблица'!VB16+'Проверочная  таблица'!WJ16</f>
        <v>2583367667.52</v>
      </c>
      <c r="C16" s="1050">
        <f>E16+'Проверочная  таблица'!VE16+AO16+'Проверочная  таблица'!WK16</f>
        <v>1544945286.0799999</v>
      </c>
      <c r="D16" s="1371">
        <f t="shared" si="0"/>
        <v>199264707.40000001</v>
      </c>
      <c r="E16" s="897">
        <f t="shared" si="1"/>
        <v>152359212.5</v>
      </c>
      <c r="F16" s="1376">
        <f>'[1]Дотация  из  ОБ_факт'!M9</f>
        <v>32146566</v>
      </c>
      <c r="G16" s="1385">
        <v>24105585</v>
      </c>
      <c r="H16" s="1376">
        <f>'[1]Дотация  из  ОБ_факт'!G9</f>
        <v>125442757.40000001</v>
      </c>
      <c r="I16" s="1385">
        <v>94877379</v>
      </c>
      <c r="J16" s="1386">
        <f t="shared" si="2"/>
        <v>47765608.400000006</v>
      </c>
      <c r="K16" s="1387">
        <f t="shared" si="2"/>
        <v>36377379</v>
      </c>
      <c r="L16" s="1386">
        <f>'[1]Дотация  из  ОБ_факт'!K9</f>
        <v>77677149</v>
      </c>
      <c r="M16" s="881">
        <v>58500000</v>
      </c>
      <c r="N16" s="1376">
        <f>'[1]Дотация  из  ОБ_факт'!Q9</f>
        <v>0</v>
      </c>
      <c r="O16" s="1385"/>
      <c r="P16" s="1399">
        <f>'[1]Дотация  из  ОБ_факт'!S9</f>
        <v>36577584</v>
      </c>
      <c r="Q16" s="1385">
        <v>28278448.5</v>
      </c>
      <c r="R16" s="1386">
        <f t="shared" si="3"/>
        <v>25687794</v>
      </c>
      <c r="S16" s="1387">
        <f t="shared" si="3"/>
        <v>20070448.5</v>
      </c>
      <c r="T16" s="1386">
        <f>'[1]Дотация  из  ОБ_факт'!W9</f>
        <v>10889790</v>
      </c>
      <c r="U16" s="881">
        <v>8208000</v>
      </c>
      <c r="V16" s="886">
        <f t="shared" si="4"/>
        <v>3800000</v>
      </c>
      <c r="W16" s="1388">
        <f>'[1]Дотация  из  ОБ_факт'!AA9</f>
        <v>1200000</v>
      </c>
      <c r="X16" s="1389">
        <f>'[1]Дотация  из  ОБ_факт'!AC9</f>
        <v>1700000</v>
      </c>
      <c r="Y16" s="1389">
        <f>'[1]Дотация  из  ОБ_факт'!AG9</f>
        <v>900000</v>
      </c>
      <c r="Z16" s="887">
        <f t="shared" si="5"/>
        <v>3800000</v>
      </c>
      <c r="AA16" s="848">
        <f t="shared" si="177"/>
        <v>1200000</v>
      </c>
      <c r="AB16" s="848">
        <f t="shared" si="177"/>
        <v>1700000</v>
      </c>
      <c r="AC16" s="882">
        <f>Y16</f>
        <v>900000</v>
      </c>
      <c r="AD16" s="886">
        <f t="shared" si="6"/>
        <v>1297800</v>
      </c>
      <c r="AE16" s="1388">
        <f>'[1]Дотация  из  ОБ_факт'!Y9</f>
        <v>397800</v>
      </c>
      <c r="AF16" s="1389">
        <f>'[1]Дотация  из  ОБ_факт'!AE9</f>
        <v>900000</v>
      </c>
      <c r="AG16" s="886">
        <f t="shared" si="7"/>
        <v>1297800</v>
      </c>
      <c r="AH16" s="1359">
        <f t="shared" si="178"/>
        <v>397800</v>
      </c>
      <c r="AI16" s="848">
        <f t="shared" si="179"/>
        <v>900000</v>
      </c>
      <c r="AJ16" s="1386">
        <f t="shared" si="8"/>
        <v>397800</v>
      </c>
      <c r="AK16" s="1387">
        <f t="shared" si="9"/>
        <v>397800</v>
      </c>
      <c r="AL16" s="1386">
        <f>'[1]Дотация  из  ОБ_факт'!AE9</f>
        <v>900000</v>
      </c>
      <c r="AM16" s="884">
        <f>AL16</f>
        <v>900000</v>
      </c>
      <c r="AN16" s="1012">
        <f>'Проверочная  таблица'!UT16+'Проверочная  таблица'!UV16+BL16+BN16+BZ16+CB16+AZ16+BD16+'Проверочная  таблица'!MT16+'Проверочная  таблица'!NJ16+'Проверочная  таблица'!DT16+'Проверочная  таблица'!OB16+DL16+'Проверочная  таблица'!JJ16+'Проверочная  таблица'!JP16+'Проверочная  таблица'!OJ16+'Проверочная  таблица'!OR16+JD16+AP16+AV16+ET16+EZ16+CN16+SP16+DZ16+TD16+PZ16+EF16+EN16+LN16+LV16+SJ16+GN16+RV16+QX16+KH16+KR16+RD16+SB16+CH16+QR16+HD16+FX16+HJ16+HP16+FR16+DB16+PP16+BT16+IH16+IX16+GV16+GD16+IN16</f>
        <v>1099927808.3700001</v>
      </c>
      <c r="AO16" s="1013">
        <f>'Проверочная  таблица'!UU16+'Проверочная  таблица'!UW16+BM16+BO16+CA16+CC16+BB16+BF16+'Проверочная  таблица'!NB16+'Проверочная  таблица'!NM16+'Проверочная  таблица'!DW16+'Проверочная  таблица'!OF16+DP16+'Проверочная  таблица'!JM16+'Проверочная  таблица'!JS16+'Проверочная  таблица'!ON16+'Проверочная  таблица'!OV16+JG16+AS16+AX16+EW16+FC16+CU16+SW16+EC16+TK16+QC16+EJ16+EQ16+LR16+LZ16+SM16+GR16+RY16+RA16+KM16+KW16+RG16+SF16+CK16+QU16+HG16+GA16+HM16+HS16+FU16+DE16+PU16+BW16+IK16+JA16+GX16+GG16+IQ16</f>
        <v>452754280.65000004</v>
      </c>
      <c r="AP16" s="1050">
        <f t="shared" si="10"/>
        <v>49290000</v>
      </c>
      <c r="AQ16" s="885">
        <f>[1]Субсидия_факт!HV11</f>
        <v>49290000</v>
      </c>
      <c r="AR16" s="866">
        <f>[1]Субсидия_факт!MR11</f>
        <v>0</v>
      </c>
      <c r="AS16" s="1050">
        <f t="shared" si="11"/>
        <v>49290000</v>
      </c>
      <c r="AT16" s="866">
        <v>49290000</v>
      </c>
      <c r="AU16" s="885"/>
      <c r="AV16" s="1003">
        <f t="shared" si="12"/>
        <v>64600000</v>
      </c>
      <c r="AW16" s="866">
        <f>[1]Субсидия_факт!MV11</f>
        <v>64600000</v>
      </c>
      <c r="AX16" s="1360">
        <f t="shared" si="13"/>
        <v>0</v>
      </c>
      <c r="AY16" s="866"/>
      <c r="AZ16" s="897">
        <f t="shared" si="14"/>
        <v>0</v>
      </c>
      <c r="BA16" s="866">
        <f>[1]Субсидия_факт!KZ11</f>
        <v>0</v>
      </c>
      <c r="BB16" s="1050">
        <f t="shared" si="15"/>
        <v>0</v>
      </c>
      <c r="BC16" s="866"/>
      <c r="BD16" s="897">
        <f t="shared" si="16"/>
        <v>0</v>
      </c>
      <c r="BE16" s="866">
        <f>[1]Субсидия_факт!LB11</f>
        <v>0</v>
      </c>
      <c r="BF16" s="1050">
        <f t="shared" si="17"/>
        <v>0</v>
      </c>
      <c r="BG16" s="866"/>
      <c r="BH16" s="1373">
        <f t="shared" si="18"/>
        <v>0</v>
      </c>
      <c r="BI16" s="879">
        <f t="shared" si="19"/>
        <v>0</v>
      </c>
      <c r="BJ16" s="1390">
        <f t="shared" si="20"/>
        <v>0</v>
      </c>
      <c r="BK16" s="1373">
        <f t="shared" si="21"/>
        <v>0</v>
      </c>
      <c r="BL16" s="897">
        <f>[1]Субсидия_факт!GV11</f>
        <v>0</v>
      </c>
      <c r="BM16" s="886"/>
      <c r="BN16" s="1391">
        <f>[1]Субсидия_факт!GX11</f>
        <v>0</v>
      </c>
      <c r="BO16" s="887"/>
      <c r="BP16" s="1390">
        <f t="shared" si="22"/>
        <v>0</v>
      </c>
      <c r="BQ16" s="1373">
        <f t="shared" si="22"/>
        <v>0</v>
      </c>
      <c r="BR16" s="879">
        <f>[1]Субсидия_факт!GZ11</f>
        <v>0</v>
      </c>
      <c r="BS16" s="881"/>
      <c r="BT16" s="897">
        <f t="shared" si="23"/>
        <v>56538000</v>
      </c>
      <c r="BU16" s="862">
        <f>[1]Субсидия_факт!HL11</f>
        <v>49290000</v>
      </c>
      <c r="BV16" s="866">
        <f>[1]Субсидия_факт!HN11</f>
        <v>7248000</v>
      </c>
      <c r="BW16" s="1050">
        <f t="shared" si="24"/>
        <v>0</v>
      </c>
      <c r="BX16" s="866"/>
      <c r="BY16" s="866"/>
      <c r="BZ16" s="1050">
        <f>[1]Субсидия_факт!HB11</f>
        <v>0</v>
      </c>
      <c r="CA16" s="888"/>
      <c r="CB16" s="1050">
        <f>[1]Субсидия_факт!HD11</f>
        <v>0</v>
      </c>
      <c r="CC16" s="887"/>
      <c r="CD16" s="1367">
        <f t="shared" si="25"/>
        <v>0</v>
      </c>
      <c r="CE16" s="878">
        <f t="shared" si="25"/>
        <v>0</v>
      </c>
      <c r="CF16" s="1368">
        <f>[1]Субсидия_факт!HF11</f>
        <v>0</v>
      </c>
      <c r="CG16" s="849"/>
      <c r="CH16" s="897">
        <f t="shared" si="26"/>
        <v>117311223.18000001</v>
      </c>
      <c r="CI16" s="862">
        <f>[1]Субсидия_факт!HP11</f>
        <v>113376690</v>
      </c>
      <c r="CJ16" s="866">
        <f>[1]Субсидия_факт!HR11</f>
        <v>3934533.18</v>
      </c>
      <c r="CK16" s="1050">
        <f t="shared" si="27"/>
        <v>0</v>
      </c>
      <c r="CL16" s="866"/>
      <c r="CM16" s="866"/>
      <c r="CN16" s="1003">
        <f t="shared" si="28"/>
        <v>0</v>
      </c>
      <c r="CO16" s="859">
        <f>[1]Субсидия_факт!LR11</f>
        <v>0</v>
      </c>
      <c r="CP16" s="858">
        <f>[1]Субсидия_факт!LT11</f>
        <v>0</v>
      </c>
      <c r="CQ16" s="850">
        <f>[1]Субсидия_факт!LV11</f>
        <v>0</v>
      </c>
      <c r="CR16" s="858">
        <f>[1]Субсидия_факт!MB11</f>
        <v>0</v>
      </c>
      <c r="CS16" s="850">
        <f>[1]Субсидия_факт!MH11</f>
        <v>0</v>
      </c>
      <c r="CT16" s="858">
        <f>[1]Субсидия_факт!MJ11</f>
        <v>0</v>
      </c>
      <c r="CU16" s="1003">
        <f t="shared" si="29"/>
        <v>0</v>
      </c>
      <c r="CV16" s="851"/>
      <c r="CW16" s="858"/>
      <c r="CX16" s="850"/>
      <c r="CY16" s="858"/>
      <c r="CZ16" s="850"/>
      <c r="DA16" s="858"/>
      <c r="DB16" s="1013">
        <f t="shared" ref="DB16:DB29" si="205">SUM(DC16:DD16)</f>
        <v>0</v>
      </c>
      <c r="DC16" s="859">
        <f>[1]Субсидия_факт!LX11</f>
        <v>0</v>
      </c>
      <c r="DD16" s="858">
        <f>[1]Субсидия_факт!MD11</f>
        <v>0</v>
      </c>
      <c r="DE16" s="1003">
        <f t="shared" si="31"/>
        <v>0</v>
      </c>
      <c r="DF16" s="859"/>
      <c r="DG16" s="860"/>
      <c r="DH16" s="1367">
        <f t="shared" ref="DH16:DH29" si="206">DB16-DJ16</f>
        <v>0</v>
      </c>
      <c r="DI16" s="878">
        <f t="shared" ref="DI16:DI29" si="207">DE16-DK16</f>
        <v>0</v>
      </c>
      <c r="DJ16" s="1368">
        <f t="shared" ref="DJ16:DJ29" si="208">DB16</f>
        <v>0</v>
      </c>
      <c r="DK16" s="849">
        <f t="shared" ref="DK16:DK29" si="209">DE16</f>
        <v>0</v>
      </c>
      <c r="DL16" s="1050">
        <f t="shared" ref="DL16:DL29" si="210">SUM(DM16:DO16)</f>
        <v>0</v>
      </c>
      <c r="DM16" s="885">
        <f>[1]Субсидия_факт!R11</f>
        <v>0</v>
      </c>
      <c r="DN16" s="862">
        <f>[1]Субсидия_факт!T11</f>
        <v>0</v>
      </c>
      <c r="DO16" s="866">
        <f>[1]Субсидия_факт!V11</f>
        <v>0</v>
      </c>
      <c r="DP16" s="1050">
        <f t="shared" ref="DP16:DP29" si="211">SUM(DQ16:DS16)</f>
        <v>0</v>
      </c>
      <c r="DQ16" s="866"/>
      <c r="DR16" s="866"/>
      <c r="DS16" s="866"/>
      <c r="DT16" s="897">
        <f t="shared" si="32"/>
        <v>3148842.11</v>
      </c>
      <c r="DU16" s="862">
        <f>[1]Субсидия_факт!AX11</f>
        <v>157442.10999999987</v>
      </c>
      <c r="DV16" s="863">
        <f>[1]Субсидия_факт!AZ11</f>
        <v>2991400</v>
      </c>
      <c r="DW16" s="1050">
        <f t="shared" si="33"/>
        <v>2261255.7999999998</v>
      </c>
      <c r="DX16" s="885">
        <v>113062.79</v>
      </c>
      <c r="DY16" s="889">
        <v>2148193.0099999998</v>
      </c>
      <c r="DZ16" s="897">
        <f t="shared" si="34"/>
        <v>0</v>
      </c>
      <c r="EA16" s="862">
        <f>[1]Субсидия_факт!X11</f>
        <v>0</v>
      </c>
      <c r="EB16" s="863">
        <f>[1]Субсидия_факт!Z11</f>
        <v>0</v>
      </c>
      <c r="EC16" s="1050">
        <f t="shared" si="35"/>
        <v>0</v>
      </c>
      <c r="ED16" s="862"/>
      <c r="EE16" s="863"/>
      <c r="EF16" s="1013">
        <f t="shared" ref="EF16:EF29" si="212">SUM(EG16:EI16)</f>
        <v>0</v>
      </c>
      <c r="EG16" s="859">
        <f>[1]Субсидия_факт!AP11</f>
        <v>0</v>
      </c>
      <c r="EH16" s="859">
        <f>[1]Субсидия_факт!AL11</f>
        <v>0</v>
      </c>
      <c r="EI16" s="860">
        <f>[1]Субсидия_факт!AN11</f>
        <v>0</v>
      </c>
      <c r="EJ16" s="1013">
        <f t="shared" si="36"/>
        <v>0</v>
      </c>
      <c r="EK16" s="859"/>
      <c r="EL16" s="859"/>
      <c r="EM16" s="860"/>
      <c r="EN16" s="1013">
        <f t="shared" si="37"/>
        <v>0</v>
      </c>
      <c r="EO16" s="859">
        <f>[1]Субсидия_факт!HH11</f>
        <v>0</v>
      </c>
      <c r="EP16" s="858">
        <f>[1]Субсидия_факт!HJ11</f>
        <v>0</v>
      </c>
      <c r="EQ16" s="1003">
        <f t="shared" si="38"/>
        <v>0</v>
      </c>
      <c r="ER16" s="859"/>
      <c r="ES16" s="858"/>
      <c r="ET16" s="1013">
        <f t="shared" si="39"/>
        <v>0</v>
      </c>
      <c r="EU16" s="862">
        <f>[1]Субсидия_факт!PK11</f>
        <v>0</v>
      </c>
      <c r="EV16" s="863">
        <f>[1]Субсидия_факт!PQ11</f>
        <v>0</v>
      </c>
      <c r="EW16" s="1003">
        <f t="shared" si="40"/>
        <v>0</v>
      </c>
      <c r="EX16" s="859"/>
      <c r="EY16" s="860"/>
      <c r="EZ16" s="1013">
        <f t="shared" si="41"/>
        <v>0</v>
      </c>
      <c r="FA16" s="859">
        <f>[1]Субсидия_факт!PM11</f>
        <v>0</v>
      </c>
      <c r="FB16" s="858">
        <f>[1]Субсидия_факт!PS11</f>
        <v>0</v>
      </c>
      <c r="FC16" s="1003">
        <f t="shared" si="42"/>
        <v>0</v>
      </c>
      <c r="FD16" s="859"/>
      <c r="FE16" s="860"/>
      <c r="FF16" s="1369">
        <f t="shared" si="43"/>
        <v>0</v>
      </c>
      <c r="FG16" s="859">
        <f t="shared" si="44"/>
        <v>0</v>
      </c>
      <c r="FH16" s="858">
        <f t="shared" si="44"/>
        <v>0</v>
      </c>
      <c r="FI16" s="878">
        <f t="shared" si="45"/>
        <v>0</v>
      </c>
      <c r="FJ16" s="859">
        <f t="shared" si="46"/>
        <v>0</v>
      </c>
      <c r="FK16" s="858">
        <f t="shared" si="46"/>
        <v>0</v>
      </c>
      <c r="FL16" s="1369">
        <f t="shared" si="47"/>
        <v>0</v>
      </c>
      <c r="FM16" s="859">
        <f>[1]Субсидия_факт!PO11</f>
        <v>0</v>
      </c>
      <c r="FN16" s="858">
        <f>[1]Субсидия_факт!PU11</f>
        <v>0</v>
      </c>
      <c r="FO16" s="878">
        <f t="shared" si="48"/>
        <v>0</v>
      </c>
      <c r="FP16" s="859"/>
      <c r="FQ16" s="860"/>
      <c r="FR16" s="1013">
        <f t="shared" si="49"/>
        <v>0</v>
      </c>
      <c r="FS16" s="862">
        <f>[1]Субсидия_факт!EP11</f>
        <v>0</v>
      </c>
      <c r="FT16" s="863">
        <f>[1]Субсидия_факт!ER11</f>
        <v>0</v>
      </c>
      <c r="FU16" s="1371">
        <f t="shared" si="50"/>
        <v>0</v>
      </c>
      <c r="FV16" s="862"/>
      <c r="FW16" s="863"/>
      <c r="FX16" s="897">
        <f t="shared" si="51"/>
        <v>0</v>
      </c>
      <c r="FY16" s="862">
        <f>[1]Субсидия_факт!JN11</f>
        <v>0</v>
      </c>
      <c r="FZ16" s="863">
        <f>[1]Субсидия_факт!JP11</f>
        <v>0</v>
      </c>
      <c r="GA16" s="897">
        <f t="shared" si="52"/>
        <v>0</v>
      </c>
      <c r="GB16" s="862"/>
      <c r="GC16" s="863"/>
      <c r="GD16" s="1372">
        <f t="shared" si="53"/>
        <v>0</v>
      </c>
      <c r="GE16" s="859">
        <f>[1]Субсидия_факт!JR11</f>
        <v>0</v>
      </c>
      <c r="GF16" s="860">
        <f>[1]Субсидия_факт!JV11</f>
        <v>0</v>
      </c>
      <c r="GG16" s="1372">
        <f t="shared" si="54"/>
        <v>0</v>
      </c>
      <c r="GH16" s="862"/>
      <c r="GI16" s="889"/>
      <c r="GJ16" s="1373">
        <f t="shared" ref="GJ16:GJ29" si="213">GD16-GL16</f>
        <v>0</v>
      </c>
      <c r="GK16" s="879">
        <f t="shared" ref="GK16:GK29" si="214">GG16-GM16</f>
        <v>0</v>
      </c>
      <c r="GL16" s="1390">
        <f t="shared" ref="GL16:GL29" si="215">GD16</f>
        <v>0</v>
      </c>
      <c r="GM16" s="879">
        <f t="shared" ref="GM16:GM29" si="216">GG16</f>
        <v>0</v>
      </c>
      <c r="GN16" s="1371">
        <f t="shared" si="55"/>
        <v>0</v>
      </c>
      <c r="GO16" s="862">
        <f>[1]Субсидия_факт!KL11</f>
        <v>0</v>
      </c>
      <c r="GP16" s="863">
        <f>[1]Субсидия_факт!KN11</f>
        <v>0</v>
      </c>
      <c r="GQ16" s="862">
        <f>[1]Субсидия_факт!KP11</f>
        <v>0</v>
      </c>
      <c r="GR16" s="897">
        <f t="shared" si="56"/>
        <v>0</v>
      </c>
      <c r="GS16" s="862"/>
      <c r="GT16" s="863"/>
      <c r="GU16" s="866"/>
      <c r="GV16" s="1372">
        <f t="shared" ref="GV16:GX29" si="217">GW16</f>
        <v>123288200</v>
      </c>
      <c r="GW16" s="862">
        <f>[1]Субсидия_факт!KR11</f>
        <v>123288200</v>
      </c>
      <c r="GX16" s="1372">
        <f t="shared" si="217"/>
        <v>104295970.7</v>
      </c>
      <c r="GY16" s="866">
        <v>104295970.7</v>
      </c>
      <c r="GZ16" s="1373">
        <f t="shared" ref="GZ16:GZ29" si="218">GV16-HB16</f>
        <v>0</v>
      </c>
      <c r="HA16" s="1373">
        <f t="shared" ref="HA16:HA29" si="219">GX16-HC16</f>
        <v>0</v>
      </c>
      <c r="HB16" s="1373">
        <f t="shared" ref="HB16:HB29" si="220">GV16</f>
        <v>123288200</v>
      </c>
      <c r="HC16" s="1373">
        <f t="shared" ref="HC16:HC29" si="221">GX16</f>
        <v>104295970.7</v>
      </c>
      <c r="HD16" s="897">
        <f t="shared" si="57"/>
        <v>19668962.129999999</v>
      </c>
      <c r="HE16" s="862">
        <f>[1]Субсидия_факт!KV11</f>
        <v>19668962.129999999</v>
      </c>
      <c r="HF16" s="863">
        <f>[1]Субсидия_факт!KX11</f>
        <v>0</v>
      </c>
      <c r="HG16" s="1050">
        <f t="shared" si="58"/>
        <v>0</v>
      </c>
      <c r="HH16" s="862"/>
      <c r="HI16" s="863"/>
      <c r="HJ16" s="897">
        <f t="shared" si="59"/>
        <v>0</v>
      </c>
      <c r="HK16" s="862"/>
      <c r="HL16" s="863"/>
      <c r="HM16" s="1050">
        <f t="shared" si="60"/>
        <v>0</v>
      </c>
      <c r="HN16" s="862"/>
      <c r="HO16" s="863"/>
      <c r="HP16" s="897">
        <f t="shared" si="61"/>
        <v>93055656.569999993</v>
      </c>
      <c r="HQ16" s="862">
        <f>[1]Субсидия_факт!FV11</f>
        <v>930556.57</v>
      </c>
      <c r="HR16" s="863">
        <f>[1]Субсидия_факт!FZ11</f>
        <v>92125100</v>
      </c>
      <c r="HS16" s="1050">
        <f t="shared" si="62"/>
        <v>93055656.569999993</v>
      </c>
      <c r="HT16" s="862">
        <v>930556.57</v>
      </c>
      <c r="HU16" s="863">
        <v>92125100</v>
      </c>
      <c r="HV16" s="1369">
        <f t="shared" si="63"/>
        <v>0</v>
      </c>
      <c r="HW16" s="859">
        <f t="shared" si="64"/>
        <v>0</v>
      </c>
      <c r="HX16" s="858">
        <f t="shared" si="64"/>
        <v>0</v>
      </c>
      <c r="HY16" s="878">
        <f t="shared" si="65"/>
        <v>0</v>
      </c>
      <c r="HZ16" s="859">
        <f t="shared" si="66"/>
        <v>0</v>
      </c>
      <c r="IA16" s="858">
        <f t="shared" si="66"/>
        <v>0</v>
      </c>
      <c r="IB16" s="1369">
        <f t="shared" si="67"/>
        <v>93055656.569999993</v>
      </c>
      <c r="IC16" s="859">
        <f>[1]Субсидия_факт!FX11</f>
        <v>930556.57</v>
      </c>
      <c r="ID16" s="858">
        <f>[1]Субсидия_факт!GB11</f>
        <v>92125100</v>
      </c>
      <c r="IE16" s="878">
        <f t="shared" si="68"/>
        <v>93055656.569999993</v>
      </c>
      <c r="IF16" s="859">
        <f t="shared" si="187"/>
        <v>930556.57</v>
      </c>
      <c r="IG16" s="860">
        <f t="shared" si="188"/>
        <v>92125100</v>
      </c>
      <c r="IH16" s="897">
        <f t="shared" si="69"/>
        <v>0</v>
      </c>
      <c r="II16" s="859">
        <f>[1]Субсидия_факт!ED11</f>
        <v>0</v>
      </c>
      <c r="IJ16" s="860">
        <f>[1]Субсидия_факт!EF11</f>
        <v>0</v>
      </c>
      <c r="IK16" s="1050">
        <f t="shared" si="70"/>
        <v>0</v>
      </c>
      <c r="IL16" s="862"/>
      <c r="IM16" s="863"/>
      <c r="IN16" s="1372">
        <f t="shared" si="71"/>
        <v>0</v>
      </c>
      <c r="IO16" s="859">
        <f>[1]Субсидия_факт!EH11</f>
        <v>0</v>
      </c>
      <c r="IP16" s="860">
        <f>[1]Субсидия_факт!EL11</f>
        <v>0</v>
      </c>
      <c r="IQ16" s="1392">
        <f t="shared" si="72"/>
        <v>0</v>
      </c>
      <c r="IR16" s="862"/>
      <c r="IS16" s="889"/>
      <c r="IT16" s="1373">
        <f t="shared" ref="IT16:IT29" si="222">IN16-IV16</f>
        <v>0</v>
      </c>
      <c r="IU16" s="1373">
        <f t="shared" ref="IU16:IU29" si="223">IQ16-IW16</f>
        <v>0</v>
      </c>
      <c r="IV16" s="1373">
        <f t="shared" ref="IV16:IV29" si="224">IN16</f>
        <v>0</v>
      </c>
      <c r="IW16" s="879">
        <f t="shared" ref="IW16:IW29" si="225">IQ16</f>
        <v>0</v>
      </c>
      <c r="IX16" s="1371">
        <f t="shared" si="73"/>
        <v>0</v>
      </c>
      <c r="IY16" s="859">
        <f>[1]Субсидия_факт!BX11</f>
        <v>0</v>
      </c>
      <c r="IZ16" s="860">
        <f>[1]Субсидия_факт!BZ11</f>
        <v>0</v>
      </c>
      <c r="JA16" s="1050">
        <f t="shared" si="74"/>
        <v>0</v>
      </c>
      <c r="JB16" s="862"/>
      <c r="JC16" s="863"/>
      <c r="JD16" s="897">
        <f t="shared" si="75"/>
        <v>0</v>
      </c>
      <c r="JE16" s="862">
        <f>[1]Субсидия_факт!ET11</f>
        <v>0</v>
      </c>
      <c r="JF16" s="863">
        <f>[1]Субсидия_факт!EV11</f>
        <v>0</v>
      </c>
      <c r="JG16" s="1050">
        <f t="shared" si="76"/>
        <v>0</v>
      </c>
      <c r="JH16" s="862"/>
      <c r="JI16" s="863"/>
      <c r="JJ16" s="1003">
        <f t="shared" si="77"/>
        <v>0</v>
      </c>
      <c r="JK16" s="859">
        <f>[1]Субсидия_факт!EX11</f>
        <v>0</v>
      </c>
      <c r="JL16" s="858">
        <f>[1]Субсидия_факт!FD11</f>
        <v>0</v>
      </c>
      <c r="JM16" s="1003">
        <f t="shared" si="78"/>
        <v>0</v>
      </c>
      <c r="JN16" s="859"/>
      <c r="JO16" s="860"/>
      <c r="JP16" s="1003">
        <f t="shared" si="79"/>
        <v>0</v>
      </c>
      <c r="JQ16" s="859">
        <f>[1]Субсидия_факт!EZ11</f>
        <v>0</v>
      </c>
      <c r="JR16" s="860">
        <f>[1]Субсидия_факт!FF11</f>
        <v>0</v>
      </c>
      <c r="JS16" s="1003">
        <f t="shared" si="80"/>
        <v>0</v>
      </c>
      <c r="JT16" s="850"/>
      <c r="JU16" s="864"/>
      <c r="JV16" s="1003">
        <f t="shared" si="81"/>
        <v>-241949.2</v>
      </c>
      <c r="JW16" s="851">
        <f>'Проверочная  таблица'!JQ16-'Проверочная  таблица'!KC16</f>
        <v>-62906.790000000008</v>
      </c>
      <c r="JX16" s="860">
        <f>'Проверочная  таблица'!JR16-'Проверочная  таблица'!KD16</f>
        <v>-179042.41</v>
      </c>
      <c r="JY16" s="1368">
        <f t="shared" si="82"/>
        <v>0</v>
      </c>
      <c r="JZ16" s="850">
        <f>'Проверочная  таблица'!JT16-'Проверочная  таблица'!KF16</f>
        <v>0</v>
      </c>
      <c r="KA16" s="867">
        <f>'Проверочная  таблица'!JU16-'Проверочная  таблица'!KG16</f>
        <v>0</v>
      </c>
      <c r="KB16" s="1003">
        <f t="shared" si="83"/>
        <v>241949.2</v>
      </c>
      <c r="KC16" s="859">
        <f>[1]Субсидия_факт!FB11</f>
        <v>62906.790000000008</v>
      </c>
      <c r="KD16" s="858">
        <f>[1]Субсидия_факт!FH11</f>
        <v>179042.41</v>
      </c>
      <c r="KE16" s="878">
        <f t="shared" si="84"/>
        <v>0</v>
      </c>
      <c r="KF16" s="859"/>
      <c r="KG16" s="860"/>
      <c r="KH16" s="1352">
        <f t="shared" ref="KH16:KH29" si="226">SUM(KI16:KL16)</f>
        <v>5122009.47</v>
      </c>
      <c r="KI16" s="850">
        <f>[1]Субсидия_факт!OD11</f>
        <v>2073510.6099999999</v>
      </c>
      <c r="KJ16" s="860">
        <f>[1]Субсидия_факт!OJ11</f>
        <v>462418.86</v>
      </c>
      <c r="KK16" s="850">
        <f>[1]Субсидия_факт!OR11</f>
        <v>940163.4</v>
      </c>
      <c r="KL16" s="860">
        <f>[1]Субсидия_факт!OT11</f>
        <v>1645916.6</v>
      </c>
      <c r="KM16" s="1352">
        <f t="shared" si="85"/>
        <v>0</v>
      </c>
      <c r="KN16" s="850"/>
      <c r="KO16" s="860"/>
      <c r="KP16" s="850"/>
      <c r="KQ16" s="860"/>
      <c r="KR16" s="1352">
        <f t="shared" ref="KR16:KR29" si="227">SUM(KS16:KV16)</f>
        <v>935850</v>
      </c>
      <c r="KS16" s="885">
        <f>[1]Субсидия_факт!OF11</f>
        <v>935850</v>
      </c>
      <c r="KT16" s="863">
        <f>[1]Субсидия_факт!OL11</f>
        <v>0</v>
      </c>
      <c r="KU16" s="885"/>
      <c r="KV16" s="863"/>
      <c r="KW16" s="1352">
        <f t="shared" si="86"/>
        <v>0</v>
      </c>
      <c r="KX16" s="850"/>
      <c r="KY16" s="860"/>
      <c r="KZ16" s="850"/>
      <c r="LA16" s="860"/>
      <c r="LB16" s="1354">
        <f t="shared" si="87"/>
        <v>-714380</v>
      </c>
      <c r="LC16" s="885">
        <f t="shared" si="88"/>
        <v>-714380</v>
      </c>
      <c r="LD16" s="863">
        <f t="shared" si="88"/>
        <v>0</v>
      </c>
      <c r="LE16" s="1354">
        <f t="shared" si="89"/>
        <v>0</v>
      </c>
      <c r="LF16" s="885">
        <f t="shared" si="90"/>
        <v>0</v>
      </c>
      <c r="LG16" s="863">
        <f t="shared" si="90"/>
        <v>0</v>
      </c>
      <c r="LH16" s="1354">
        <f t="shared" si="91"/>
        <v>1650230</v>
      </c>
      <c r="LI16" s="859">
        <f>[1]Субсидия_факт!OH11</f>
        <v>1650230</v>
      </c>
      <c r="LJ16" s="858">
        <f>[1]Субсидия_факт!ON11</f>
        <v>0</v>
      </c>
      <c r="LK16" s="1354">
        <f t="shared" si="92"/>
        <v>0</v>
      </c>
      <c r="LL16" s="851"/>
      <c r="LM16" s="860"/>
      <c r="LN16" s="1050">
        <f t="shared" ref="LN16:LN29" si="228">SUM(LO16:LQ16)</f>
        <v>0</v>
      </c>
      <c r="LO16" s="865">
        <f>[1]Субсидия_факт!DP11</f>
        <v>0</v>
      </c>
      <c r="LP16" s="850">
        <f>[1]Субсидия_факт!CB11</f>
        <v>0</v>
      </c>
      <c r="LQ16" s="860">
        <f>[1]Субсидия_факт!CH11</f>
        <v>0</v>
      </c>
      <c r="LR16" s="1050">
        <f t="shared" si="93"/>
        <v>0</v>
      </c>
      <c r="LS16" s="865"/>
      <c r="LT16" s="850"/>
      <c r="LU16" s="860"/>
      <c r="LV16" s="1050">
        <f t="shared" ref="LV16:LV29" si="229">SUM(LW16:LY16)</f>
        <v>0</v>
      </c>
      <c r="LW16" s="865">
        <f>[1]Субсидия_факт!DR11</f>
        <v>0</v>
      </c>
      <c r="LX16" s="850">
        <f>[1]Субсидия_факт!CD11</f>
        <v>0</v>
      </c>
      <c r="LY16" s="860">
        <f>[1]Субсидия_факт!CJ11</f>
        <v>0</v>
      </c>
      <c r="LZ16" s="1050">
        <f t="shared" si="94"/>
        <v>0</v>
      </c>
      <c r="MA16" s="865"/>
      <c r="MB16" s="850"/>
      <c r="MC16" s="858"/>
      <c r="MD16" s="879">
        <f t="shared" si="95"/>
        <v>0</v>
      </c>
      <c r="ME16" s="862">
        <f>'Проверочная  таблица'!LW16-MM16</f>
        <v>0</v>
      </c>
      <c r="MF16" s="862">
        <f>'Проверочная  таблица'!LX16-MN16</f>
        <v>0</v>
      </c>
      <c r="MG16" s="863">
        <f>'Проверочная  таблица'!LY16-MO16</f>
        <v>0</v>
      </c>
      <c r="MH16" s="879">
        <f t="shared" si="96"/>
        <v>0</v>
      </c>
      <c r="MI16" s="862">
        <f>'Проверочная  таблица'!MA16-MQ16</f>
        <v>0</v>
      </c>
      <c r="MJ16" s="862">
        <f>'Проверочная  таблица'!MB16-MR16</f>
        <v>0</v>
      </c>
      <c r="MK16" s="863">
        <f>'Проверочная  таблица'!MC16-MS16</f>
        <v>0</v>
      </c>
      <c r="ML16" s="879">
        <f t="shared" si="97"/>
        <v>0</v>
      </c>
      <c r="MM16" s="850">
        <f>[1]Субсидия_факт!DT11</f>
        <v>0</v>
      </c>
      <c r="MN16" s="850">
        <f>[1]Субсидия_факт!CF11</f>
        <v>0</v>
      </c>
      <c r="MO16" s="860">
        <f>[1]Субсидия_факт!CL11</f>
        <v>0</v>
      </c>
      <c r="MP16" s="879">
        <f t="shared" si="98"/>
        <v>0</v>
      </c>
      <c r="MQ16" s="850"/>
      <c r="MR16" s="850"/>
      <c r="MS16" s="860"/>
      <c r="MT16" s="1360">
        <f t="shared" ref="MT16:MT29" si="230">SUM(MU16:NA16)</f>
        <v>241949.2</v>
      </c>
      <c r="MU16" s="850">
        <f>[1]Субсидия_факт!CN11</f>
        <v>0</v>
      </c>
      <c r="MV16" s="858">
        <f>[1]Субсидия_факт!CP11</f>
        <v>0</v>
      </c>
      <c r="MW16" s="862">
        <f>[1]Субсидия_факт!CR11</f>
        <v>0</v>
      </c>
      <c r="MX16" s="863">
        <f>[1]Субсидия_факт!CT11</f>
        <v>0</v>
      </c>
      <c r="MY16" s="851">
        <f>[1]Субсидия_факт!DV11</f>
        <v>0</v>
      </c>
      <c r="MZ16" s="859">
        <f>[1]Субсидия_факт!FJ11</f>
        <v>62906.790000000008</v>
      </c>
      <c r="NA16" s="858">
        <f>[1]Субсидия_факт!FP11</f>
        <v>179042.41</v>
      </c>
      <c r="NB16" s="1003">
        <f t="shared" si="99"/>
        <v>241949.19</v>
      </c>
      <c r="NC16" s="850"/>
      <c r="ND16" s="860"/>
      <c r="NE16" s="866"/>
      <c r="NF16" s="890"/>
      <c r="NG16" s="850"/>
      <c r="NH16" s="850">
        <f>MZ16</f>
        <v>62906.790000000008</v>
      </c>
      <c r="NI16" s="860">
        <v>179042.4</v>
      </c>
      <c r="NJ16" s="1003">
        <f t="shared" ref="NJ16:NJ29" si="231">SUM(NK16:NL16)</f>
        <v>92125100</v>
      </c>
      <c r="NK16" s="859">
        <f>[1]Субсидия_факт!FL11</f>
        <v>0</v>
      </c>
      <c r="NL16" s="858">
        <f>[1]Субсидия_факт!FR11</f>
        <v>92125100</v>
      </c>
      <c r="NM16" s="1003">
        <f t="shared" si="101"/>
        <v>0</v>
      </c>
      <c r="NN16" s="851"/>
      <c r="NO16" s="860"/>
      <c r="NP16" s="878">
        <f t="shared" si="102"/>
        <v>0</v>
      </c>
      <c r="NQ16" s="859">
        <f>'Проверочная  таблица'!NK16-NW16</f>
        <v>0</v>
      </c>
      <c r="NR16" s="860">
        <f>'Проверочная  таблица'!NL16-NX16</f>
        <v>0</v>
      </c>
      <c r="NS16" s="878">
        <f t="shared" si="103"/>
        <v>0</v>
      </c>
      <c r="NT16" s="850">
        <f>'Проверочная  таблица'!NN16-NZ16</f>
        <v>0</v>
      </c>
      <c r="NU16" s="867">
        <f>'Проверочная  таблица'!NO16-OA16</f>
        <v>0</v>
      </c>
      <c r="NV16" s="878">
        <f t="shared" ref="NV16:NV29" si="232">SUM(NW16:NX16)</f>
        <v>92125100</v>
      </c>
      <c r="NW16" s="859">
        <f>[1]Субсидия_факт!FN11</f>
        <v>0</v>
      </c>
      <c r="NX16" s="858">
        <f>[1]Субсидия_факт!FT11</f>
        <v>92125100</v>
      </c>
      <c r="NY16" s="878">
        <f t="shared" si="104"/>
        <v>0</v>
      </c>
      <c r="NZ16" s="850"/>
      <c r="OA16" s="860"/>
      <c r="OB16" s="1012">
        <f t="shared" ref="OB16:OB29" si="233">SUM(OC16:OE16)</f>
        <v>0</v>
      </c>
      <c r="OC16" s="859">
        <f>[1]Субсидия_факт!AR11</f>
        <v>0</v>
      </c>
      <c r="OD16" s="858">
        <f>[1]Субсидия_факт!AT11</f>
        <v>0</v>
      </c>
      <c r="OE16" s="859">
        <f>[1]Субсидия_факт!AV11</f>
        <v>0</v>
      </c>
      <c r="OF16" s="1050">
        <f t="shared" si="105"/>
        <v>0</v>
      </c>
      <c r="OG16" s="866"/>
      <c r="OH16" s="863"/>
      <c r="OI16" s="866"/>
      <c r="OJ16" s="1376">
        <f t="shared" si="106"/>
        <v>26000000</v>
      </c>
      <c r="OK16" s="859">
        <f>[1]Субсидия_факт!GD11</f>
        <v>26000000</v>
      </c>
      <c r="OL16" s="858">
        <f>[1]Субсидия_факт!GJ11</f>
        <v>0</v>
      </c>
      <c r="OM16" s="866">
        <f>[1]Субсидия_факт!GP11</f>
        <v>0</v>
      </c>
      <c r="ON16" s="1376">
        <f t="shared" si="107"/>
        <v>0</v>
      </c>
      <c r="OO16" s="851"/>
      <c r="OP16" s="860"/>
      <c r="OQ16" s="850"/>
      <c r="OR16" s="1352">
        <f t="shared" ref="OR16:OR29" si="234">SUM(OS16:OU16)</f>
        <v>27368421.399999999</v>
      </c>
      <c r="OS16" s="859">
        <f>[1]Субсидия_факт!GF11</f>
        <v>1368421.3999999985</v>
      </c>
      <c r="OT16" s="858">
        <f>[1]Субсидия_факт!GL11</f>
        <v>26000000</v>
      </c>
      <c r="OU16" s="850">
        <f>[1]Субсидия_факт!GR11</f>
        <v>0</v>
      </c>
      <c r="OV16" s="1352">
        <f t="shared" si="108"/>
        <v>27368421.399999999</v>
      </c>
      <c r="OW16" s="850">
        <v>1368421.4</v>
      </c>
      <c r="OX16" s="867">
        <v>26000000</v>
      </c>
      <c r="OY16" s="850"/>
      <c r="OZ16" s="1354">
        <f t="shared" si="109"/>
        <v>0</v>
      </c>
      <c r="PA16" s="885">
        <f>'Проверочная  таблица'!OS16-PI16</f>
        <v>0</v>
      </c>
      <c r="PB16" s="863">
        <f>'Проверочная  таблица'!OT16-PJ16</f>
        <v>0</v>
      </c>
      <c r="PC16" s="866">
        <f>'Проверочная  таблица'!OU16-PK16</f>
        <v>0</v>
      </c>
      <c r="PD16" s="1354">
        <f t="shared" ref="PD16:PD29" si="235">SUM(PE16:PG16)</f>
        <v>0</v>
      </c>
      <c r="PE16" s="851">
        <f>'Проверочная  таблица'!OW16-PM16</f>
        <v>0</v>
      </c>
      <c r="PF16" s="860">
        <f>'Проверочная  таблица'!OX16-PN16</f>
        <v>0</v>
      </c>
      <c r="PG16" s="850">
        <f>'Проверочная  таблица'!OY16-PO16</f>
        <v>0</v>
      </c>
      <c r="PH16" s="1354">
        <f t="shared" si="110"/>
        <v>27368421.399999999</v>
      </c>
      <c r="PI16" s="859">
        <f>[1]Субсидия_факт!GH11</f>
        <v>1368421.3999999985</v>
      </c>
      <c r="PJ16" s="858">
        <f>[1]Субсидия_факт!GN11</f>
        <v>26000000</v>
      </c>
      <c r="PK16" s="859">
        <f>[1]Субсидия_факт!GT11</f>
        <v>0</v>
      </c>
      <c r="PL16" s="1354">
        <f t="shared" si="111"/>
        <v>27368421.399999999</v>
      </c>
      <c r="PM16" s="851">
        <f t="shared" si="191"/>
        <v>1368421.4</v>
      </c>
      <c r="PN16" s="860">
        <f t="shared" si="192"/>
        <v>26000000</v>
      </c>
      <c r="PO16" s="859"/>
      <c r="PP16" s="1003">
        <f t="shared" si="193"/>
        <v>0</v>
      </c>
      <c r="PQ16" s="862">
        <f>[1]Субсидия_факт!JB11</f>
        <v>0</v>
      </c>
      <c r="PR16" s="863">
        <f>[1]Субсидия_факт!JH11</f>
        <v>0</v>
      </c>
      <c r="PS16" s="862"/>
      <c r="PT16" s="863"/>
      <c r="PU16" s="1003">
        <f t="shared" si="194"/>
        <v>0</v>
      </c>
      <c r="PV16" s="866"/>
      <c r="PW16" s="890"/>
      <c r="PX16" s="866"/>
      <c r="PY16" s="890"/>
      <c r="PZ16" s="1050">
        <f t="shared" si="112"/>
        <v>1358449.09</v>
      </c>
      <c r="QA16" s="862">
        <f>[1]Субсидия_факт!JD11</f>
        <v>67922.45</v>
      </c>
      <c r="QB16" s="863">
        <f>[1]Субсидия_факт!JJ11</f>
        <v>1290526.6400000001</v>
      </c>
      <c r="QC16" s="1391">
        <f t="shared" si="113"/>
        <v>1349744.28</v>
      </c>
      <c r="QD16" s="866">
        <v>67487.210000000006</v>
      </c>
      <c r="QE16" s="890">
        <v>1282257.07</v>
      </c>
      <c r="QF16" s="879">
        <f t="shared" ref="QF16:QF29" si="236">SUM(QG16:QH16)</f>
        <v>1358449.09</v>
      </c>
      <c r="QG16" s="866">
        <f t="shared" si="114"/>
        <v>67922.45</v>
      </c>
      <c r="QH16" s="863">
        <f t="shared" si="114"/>
        <v>1290526.6400000001</v>
      </c>
      <c r="QI16" s="1373">
        <f t="shared" si="115"/>
        <v>1349744.28</v>
      </c>
      <c r="QJ16" s="862">
        <f t="shared" si="116"/>
        <v>67487.210000000006</v>
      </c>
      <c r="QK16" s="863">
        <f t="shared" si="116"/>
        <v>1282257.07</v>
      </c>
      <c r="QL16" s="1373">
        <f t="shared" si="117"/>
        <v>0</v>
      </c>
      <c r="QM16" s="862">
        <f>[1]Субсидия_факт!JF11</f>
        <v>0</v>
      </c>
      <c r="QN16" s="863">
        <f>[1]Субсидия_факт!JL11</f>
        <v>0</v>
      </c>
      <c r="QO16" s="1397">
        <f t="shared" ref="QO16:QO29" si="237">SUM(QP16:QQ16)</f>
        <v>0</v>
      </c>
      <c r="QP16" s="866"/>
      <c r="QQ16" s="890"/>
      <c r="QR16" s="897">
        <f t="shared" si="118"/>
        <v>0</v>
      </c>
      <c r="QS16" s="862">
        <f>[1]Субсидия_факт!CV11</f>
        <v>0</v>
      </c>
      <c r="QT16" s="863">
        <f>[1]Субсидия_факт!CX11</f>
        <v>0</v>
      </c>
      <c r="QU16" s="1050">
        <f t="shared" si="119"/>
        <v>0</v>
      </c>
      <c r="QV16" s="862"/>
      <c r="QW16" s="863"/>
      <c r="QX16" s="897">
        <f t="shared" si="120"/>
        <v>0</v>
      </c>
      <c r="QY16" s="862">
        <f>[1]Субсидия_факт!CZ11</f>
        <v>0</v>
      </c>
      <c r="QZ16" s="863">
        <f>[1]Субсидия_факт!DF11</f>
        <v>0</v>
      </c>
      <c r="RA16" s="1050">
        <f t="shared" si="121"/>
        <v>0</v>
      </c>
      <c r="RB16" s="862"/>
      <c r="RC16" s="863"/>
      <c r="RD16" s="897">
        <f t="shared" si="122"/>
        <v>0</v>
      </c>
      <c r="RE16" s="862">
        <f>[1]Субсидия_факт!DB11</f>
        <v>0</v>
      </c>
      <c r="RF16" s="863">
        <f>[1]Субсидия_факт!DH11</f>
        <v>0</v>
      </c>
      <c r="RG16" s="1050">
        <f t="shared" si="123"/>
        <v>0</v>
      </c>
      <c r="RH16" s="862"/>
      <c r="RI16" s="863"/>
      <c r="RJ16" s="1373">
        <f t="shared" si="124"/>
        <v>0</v>
      </c>
      <c r="RK16" s="862">
        <f t="shared" si="125"/>
        <v>0</v>
      </c>
      <c r="RL16" s="863">
        <f t="shared" si="125"/>
        <v>0</v>
      </c>
      <c r="RM16" s="879">
        <f t="shared" si="126"/>
        <v>0</v>
      </c>
      <c r="RN16" s="862">
        <f t="shared" si="127"/>
        <v>0</v>
      </c>
      <c r="RO16" s="863">
        <f t="shared" si="127"/>
        <v>0</v>
      </c>
      <c r="RP16" s="897">
        <f t="shared" si="128"/>
        <v>0</v>
      </c>
      <c r="RQ16" s="862">
        <f>[1]Субсидия_факт!DD11</f>
        <v>0</v>
      </c>
      <c r="RR16" s="863">
        <f>[1]Субсидия_факт!DJ11</f>
        <v>0</v>
      </c>
      <c r="RS16" s="879">
        <f t="shared" si="129"/>
        <v>0</v>
      </c>
      <c r="RT16" s="862"/>
      <c r="RU16" s="863"/>
      <c r="RV16" s="897">
        <f t="shared" si="130"/>
        <v>0</v>
      </c>
      <c r="RW16" s="862">
        <f>[1]Субсидия_факт!DL11</f>
        <v>0</v>
      </c>
      <c r="RX16" s="863">
        <f>[1]Субсидия_факт!DN11</f>
        <v>0</v>
      </c>
      <c r="RY16" s="1391">
        <f t="shared" si="131"/>
        <v>0</v>
      </c>
      <c r="RZ16" s="885"/>
      <c r="SA16" s="889"/>
      <c r="SB16" s="1050">
        <f t="shared" ref="SB16:SB29" si="238">SUM(SC16:SE16)</f>
        <v>0</v>
      </c>
      <c r="SC16" s="859">
        <f>[1]Субсидия_факт!BJ11</f>
        <v>0</v>
      </c>
      <c r="SD16" s="862">
        <f>[1]Субсидия_факт!BF11</f>
        <v>0</v>
      </c>
      <c r="SE16" s="889">
        <f>[1]Субсидия_факт!BH11</f>
        <v>0</v>
      </c>
      <c r="SF16" s="1050">
        <f t="shared" si="132"/>
        <v>0</v>
      </c>
      <c r="SG16" s="891"/>
      <c r="SH16" s="885"/>
      <c r="SI16" s="889"/>
      <c r="SJ16" s="897">
        <f t="shared" si="133"/>
        <v>0</v>
      </c>
      <c r="SK16" s="862">
        <f>[1]Субсидия_факт!AD11</f>
        <v>0</v>
      </c>
      <c r="SL16" s="863">
        <f>[1]Субсидия_факт!AF11</f>
        <v>0</v>
      </c>
      <c r="SM16" s="1050">
        <f t="shared" si="134"/>
        <v>0</v>
      </c>
      <c r="SN16" s="885"/>
      <c r="SO16" s="889"/>
      <c r="SP16" s="897">
        <f t="shared" ref="SP16:SP29" si="239">SUM(SQ16:SV16)</f>
        <v>123288200</v>
      </c>
      <c r="SQ16" s="862">
        <f>[1]Субсидия_факт!ID11</f>
        <v>0</v>
      </c>
      <c r="SR16" s="863">
        <f>[1]Субсидия_факт!IJ11</f>
        <v>0</v>
      </c>
      <c r="SS16" s="885">
        <f>[1]Субсидия_факт!IP11</f>
        <v>0</v>
      </c>
      <c r="ST16" s="863">
        <f>[1]Субсидия_факт!IV11</f>
        <v>0</v>
      </c>
      <c r="SU16" s="1123">
        <f>[1]Субсидия_факт!JZ11</f>
        <v>0</v>
      </c>
      <c r="SV16" s="889">
        <f>[1]Субсидия_факт!KF11</f>
        <v>123288200</v>
      </c>
      <c r="SW16" s="1050">
        <f t="shared" si="135"/>
        <v>0</v>
      </c>
      <c r="SX16" s="1244"/>
      <c r="SY16" s="890"/>
      <c r="SZ16" s="1244"/>
      <c r="TA16" s="890"/>
      <c r="TB16" s="1123"/>
      <c r="TC16" s="889"/>
      <c r="TD16" s="1400">
        <f t="shared" si="136"/>
        <v>0</v>
      </c>
      <c r="TE16" s="862">
        <f>[1]Субсидия_факт!IF11</f>
        <v>0</v>
      </c>
      <c r="TF16" s="863">
        <f>[1]Субсидия_факт!IL11</f>
        <v>0</v>
      </c>
      <c r="TG16" s="885">
        <f>[1]Субсидия_факт!IR11</f>
        <v>0</v>
      </c>
      <c r="TH16" s="863">
        <f>[1]Субсидия_факт!IX11</f>
        <v>0</v>
      </c>
      <c r="TI16" s="885">
        <f>[1]Субсидия_факт!KB11</f>
        <v>0</v>
      </c>
      <c r="TJ16" s="863">
        <f>[1]Субсидия_факт!KH11</f>
        <v>0</v>
      </c>
      <c r="TK16" s="1050">
        <f t="shared" si="137"/>
        <v>0</v>
      </c>
      <c r="TL16" s="866"/>
      <c r="TM16" s="890"/>
      <c r="TN16" s="1123"/>
      <c r="TO16" s="890"/>
      <c r="TP16" s="866"/>
      <c r="TQ16" s="890"/>
      <c r="TR16" s="1397">
        <f t="shared" si="138"/>
        <v>-1742111.63</v>
      </c>
      <c r="TS16" s="862">
        <f t="shared" si="139"/>
        <v>0</v>
      </c>
      <c r="TT16" s="863">
        <f t="shared" si="139"/>
        <v>0</v>
      </c>
      <c r="TU16" s="862">
        <f t="shared" si="139"/>
        <v>-87105.579999999842</v>
      </c>
      <c r="TV16" s="863">
        <f t="shared" si="139"/>
        <v>-1655006.05</v>
      </c>
      <c r="TW16" s="885">
        <f t="shared" si="139"/>
        <v>0</v>
      </c>
      <c r="TX16" s="863">
        <f t="shared" si="139"/>
        <v>0</v>
      </c>
      <c r="TY16" s="879">
        <f t="shared" si="140"/>
        <v>0</v>
      </c>
      <c r="TZ16" s="862">
        <f t="shared" si="141"/>
        <v>0</v>
      </c>
      <c r="UA16" s="863">
        <f t="shared" si="141"/>
        <v>0</v>
      </c>
      <c r="UB16" s="862">
        <f t="shared" si="141"/>
        <v>0</v>
      </c>
      <c r="UC16" s="863">
        <f t="shared" si="141"/>
        <v>0</v>
      </c>
      <c r="UD16" s="885">
        <f t="shared" si="141"/>
        <v>0</v>
      </c>
      <c r="UE16" s="863">
        <f t="shared" si="141"/>
        <v>0</v>
      </c>
      <c r="UF16" s="1401">
        <f t="shared" si="142"/>
        <v>1742111.63</v>
      </c>
      <c r="UG16" s="862">
        <f>[1]Субсидия_факт!IH11</f>
        <v>0</v>
      </c>
      <c r="UH16" s="863">
        <f>[1]Субсидия_факт!IN11</f>
        <v>0</v>
      </c>
      <c r="UI16" s="885">
        <f>[1]Субсидия_факт!IT11</f>
        <v>87105.579999999842</v>
      </c>
      <c r="UJ16" s="863">
        <f>[1]Субсидия_факт!IZ11</f>
        <v>1655006.05</v>
      </c>
      <c r="UK16" s="885">
        <f>[1]Субсидия_факт!KD11</f>
        <v>0</v>
      </c>
      <c r="UL16" s="863">
        <f>[1]Субсидия_факт!KJ11</f>
        <v>0</v>
      </c>
      <c r="UM16" s="879">
        <f t="shared" si="143"/>
        <v>0</v>
      </c>
      <c r="UN16" s="1123"/>
      <c r="UO16" s="890"/>
      <c r="UP16" s="1123"/>
      <c r="UQ16" s="890"/>
      <c r="UR16" s="1123"/>
      <c r="US16" s="890"/>
      <c r="UT16" s="1050">
        <f>'Прочая  субсидия_МР  и  ГО'!B12</f>
        <v>202978281.48000002</v>
      </c>
      <c r="UU16" s="1050">
        <f>'Прочая  субсидия_МР  и  ГО'!C12</f>
        <v>111747057.07000001</v>
      </c>
      <c r="UV16" s="1371">
        <f>'Прочая  субсидия_БП'!B12</f>
        <v>93608663.739999995</v>
      </c>
      <c r="UW16" s="897">
        <f>'Прочая  субсидия_БП'!C12</f>
        <v>63144225.640000001</v>
      </c>
      <c r="UX16" s="1395">
        <f>'Прочая  субсидия_БП'!D12</f>
        <v>656785.35000000009</v>
      </c>
      <c r="UY16" s="1386">
        <f>'Прочая  субсидия_БП'!E12</f>
        <v>544450.54</v>
      </c>
      <c r="UZ16" s="1387">
        <f>'Прочая  субсидия_БП'!F12</f>
        <v>92951878.390000001</v>
      </c>
      <c r="VA16" s="1395">
        <f>'Прочая  субсидия_БП'!G12</f>
        <v>62599775.100000009</v>
      </c>
      <c r="VB16" s="897">
        <f t="shared" si="144"/>
        <v>1013954150.11</v>
      </c>
      <c r="VC16" s="866">
        <f>'Проверочная  таблица'!WE16+'Проверочная  таблица'!VH16+'Проверочная  таблица'!VJ16+VY16</f>
        <v>980562477.38</v>
      </c>
      <c r="VD16" s="891">
        <f>'Проверочная  таблица'!WF16+'Проверочная  таблица'!VN16+'Проверочная  таблица'!VT16+'Проверочная  таблица'!VP16+'Проверочная  таблица'!VR16+VV16+VZ16+VL16</f>
        <v>33391672.73</v>
      </c>
      <c r="VE16" s="1050">
        <f t="shared" si="145"/>
        <v>750938820.29999995</v>
      </c>
      <c r="VF16" s="866">
        <f>'Проверочная  таблица'!WH16+'Проверочная  таблица'!VI16+'Проверочная  таблица'!VK16+WB16</f>
        <v>728519788.43999994</v>
      </c>
      <c r="VG16" s="891">
        <f>'Проверочная  таблица'!WI16+'Проверочная  таблица'!VO16+'Проверочная  таблица'!VU16+'Проверочная  таблица'!VQ16+'Проверочная  таблица'!VS16+VW16+WC16+VM16</f>
        <v>22419031.859999999</v>
      </c>
      <c r="VH16" s="1391">
        <f>'Субвенция  на  полномочия'!B12</f>
        <v>938200012.86000001</v>
      </c>
      <c r="VI16" s="1371">
        <f>'Субвенция  на  полномочия'!C12</f>
        <v>698057247.89999998</v>
      </c>
      <c r="VJ16" s="886">
        <f>[1]Субвенция_факт!M10*1000</f>
        <v>29668661</v>
      </c>
      <c r="VK16" s="892">
        <v>21900000</v>
      </c>
      <c r="VL16" s="886">
        <f>[1]Субвенция_факт!AE10*1000</f>
        <v>0</v>
      </c>
      <c r="VM16" s="892"/>
      <c r="VN16" s="886">
        <f>[1]Субвенция_факт!AF10*1000</f>
        <v>3142100</v>
      </c>
      <c r="VO16" s="892">
        <f>ВУС!E10</f>
        <v>1943794.7000000002</v>
      </c>
      <c r="VP16" s="1396">
        <f>[1]Субвенция_факт!AG10*1000</f>
        <v>0</v>
      </c>
      <c r="VQ16" s="893"/>
      <c r="VR16" s="888">
        <f>[1]Субвенция_факт!E10*1000</f>
        <v>0</v>
      </c>
      <c r="VS16" s="893"/>
      <c r="VT16" s="888">
        <f>[1]Субвенция_факт!F10*1000</f>
        <v>0</v>
      </c>
      <c r="VU16" s="893"/>
      <c r="VV16" s="887">
        <f>[1]Субвенция_факт!G10*1000</f>
        <v>0</v>
      </c>
      <c r="VW16" s="892"/>
      <c r="VX16" s="897">
        <f t="shared" si="146"/>
        <v>39364287.479999997</v>
      </c>
      <c r="VY16" s="862">
        <f>[1]Субвенция_факт!P10*1000</f>
        <v>10234714.749999996</v>
      </c>
      <c r="VZ16" s="863">
        <f>[1]Субвенция_факт!Q10*1000</f>
        <v>29129572.73</v>
      </c>
      <c r="WA16" s="1050">
        <f t="shared" si="147"/>
        <v>26240540.539999999</v>
      </c>
      <c r="WB16" s="866">
        <v>6822540.54</v>
      </c>
      <c r="WC16" s="894">
        <v>19418000</v>
      </c>
      <c r="WD16" s="1050">
        <f t="shared" si="148"/>
        <v>3579088.77</v>
      </c>
      <c r="WE16" s="895">
        <f>[1]Субвенция_факт!X10*1000</f>
        <v>2459088.77</v>
      </c>
      <c r="WF16" s="896">
        <f>[1]Субвенция_факт!W10*1000</f>
        <v>1120000</v>
      </c>
      <c r="WG16" s="1050">
        <f t="shared" si="149"/>
        <v>2797237.16</v>
      </c>
      <c r="WH16" s="866">
        <v>1740000</v>
      </c>
      <c r="WI16" s="894">
        <v>1057237.1599999999</v>
      </c>
      <c r="WJ16" s="897">
        <f t="shared" si="201"/>
        <v>270221001.63999999</v>
      </c>
      <c r="WK16" s="1050">
        <f t="shared" si="202"/>
        <v>188892972.63</v>
      </c>
      <c r="WL16" s="1391">
        <f t="shared" ref="WL16:WL29" si="240">SUM(WM16:WN16)</f>
        <v>0</v>
      </c>
      <c r="WM16" s="895"/>
      <c r="WN16" s="896">
        <f>'[1]Иные межбюджетные трансферты'!I14</f>
        <v>0</v>
      </c>
      <c r="WO16" s="1391">
        <f t="shared" ref="WO16:WO29" si="241">SUM(WP16:WQ16)</f>
        <v>0</v>
      </c>
      <c r="WP16" s="895"/>
      <c r="WQ16" s="896"/>
      <c r="WR16" s="1391">
        <f t="shared" si="152"/>
        <v>0</v>
      </c>
      <c r="WS16" s="895">
        <f>'[1]Иные межбюджетные трансферты'!AQ11</f>
        <v>0</v>
      </c>
      <c r="WT16" s="896">
        <f>'[1]Иные межбюджетные трансферты'!AS11</f>
        <v>0</v>
      </c>
      <c r="WU16" s="1391">
        <f t="shared" si="153"/>
        <v>0</v>
      </c>
      <c r="WV16" s="895"/>
      <c r="WW16" s="896"/>
      <c r="WX16" s="1050">
        <f t="shared" si="154"/>
        <v>5662001.9199999999</v>
      </c>
      <c r="WY16" s="895">
        <f>'[1]Иные межбюджетные трансферты'!AM11</f>
        <v>283100.09999999998</v>
      </c>
      <c r="WZ16" s="896">
        <f>'[1]Иные межбюджетные трансферты'!AO11</f>
        <v>5378901.8200000003</v>
      </c>
      <c r="XA16" s="1050">
        <f t="shared" si="155"/>
        <v>4212001.92</v>
      </c>
      <c r="XB16" s="895">
        <v>210600.1</v>
      </c>
      <c r="XC16" s="896">
        <v>4001401.82</v>
      </c>
      <c r="XD16" s="1050">
        <f t="shared" si="156"/>
        <v>70693214</v>
      </c>
      <c r="XE16" s="895">
        <f>'[1]Иные межбюджетные трансферты'!K11</f>
        <v>32651467</v>
      </c>
      <c r="XF16" s="896">
        <f>'[1]Иные межбюджетные трансферты'!M11</f>
        <v>38041747</v>
      </c>
      <c r="XG16" s="1050">
        <f t="shared" ref="XG16:XG29" si="242">SUM(XH16:XI16)</f>
        <v>38041747</v>
      </c>
      <c r="XH16" s="882"/>
      <c r="XI16" s="896">
        <v>38041747</v>
      </c>
      <c r="XJ16" s="1050">
        <f t="shared" si="158"/>
        <v>0</v>
      </c>
      <c r="XK16" s="885"/>
      <c r="XL16" s="1050">
        <f t="shared" si="159"/>
        <v>0</v>
      </c>
      <c r="XM16" s="885"/>
      <c r="XN16" s="897">
        <f t="shared" si="160"/>
        <v>89812611.289999992</v>
      </c>
      <c r="XO16" s="862">
        <f>'[1]Иные межбюджетные трансферты'!O11</f>
        <v>89812611.289999992</v>
      </c>
      <c r="XP16" s="1050">
        <f t="shared" si="161"/>
        <v>77553284.609999999</v>
      </c>
      <c r="XQ16" s="866">
        <v>77553284.609999999</v>
      </c>
      <c r="XR16" s="1390">
        <f t="shared" si="162"/>
        <v>0</v>
      </c>
      <c r="XS16" s="879">
        <f t="shared" si="163"/>
        <v>0</v>
      </c>
      <c r="XT16" s="1390">
        <f t="shared" si="164"/>
        <v>89812611.289999992</v>
      </c>
      <c r="XU16" s="879">
        <f t="shared" si="165"/>
        <v>77553284.609999999</v>
      </c>
      <c r="XV16" s="1050">
        <f t="shared" ref="XV16:XV29" si="243">SUM(XW16:YF16)</f>
        <v>51770273.710000001</v>
      </c>
      <c r="XW16" s="883">
        <f>'[1]Иные межбюджетные трансферты'!E11</f>
        <v>0</v>
      </c>
      <c r="XX16" s="895">
        <f>'[1]Иные межбюджетные трансферты'!G11</f>
        <v>22525000</v>
      </c>
      <c r="XY16" s="882">
        <f>'[1]Иные межбюджетные трансферты'!S11</f>
        <v>0</v>
      </c>
      <c r="XZ16" s="883">
        <f>'[1]Иные межбюджетные трансферты'!Y11</f>
        <v>8218700.0000000009</v>
      </c>
      <c r="YA16" s="882">
        <f>'[1]Иные межбюджетные трансферты'!AA11</f>
        <v>8218700.0000000009</v>
      </c>
      <c r="YB16" s="1275">
        <f>'[1]Иные межбюджетные трансферты'!AG11</f>
        <v>2485140</v>
      </c>
      <c r="YC16" s="882">
        <f>'[1]Иные межбюджетные трансферты'!AU11</f>
        <v>0</v>
      </c>
      <c r="YD16" s="862">
        <f>'[1]Иные межбюджетные трансферты'!BA11</f>
        <v>1797387.6800000002</v>
      </c>
      <c r="YE16" s="882">
        <f>'[1]Иные межбюджетные трансферты'!BC11</f>
        <v>5090310.7200000007</v>
      </c>
      <c r="YF16" s="1275">
        <f>'[1]Иные межбюджетные трансферты'!BE11</f>
        <v>3435035.31</v>
      </c>
      <c r="YG16" s="1050">
        <f t="shared" ref="YG16:YG29" si="244">SUM(YH16:YQ16)</f>
        <v>17110293.710000001</v>
      </c>
      <c r="YH16" s="882"/>
      <c r="YI16" s="882">
        <v>3210055.64</v>
      </c>
      <c r="YJ16" s="851"/>
      <c r="YK16" s="882"/>
      <c r="YL16" s="848">
        <f t="shared" ref="YL16:YL29" si="245">YA16</f>
        <v>8218700.0000000009</v>
      </c>
      <c r="YM16" s="848">
        <v>2246502.7599999998</v>
      </c>
      <c r="YN16" s="848"/>
      <c r="YO16" s="848"/>
      <c r="YP16" s="848"/>
      <c r="YQ16" s="848">
        <v>3435035.31</v>
      </c>
      <c r="YR16" s="1050">
        <f t="shared" si="166"/>
        <v>52282900.719999999</v>
      </c>
      <c r="YS16" s="895">
        <f>'[1]Иные межбюджетные трансферты'!U11</f>
        <v>600000</v>
      </c>
      <c r="YT16" s="882">
        <f>'[1]Иные межбюджетные трансферты'!AC11</f>
        <v>23803000</v>
      </c>
      <c r="YU16" s="1275">
        <f>'[1]Иные межбюджетные трансферты'!AI11</f>
        <v>22789590</v>
      </c>
      <c r="YV16" s="883">
        <f>'[1]Иные межбюджетные трансферты'!AW11</f>
        <v>0</v>
      </c>
      <c r="YW16" s="848">
        <f>'[1]Иные межбюджетные трансферты'!BG11</f>
        <v>5090310.7200000007</v>
      </c>
      <c r="YX16" s="1050">
        <f t="shared" si="167"/>
        <v>51975645.390000001</v>
      </c>
      <c r="YY16" s="865">
        <v>600000</v>
      </c>
      <c r="YZ16" s="865">
        <f>YT16</f>
        <v>23803000</v>
      </c>
      <c r="ZA16" s="865">
        <v>22482334.670000002</v>
      </c>
      <c r="ZB16" s="848"/>
      <c r="ZC16" s="848">
        <v>5090310.72</v>
      </c>
      <c r="ZD16" s="879">
        <f t="shared" si="168"/>
        <v>28015295.960000001</v>
      </c>
      <c r="ZE16" s="859">
        <f>'Проверочная  таблица'!YS16-ZQ16</f>
        <v>600000</v>
      </c>
      <c r="ZF16" s="859">
        <f>'Проверочная  таблица'!YT16-ZR16</f>
        <v>0</v>
      </c>
      <c r="ZG16" s="859">
        <f>'Проверочная  таблица'!YU16-ZS16</f>
        <v>22789590</v>
      </c>
      <c r="ZH16" s="859">
        <f>'Проверочная  таблица'!YV16-ZT16</f>
        <v>0</v>
      </c>
      <c r="ZI16" s="859">
        <f>'Проверочная  таблица'!YW16-ZU16</f>
        <v>4625705.9600000009</v>
      </c>
      <c r="ZJ16" s="879">
        <f t="shared" si="169"/>
        <v>27708040.630000003</v>
      </c>
      <c r="ZK16" s="859">
        <f>'Проверочная  таблица'!YY16-ZW16</f>
        <v>600000</v>
      </c>
      <c r="ZL16" s="859">
        <f>'Проверочная  таблица'!YZ16-ZX16</f>
        <v>0</v>
      </c>
      <c r="ZM16" s="859">
        <f>'Проверочная  таблица'!ZA16-ZY16</f>
        <v>22482334.670000002</v>
      </c>
      <c r="ZN16" s="859">
        <f>'Проверочная  таблица'!ZB16-ZZ16</f>
        <v>0</v>
      </c>
      <c r="ZO16" s="859">
        <f>'Проверочная  таблица'!ZC16-AAA16</f>
        <v>4625705.96</v>
      </c>
      <c r="ZP16" s="879">
        <f t="shared" si="170"/>
        <v>24267604.760000002</v>
      </c>
      <c r="ZQ16" s="895">
        <f>'[1]Иные межбюджетные трансферты'!W11</f>
        <v>0</v>
      </c>
      <c r="ZR16" s="895">
        <f>'[1]Иные межбюджетные трансферты'!AE11</f>
        <v>23803000</v>
      </c>
      <c r="ZS16" s="882"/>
      <c r="ZT16" s="883">
        <f>'[1]Иные межбюджетные трансферты'!AY11</f>
        <v>0</v>
      </c>
      <c r="ZU16" s="848">
        <f>'[1]Иные межбюджетные трансферты'!$BI$11</f>
        <v>464604.76</v>
      </c>
      <c r="ZV16" s="879">
        <f t="shared" si="171"/>
        <v>24267604.760000002</v>
      </c>
      <c r="ZW16" s="865"/>
      <c r="ZX16" s="865">
        <f>YZ16</f>
        <v>23803000</v>
      </c>
      <c r="ZY16" s="865"/>
      <c r="ZZ16" s="848"/>
      <c r="AAA16" s="848">
        <v>464604.76</v>
      </c>
      <c r="AAB16" s="1050">
        <f>AAD16+'Проверочная  таблица'!AAL16+AAH16+'Проверочная  таблица'!AAP16+AAJ16+'Проверочная  таблица'!AAR16</f>
        <v>0</v>
      </c>
      <c r="AAC16" s="1050">
        <f>AAE16+'Проверочная  таблица'!AAM16+AAI16+'Проверочная  таблица'!AAQ16+AAK16+'Проверочная  таблица'!AAS16</f>
        <v>0</v>
      </c>
      <c r="AAD16" s="897"/>
      <c r="AAE16" s="897"/>
      <c r="AAF16" s="897"/>
      <c r="AAG16" s="897"/>
      <c r="AAH16" s="1373">
        <f t="shared" si="172"/>
        <v>0</v>
      </c>
      <c r="AAI16" s="879">
        <f t="shared" si="172"/>
        <v>0</v>
      </c>
      <c r="AAJ16" s="898"/>
      <c r="AAK16" s="879"/>
      <c r="AAL16" s="897"/>
      <c r="AAM16" s="897"/>
      <c r="AAN16" s="897"/>
      <c r="AAO16" s="897"/>
      <c r="AAP16" s="1373">
        <f t="shared" si="173"/>
        <v>0</v>
      </c>
      <c r="AAQ16" s="879">
        <f t="shared" si="173"/>
        <v>0</v>
      </c>
      <c r="AAR16" s="879"/>
      <c r="AAS16" s="879"/>
      <c r="AAT16" s="1384">
        <f>'Проверочная  таблица'!AAL16+'Проверочная  таблица'!AAN16</f>
        <v>0</v>
      </c>
      <c r="AAU16" s="1384">
        <f>'Проверочная  таблица'!AAM16+'Проверочная  таблица'!AAO16</f>
        <v>0</v>
      </c>
    </row>
    <row r="17" spans="1:723" ht="20.45" customHeight="1" x14ac:dyDescent="0.25">
      <c r="A17" s="899" t="s">
        <v>1286</v>
      </c>
      <c r="B17" s="897">
        <f>D17+AN17+'Проверочная  таблица'!VB17+'Проверочная  таблица'!WJ17</f>
        <v>1706970156.5600002</v>
      </c>
      <c r="C17" s="1050">
        <f>E17+'Проверочная  таблица'!VE17+AO17+'Проверочная  таблица'!WK17</f>
        <v>930298456.96999991</v>
      </c>
      <c r="D17" s="1371">
        <f t="shared" si="0"/>
        <v>232459694.09</v>
      </c>
      <c r="E17" s="897">
        <f t="shared" si="1"/>
        <v>170040764.99000001</v>
      </c>
      <c r="F17" s="1376">
        <f>'[1]Дотация  из  ОБ_факт'!M10</f>
        <v>51645019</v>
      </c>
      <c r="G17" s="1385">
        <v>38734200</v>
      </c>
      <c r="H17" s="1376">
        <f>'[1]Дотация  из  ОБ_факт'!G10</f>
        <v>15619336.09</v>
      </c>
      <c r="I17" s="1385">
        <v>11745368</v>
      </c>
      <c r="J17" s="1386">
        <f t="shared" si="2"/>
        <v>13200840.09</v>
      </c>
      <c r="K17" s="1387">
        <f t="shared" si="2"/>
        <v>9931868</v>
      </c>
      <c r="L17" s="1386">
        <f>'[1]Дотация  из  ОБ_факт'!K10</f>
        <v>2418496</v>
      </c>
      <c r="M17" s="881">
        <v>1813500</v>
      </c>
      <c r="N17" s="1376">
        <f>'[1]Дотация  из  ОБ_факт'!Q10</f>
        <v>80000000</v>
      </c>
      <c r="O17" s="1385">
        <v>45963158.990000002</v>
      </c>
      <c r="P17" s="1399">
        <f>'[1]Дотация  из  ОБ_факт'!S10</f>
        <v>85112464</v>
      </c>
      <c r="Q17" s="1402">
        <v>73515163</v>
      </c>
      <c r="R17" s="1386">
        <f t="shared" si="3"/>
        <v>37299585</v>
      </c>
      <c r="S17" s="1387">
        <f t="shared" si="3"/>
        <v>27655533</v>
      </c>
      <c r="T17" s="1386">
        <f>'[1]Дотация  из  ОБ_факт'!W10</f>
        <v>47812879</v>
      </c>
      <c r="U17" s="881">
        <v>45859630</v>
      </c>
      <c r="V17" s="886">
        <f t="shared" si="4"/>
        <v>0</v>
      </c>
      <c r="W17" s="1388">
        <f>'[1]Дотация  из  ОБ_факт'!AA10</f>
        <v>0</v>
      </c>
      <c r="X17" s="1389">
        <f>'[1]Дотация  из  ОБ_факт'!AC10</f>
        <v>0</v>
      </c>
      <c r="Y17" s="1389">
        <f>'[1]Дотация  из  ОБ_факт'!AG10</f>
        <v>0</v>
      </c>
      <c r="Z17" s="887">
        <f t="shared" si="5"/>
        <v>0</v>
      </c>
      <c r="AA17" s="848">
        <f t="shared" si="177"/>
        <v>0</v>
      </c>
      <c r="AB17" s="848">
        <f t="shared" si="177"/>
        <v>0</v>
      </c>
      <c r="AC17" s="882"/>
      <c r="AD17" s="886">
        <f t="shared" si="6"/>
        <v>82875</v>
      </c>
      <c r="AE17" s="1388">
        <f>'[1]Дотация  из  ОБ_факт'!Y10</f>
        <v>82875</v>
      </c>
      <c r="AF17" s="1389">
        <f>'[1]Дотация  из  ОБ_факт'!AE10</f>
        <v>0</v>
      </c>
      <c r="AG17" s="886">
        <f t="shared" si="7"/>
        <v>82875</v>
      </c>
      <c r="AH17" s="1359">
        <f t="shared" si="178"/>
        <v>82875</v>
      </c>
      <c r="AI17" s="848">
        <f t="shared" si="179"/>
        <v>0</v>
      </c>
      <c r="AJ17" s="1386">
        <f t="shared" si="8"/>
        <v>82875</v>
      </c>
      <c r="AK17" s="1387">
        <f t="shared" si="9"/>
        <v>82875</v>
      </c>
      <c r="AL17" s="1386">
        <f>'[1]Дотация  из  ОБ_факт'!AE10</f>
        <v>0</v>
      </c>
      <c r="AM17" s="884"/>
      <c r="AN17" s="1012">
        <f>'Проверочная  таблица'!UT17+'Проверочная  таблица'!UV17+BL17+BN17+BZ17+CB17+AZ17+BD17+'Проверочная  таблица'!MT17+'Проверочная  таблица'!NJ17+'Проверочная  таблица'!DT17+'Проверочная  таблица'!OB17+DL17+'Проверочная  таблица'!JJ17+'Проверочная  таблица'!JP17+'Проверочная  таблица'!OJ17+'Проверочная  таблица'!OR17+JD17+AP17+AV17+ET17+EZ17+CN17+SP17+DZ17+TD17+PZ17+EF17+EN17+LN17+LV17+SJ17+GN17+RV17+QX17+KH17+KR17+RD17+SB17+CH17+QR17+HD17+FX17+HJ17+HP17+FR17+DB17+PP17+BT17+IH17+IX17+GV17+GD17+IN17</f>
        <v>707642955.32000005</v>
      </c>
      <c r="AO17" s="1013">
        <f>'Проверочная  таблица'!UU17+'Проверочная  таблица'!UW17+BM17+BO17+CA17+CC17+BB17+BF17+'Проверочная  таблица'!NB17+'Проверочная  таблица'!NM17+'Проверочная  таблица'!DW17+'Проверочная  таблица'!OF17+DP17+'Проверочная  таблица'!JM17+'Проверочная  таблица'!JS17+'Проверочная  таблица'!ON17+'Проверочная  таблица'!OV17+JG17+AS17+AX17+EW17+FC17+CU17+SW17+EC17+TK17+QC17+EJ17+EQ17+LR17+LZ17+SM17+GR17+RY17+RA17+KM17+KW17+RG17+SF17+CK17+QU17+HG17+GA17+HM17+HS17+FU17+DE17+PU17+BW17+IK17+JA17+GX17+GG17+IQ17</f>
        <v>307249827.24999994</v>
      </c>
      <c r="AP17" s="1050">
        <f t="shared" si="10"/>
        <v>107371778</v>
      </c>
      <c r="AQ17" s="885">
        <f>[1]Субсидия_факт!HV12</f>
        <v>107371778</v>
      </c>
      <c r="AR17" s="866">
        <f>[1]Субсидия_факт!MR12</f>
        <v>0</v>
      </c>
      <c r="AS17" s="1050">
        <f t="shared" si="11"/>
        <v>39058903.310000002</v>
      </c>
      <c r="AT17" s="866">
        <v>39058903.310000002</v>
      </c>
      <c r="AU17" s="885"/>
      <c r="AV17" s="1003">
        <f t="shared" si="12"/>
        <v>0</v>
      </c>
      <c r="AW17" s="866">
        <f>[1]Субсидия_факт!MV12</f>
        <v>0</v>
      </c>
      <c r="AX17" s="1360">
        <f t="shared" si="13"/>
        <v>0</v>
      </c>
      <c r="AY17" s="866"/>
      <c r="AZ17" s="897">
        <f t="shared" si="14"/>
        <v>47088003.100000001</v>
      </c>
      <c r="BA17" s="866">
        <f>[1]Субсидия_факт!KZ12</f>
        <v>47088003.100000001</v>
      </c>
      <c r="BB17" s="1050">
        <f t="shared" si="15"/>
        <v>47088003.100000001</v>
      </c>
      <c r="BC17" s="866">
        <v>47088003.100000001</v>
      </c>
      <c r="BD17" s="897">
        <f t="shared" si="16"/>
        <v>0</v>
      </c>
      <c r="BE17" s="866">
        <f>[1]Субсидия_факт!LB12</f>
        <v>0</v>
      </c>
      <c r="BF17" s="1050">
        <f t="shared" si="17"/>
        <v>0</v>
      </c>
      <c r="BG17" s="866"/>
      <c r="BH17" s="1373">
        <f t="shared" si="18"/>
        <v>0</v>
      </c>
      <c r="BI17" s="879">
        <f t="shared" si="19"/>
        <v>0</v>
      </c>
      <c r="BJ17" s="1390">
        <f t="shared" si="20"/>
        <v>0</v>
      </c>
      <c r="BK17" s="1373">
        <f t="shared" si="21"/>
        <v>0</v>
      </c>
      <c r="BL17" s="897">
        <f>[1]Субсидия_факт!GV12</f>
        <v>0</v>
      </c>
      <c r="BM17" s="886"/>
      <c r="BN17" s="1391">
        <f>[1]Субсидия_факт!GX12</f>
        <v>0</v>
      </c>
      <c r="BO17" s="887"/>
      <c r="BP17" s="1390">
        <f t="shared" si="22"/>
        <v>0</v>
      </c>
      <c r="BQ17" s="1373">
        <f t="shared" si="22"/>
        <v>0</v>
      </c>
      <c r="BR17" s="879">
        <f>[1]Субсидия_факт!GZ12</f>
        <v>0</v>
      </c>
      <c r="BS17" s="881"/>
      <c r="BT17" s="897">
        <f t="shared" si="23"/>
        <v>62224778</v>
      </c>
      <c r="BU17" s="862">
        <f>[1]Субсидия_факт!HL12</f>
        <v>36031778</v>
      </c>
      <c r="BV17" s="866">
        <f>[1]Субсидия_факт!HN12</f>
        <v>26193000</v>
      </c>
      <c r="BW17" s="1050">
        <f t="shared" si="24"/>
        <v>1576000</v>
      </c>
      <c r="BX17" s="866"/>
      <c r="BY17" s="866">
        <v>1576000</v>
      </c>
      <c r="BZ17" s="1050">
        <f>[1]Субсидия_факт!HB12</f>
        <v>0</v>
      </c>
      <c r="CA17" s="888"/>
      <c r="CB17" s="1050">
        <f>[1]Субсидия_факт!HD12</f>
        <v>0</v>
      </c>
      <c r="CC17" s="887"/>
      <c r="CD17" s="1367">
        <f t="shared" si="25"/>
        <v>0</v>
      </c>
      <c r="CE17" s="878">
        <f t="shared" si="25"/>
        <v>0</v>
      </c>
      <c r="CF17" s="1368">
        <f>[1]Субсидия_факт!HF12</f>
        <v>0</v>
      </c>
      <c r="CG17" s="849"/>
      <c r="CH17" s="897">
        <f t="shared" si="26"/>
        <v>65377681.299999997</v>
      </c>
      <c r="CI17" s="862">
        <f>[1]Субсидия_факт!HP12</f>
        <v>52733881.299999997</v>
      </c>
      <c r="CJ17" s="866">
        <f>[1]Субсидия_факт!HR12</f>
        <v>12643800</v>
      </c>
      <c r="CK17" s="1050">
        <f t="shared" si="27"/>
        <v>753423.1</v>
      </c>
      <c r="CL17" s="866"/>
      <c r="CM17" s="866">
        <v>753423.1</v>
      </c>
      <c r="CN17" s="1003">
        <f t="shared" si="28"/>
        <v>0</v>
      </c>
      <c r="CO17" s="859">
        <f>[1]Субсидия_факт!LR12</f>
        <v>0</v>
      </c>
      <c r="CP17" s="858">
        <f>[1]Субсидия_факт!LT12</f>
        <v>0</v>
      </c>
      <c r="CQ17" s="850">
        <f>[1]Субсидия_факт!LV12</f>
        <v>0</v>
      </c>
      <c r="CR17" s="858">
        <f>[1]Субсидия_факт!MB12</f>
        <v>0</v>
      </c>
      <c r="CS17" s="850">
        <f>[1]Субсидия_факт!MH12</f>
        <v>0</v>
      </c>
      <c r="CT17" s="858">
        <f>[1]Субсидия_факт!MJ12</f>
        <v>0</v>
      </c>
      <c r="CU17" s="1003">
        <f t="shared" si="29"/>
        <v>0</v>
      </c>
      <c r="CV17" s="851"/>
      <c r="CW17" s="858"/>
      <c r="CX17" s="850"/>
      <c r="CY17" s="858"/>
      <c r="CZ17" s="850"/>
      <c r="DA17" s="858"/>
      <c r="DB17" s="1013">
        <f t="shared" si="205"/>
        <v>0</v>
      </c>
      <c r="DC17" s="859">
        <f>[1]Субсидия_факт!LX12</f>
        <v>0</v>
      </c>
      <c r="DD17" s="858">
        <f>[1]Субсидия_факт!MD12</f>
        <v>0</v>
      </c>
      <c r="DE17" s="1003">
        <f t="shared" si="31"/>
        <v>0</v>
      </c>
      <c r="DF17" s="859"/>
      <c r="DG17" s="860"/>
      <c r="DH17" s="1367">
        <f t="shared" si="206"/>
        <v>0</v>
      </c>
      <c r="DI17" s="878">
        <f t="shared" si="207"/>
        <v>0</v>
      </c>
      <c r="DJ17" s="1368">
        <f t="shared" si="208"/>
        <v>0</v>
      </c>
      <c r="DK17" s="849">
        <f t="shared" si="209"/>
        <v>0</v>
      </c>
      <c r="DL17" s="1050">
        <f t="shared" si="210"/>
        <v>0</v>
      </c>
      <c r="DM17" s="885">
        <f>[1]Субсидия_факт!R12</f>
        <v>0</v>
      </c>
      <c r="DN17" s="862">
        <f>[1]Субсидия_факт!T12</f>
        <v>0</v>
      </c>
      <c r="DO17" s="866">
        <f>[1]Субсидия_факт!V12</f>
        <v>0</v>
      </c>
      <c r="DP17" s="1050">
        <f t="shared" si="211"/>
        <v>0</v>
      </c>
      <c r="DQ17" s="866"/>
      <c r="DR17" s="866"/>
      <c r="DS17" s="866"/>
      <c r="DT17" s="897">
        <f t="shared" si="32"/>
        <v>0</v>
      </c>
      <c r="DU17" s="862">
        <f>[1]Субсидия_факт!AX12</f>
        <v>0</v>
      </c>
      <c r="DV17" s="863">
        <f>[1]Субсидия_факт!AZ12</f>
        <v>0</v>
      </c>
      <c r="DW17" s="1050">
        <f t="shared" si="33"/>
        <v>0</v>
      </c>
      <c r="DX17" s="885"/>
      <c r="DY17" s="889"/>
      <c r="DZ17" s="897">
        <f t="shared" si="34"/>
        <v>0</v>
      </c>
      <c r="EA17" s="862">
        <f>[1]Субсидия_факт!X12</f>
        <v>0</v>
      </c>
      <c r="EB17" s="863">
        <f>[1]Субсидия_факт!Z12</f>
        <v>0</v>
      </c>
      <c r="EC17" s="1050">
        <f t="shared" si="35"/>
        <v>0</v>
      </c>
      <c r="ED17" s="862"/>
      <c r="EE17" s="863"/>
      <c r="EF17" s="1013">
        <f t="shared" si="212"/>
        <v>0</v>
      </c>
      <c r="EG17" s="859">
        <f>[1]Субсидия_факт!AP12</f>
        <v>0</v>
      </c>
      <c r="EH17" s="859">
        <f>[1]Субсидия_факт!AL12</f>
        <v>0</v>
      </c>
      <c r="EI17" s="860">
        <f>[1]Субсидия_факт!AN12</f>
        <v>0</v>
      </c>
      <c r="EJ17" s="1013">
        <f t="shared" si="36"/>
        <v>0</v>
      </c>
      <c r="EK17" s="859"/>
      <c r="EL17" s="859"/>
      <c r="EM17" s="860"/>
      <c r="EN17" s="1013">
        <f t="shared" si="37"/>
        <v>0</v>
      </c>
      <c r="EO17" s="859">
        <f>[1]Субсидия_факт!HH12</f>
        <v>0</v>
      </c>
      <c r="EP17" s="858">
        <f>[1]Субсидия_факт!HJ12</f>
        <v>0</v>
      </c>
      <c r="EQ17" s="1003">
        <f t="shared" si="38"/>
        <v>0</v>
      </c>
      <c r="ER17" s="859"/>
      <c r="ES17" s="858"/>
      <c r="ET17" s="1013">
        <f t="shared" si="39"/>
        <v>0</v>
      </c>
      <c r="EU17" s="862">
        <f>[1]Субсидия_факт!PK12</f>
        <v>0</v>
      </c>
      <c r="EV17" s="863">
        <f>[1]Субсидия_факт!PQ12</f>
        <v>0</v>
      </c>
      <c r="EW17" s="1003">
        <f t="shared" si="40"/>
        <v>0</v>
      </c>
      <c r="EX17" s="859"/>
      <c r="EY17" s="860"/>
      <c r="EZ17" s="1013">
        <f t="shared" si="41"/>
        <v>0</v>
      </c>
      <c r="FA17" s="859">
        <f>[1]Субсидия_факт!PM12</f>
        <v>0</v>
      </c>
      <c r="FB17" s="858">
        <f>[1]Субсидия_факт!PS12</f>
        <v>0</v>
      </c>
      <c r="FC17" s="1003">
        <f t="shared" si="42"/>
        <v>0</v>
      </c>
      <c r="FD17" s="859"/>
      <c r="FE17" s="860"/>
      <c r="FF17" s="1369">
        <f t="shared" si="43"/>
        <v>0</v>
      </c>
      <c r="FG17" s="859">
        <f t="shared" si="44"/>
        <v>0</v>
      </c>
      <c r="FH17" s="858">
        <f t="shared" si="44"/>
        <v>0</v>
      </c>
      <c r="FI17" s="878">
        <f t="shared" si="45"/>
        <v>0</v>
      </c>
      <c r="FJ17" s="859">
        <f t="shared" si="46"/>
        <v>0</v>
      </c>
      <c r="FK17" s="858">
        <f t="shared" si="46"/>
        <v>0</v>
      </c>
      <c r="FL17" s="1369">
        <f t="shared" si="47"/>
        <v>0</v>
      </c>
      <c r="FM17" s="859">
        <f>[1]Субсидия_факт!PO12</f>
        <v>0</v>
      </c>
      <c r="FN17" s="858">
        <f>[1]Субсидия_факт!PU12</f>
        <v>0</v>
      </c>
      <c r="FO17" s="878">
        <f t="shared" si="48"/>
        <v>0</v>
      </c>
      <c r="FP17" s="859"/>
      <c r="FQ17" s="860"/>
      <c r="FR17" s="1013">
        <f t="shared" si="49"/>
        <v>0</v>
      </c>
      <c r="FS17" s="862">
        <f>[1]Субсидия_факт!EP12</f>
        <v>0</v>
      </c>
      <c r="FT17" s="863">
        <f>[1]Субсидия_факт!ER12</f>
        <v>0</v>
      </c>
      <c r="FU17" s="1371">
        <f t="shared" si="50"/>
        <v>0</v>
      </c>
      <c r="FV17" s="862"/>
      <c r="FW17" s="863"/>
      <c r="FX17" s="939">
        <f t="shared" si="51"/>
        <v>0</v>
      </c>
      <c r="FY17" s="862">
        <f>[1]Субсидия_факт!JN12</f>
        <v>0</v>
      </c>
      <c r="FZ17" s="863">
        <f>[1]Субсидия_факт!JP12</f>
        <v>0</v>
      </c>
      <c r="GA17" s="897">
        <f t="shared" si="52"/>
        <v>0</v>
      </c>
      <c r="GB17" s="862"/>
      <c r="GC17" s="863"/>
      <c r="GD17" s="1233">
        <f t="shared" si="53"/>
        <v>0</v>
      </c>
      <c r="GE17" s="859">
        <f>[1]Субсидия_факт!JR12</f>
        <v>0</v>
      </c>
      <c r="GF17" s="860">
        <f>[1]Субсидия_факт!JV12</f>
        <v>0</v>
      </c>
      <c r="GG17" s="1372">
        <f t="shared" si="54"/>
        <v>0</v>
      </c>
      <c r="GH17" s="862"/>
      <c r="GI17" s="889"/>
      <c r="GJ17" s="1373">
        <f t="shared" si="213"/>
        <v>0</v>
      </c>
      <c r="GK17" s="879">
        <f t="shared" si="214"/>
        <v>0</v>
      </c>
      <c r="GL17" s="1390">
        <f t="shared" si="215"/>
        <v>0</v>
      </c>
      <c r="GM17" s="879">
        <f t="shared" si="216"/>
        <v>0</v>
      </c>
      <c r="GN17" s="1371">
        <f t="shared" si="55"/>
        <v>47088003.100000001</v>
      </c>
      <c r="GO17" s="862">
        <f>[1]Субсидия_факт!KL12</f>
        <v>0</v>
      </c>
      <c r="GP17" s="863">
        <f>[1]Субсидия_факт!KN12</f>
        <v>47088003.100000001</v>
      </c>
      <c r="GQ17" s="862">
        <f>[1]Субсидия_факт!KP12</f>
        <v>0</v>
      </c>
      <c r="GR17" s="897">
        <f t="shared" si="56"/>
        <v>0</v>
      </c>
      <c r="GS17" s="862"/>
      <c r="GT17" s="863"/>
      <c r="GU17" s="866"/>
      <c r="GV17" s="1372">
        <f t="shared" si="217"/>
        <v>0</v>
      </c>
      <c r="GW17" s="862">
        <f>[1]Субсидия_факт!KR12</f>
        <v>0</v>
      </c>
      <c r="GX17" s="1372">
        <f t="shared" si="217"/>
        <v>0</v>
      </c>
      <c r="GY17" s="866"/>
      <c r="GZ17" s="1373">
        <f t="shared" si="218"/>
        <v>0</v>
      </c>
      <c r="HA17" s="1373">
        <f t="shared" si="219"/>
        <v>0</v>
      </c>
      <c r="HB17" s="1373">
        <f t="shared" si="220"/>
        <v>0</v>
      </c>
      <c r="HC17" s="1373">
        <f t="shared" si="221"/>
        <v>0</v>
      </c>
      <c r="HD17" s="939">
        <f t="shared" si="57"/>
        <v>8457381.1999999993</v>
      </c>
      <c r="HE17" s="862">
        <f>[1]Субсидия_факт!KV12</f>
        <v>8457381.1999999993</v>
      </c>
      <c r="HF17" s="863">
        <f>[1]Субсидия_факт!KX12</f>
        <v>0</v>
      </c>
      <c r="HG17" s="1050">
        <f t="shared" si="58"/>
        <v>0</v>
      </c>
      <c r="HH17" s="862"/>
      <c r="HI17" s="863"/>
      <c r="HJ17" s="939">
        <f t="shared" si="59"/>
        <v>0</v>
      </c>
      <c r="HK17" s="862"/>
      <c r="HL17" s="863"/>
      <c r="HM17" s="1050">
        <f t="shared" si="60"/>
        <v>0</v>
      </c>
      <c r="HN17" s="862"/>
      <c r="HO17" s="863"/>
      <c r="HP17" s="939">
        <f t="shared" si="61"/>
        <v>73115151.519999996</v>
      </c>
      <c r="HQ17" s="862">
        <f>[1]Субсидия_факт!FV12</f>
        <v>731151.52</v>
      </c>
      <c r="HR17" s="863">
        <f>[1]Субсидия_факт!FZ12</f>
        <v>72384000</v>
      </c>
      <c r="HS17" s="1050">
        <f t="shared" si="62"/>
        <v>73115151.519999996</v>
      </c>
      <c r="HT17" s="862">
        <v>731151.52</v>
      </c>
      <c r="HU17" s="863">
        <v>72384000</v>
      </c>
      <c r="HV17" s="1369">
        <f t="shared" si="63"/>
        <v>0</v>
      </c>
      <c r="HW17" s="859">
        <f t="shared" si="64"/>
        <v>0</v>
      </c>
      <c r="HX17" s="858">
        <f t="shared" si="64"/>
        <v>0</v>
      </c>
      <c r="HY17" s="878">
        <f t="shared" si="65"/>
        <v>0</v>
      </c>
      <c r="HZ17" s="859">
        <f t="shared" si="66"/>
        <v>0</v>
      </c>
      <c r="IA17" s="858">
        <f t="shared" si="66"/>
        <v>0</v>
      </c>
      <c r="IB17" s="1369">
        <f t="shared" si="67"/>
        <v>73115151.519999996</v>
      </c>
      <c r="IC17" s="859">
        <f>[1]Субсидия_факт!FX12</f>
        <v>731151.52</v>
      </c>
      <c r="ID17" s="858">
        <f>[1]Субсидия_факт!GB12</f>
        <v>72384000</v>
      </c>
      <c r="IE17" s="878">
        <f t="shared" si="68"/>
        <v>73115151.519999996</v>
      </c>
      <c r="IF17" s="859">
        <f t="shared" si="187"/>
        <v>731151.52</v>
      </c>
      <c r="IG17" s="860">
        <f t="shared" si="188"/>
        <v>72384000</v>
      </c>
      <c r="IH17" s="939">
        <f t="shared" si="69"/>
        <v>0</v>
      </c>
      <c r="II17" s="859">
        <f>[1]Субсидия_факт!ED12</f>
        <v>0</v>
      </c>
      <c r="IJ17" s="860">
        <f>[1]Субсидия_факт!EF12</f>
        <v>0</v>
      </c>
      <c r="IK17" s="1050">
        <f t="shared" si="70"/>
        <v>0</v>
      </c>
      <c r="IL17" s="862"/>
      <c r="IM17" s="863"/>
      <c r="IN17" s="1233">
        <f t="shared" si="71"/>
        <v>0</v>
      </c>
      <c r="IO17" s="859">
        <f>[1]Субсидия_факт!EH12</f>
        <v>0</v>
      </c>
      <c r="IP17" s="860">
        <f>[1]Субсидия_факт!EL12</f>
        <v>0</v>
      </c>
      <c r="IQ17" s="1392">
        <f t="shared" si="72"/>
        <v>0</v>
      </c>
      <c r="IR17" s="862"/>
      <c r="IS17" s="889"/>
      <c r="IT17" s="1373">
        <f t="shared" si="222"/>
        <v>0</v>
      </c>
      <c r="IU17" s="1373">
        <f t="shared" si="223"/>
        <v>0</v>
      </c>
      <c r="IV17" s="1373">
        <f t="shared" si="224"/>
        <v>0</v>
      </c>
      <c r="IW17" s="879">
        <f t="shared" si="225"/>
        <v>0</v>
      </c>
      <c r="IX17" s="1398">
        <f t="shared" si="73"/>
        <v>0</v>
      </c>
      <c r="IY17" s="859">
        <f>[1]Субсидия_факт!BX12</f>
        <v>0</v>
      </c>
      <c r="IZ17" s="860">
        <f>[1]Субсидия_факт!BZ12</f>
        <v>0</v>
      </c>
      <c r="JA17" s="1050">
        <f t="shared" si="74"/>
        <v>0</v>
      </c>
      <c r="JB17" s="862"/>
      <c r="JC17" s="863"/>
      <c r="JD17" s="939">
        <f t="shared" si="75"/>
        <v>0</v>
      </c>
      <c r="JE17" s="862">
        <f>[1]Субсидия_факт!ET12</f>
        <v>0</v>
      </c>
      <c r="JF17" s="863">
        <f>[1]Субсидия_факт!EV12</f>
        <v>0</v>
      </c>
      <c r="JG17" s="1050">
        <f t="shared" si="76"/>
        <v>0</v>
      </c>
      <c r="JH17" s="862"/>
      <c r="JI17" s="863"/>
      <c r="JJ17" s="1003">
        <f t="shared" si="77"/>
        <v>0</v>
      </c>
      <c r="JK17" s="859">
        <f>[1]Субсидия_факт!EX12</f>
        <v>0</v>
      </c>
      <c r="JL17" s="858">
        <f>[1]Субсидия_факт!FD12</f>
        <v>0</v>
      </c>
      <c r="JM17" s="1003">
        <f t="shared" si="78"/>
        <v>0</v>
      </c>
      <c r="JN17" s="859"/>
      <c r="JO17" s="860"/>
      <c r="JP17" s="1003">
        <f t="shared" si="79"/>
        <v>0</v>
      </c>
      <c r="JQ17" s="859">
        <f>[1]Субсидия_факт!EZ12</f>
        <v>0</v>
      </c>
      <c r="JR17" s="860">
        <f>[1]Субсидия_факт!FF12</f>
        <v>0</v>
      </c>
      <c r="JS17" s="1003">
        <f t="shared" si="80"/>
        <v>0</v>
      </c>
      <c r="JT17" s="850"/>
      <c r="JU17" s="864"/>
      <c r="JV17" s="1003">
        <f t="shared" si="81"/>
        <v>-292080.45</v>
      </c>
      <c r="JW17" s="851">
        <f>'Проверочная  таблица'!JQ17-'Проверочная  таблица'!KC17</f>
        <v>-75940.920000000013</v>
      </c>
      <c r="JX17" s="860">
        <f>'Проверочная  таблица'!JR17-'Проверочная  таблица'!KD17</f>
        <v>-216139.53</v>
      </c>
      <c r="JY17" s="1368">
        <f t="shared" si="82"/>
        <v>0</v>
      </c>
      <c r="JZ17" s="850">
        <f>'Проверочная  таблица'!JT17-'Проверочная  таблица'!KF17</f>
        <v>0</v>
      </c>
      <c r="KA17" s="867">
        <f>'Проверочная  таблица'!JU17-'Проверочная  таблица'!KG17</f>
        <v>0</v>
      </c>
      <c r="KB17" s="1003">
        <f t="shared" si="83"/>
        <v>292080.45</v>
      </c>
      <c r="KC17" s="859">
        <f>[1]Субсидия_факт!FB12</f>
        <v>75940.920000000013</v>
      </c>
      <c r="KD17" s="858">
        <f>[1]Субсидия_факт!FH12</f>
        <v>216139.53</v>
      </c>
      <c r="KE17" s="878">
        <f t="shared" si="84"/>
        <v>0</v>
      </c>
      <c r="KF17" s="859"/>
      <c r="KG17" s="860"/>
      <c r="KH17" s="1352">
        <f t="shared" si="226"/>
        <v>1368111.6400000001</v>
      </c>
      <c r="KI17" s="850">
        <f>[1]Субсидия_факт!OD12</f>
        <v>845440</v>
      </c>
      <c r="KJ17" s="860">
        <f>[1]Субсидия_факт!OJ12</f>
        <v>461551.64</v>
      </c>
      <c r="KK17" s="850">
        <f>[1]Субсидия_факт!OR12</f>
        <v>22220.03</v>
      </c>
      <c r="KL17" s="860">
        <f>[1]Субсидия_факт!OT12</f>
        <v>38899.97</v>
      </c>
      <c r="KM17" s="1352">
        <f t="shared" si="85"/>
        <v>0</v>
      </c>
      <c r="KN17" s="850"/>
      <c r="KO17" s="860"/>
      <c r="KP17" s="850"/>
      <c r="KQ17" s="860"/>
      <c r="KR17" s="1352">
        <f t="shared" si="227"/>
        <v>21810</v>
      </c>
      <c r="KS17" s="885">
        <f>[1]Субсидия_факт!OF12</f>
        <v>21810</v>
      </c>
      <c r="KT17" s="863">
        <f>[1]Субсидия_факт!OL12</f>
        <v>0</v>
      </c>
      <c r="KU17" s="885"/>
      <c r="KV17" s="863"/>
      <c r="KW17" s="1352">
        <f t="shared" si="86"/>
        <v>0</v>
      </c>
      <c r="KX17" s="850"/>
      <c r="KY17" s="860"/>
      <c r="KZ17" s="850"/>
      <c r="LA17" s="860"/>
      <c r="LB17" s="1354">
        <f t="shared" si="87"/>
        <v>-17500</v>
      </c>
      <c r="LC17" s="885">
        <f t="shared" si="88"/>
        <v>-17500</v>
      </c>
      <c r="LD17" s="863">
        <f t="shared" si="88"/>
        <v>0</v>
      </c>
      <c r="LE17" s="1354">
        <f t="shared" si="89"/>
        <v>0</v>
      </c>
      <c r="LF17" s="885">
        <f t="shared" si="90"/>
        <v>0</v>
      </c>
      <c r="LG17" s="863">
        <f t="shared" si="90"/>
        <v>0</v>
      </c>
      <c r="LH17" s="1354">
        <f t="shared" si="91"/>
        <v>39310</v>
      </c>
      <c r="LI17" s="859">
        <f>[1]Субсидия_факт!OH12</f>
        <v>39310</v>
      </c>
      <c r="LJ17" s="858">
        <f>[1]Субсидия_факт!ON12</f>
        <v>0</v>
      </c>
      <c r="LK17" s="1354">
        <f t="shared" si="92"/>
        <v>0</v>
      </c>
      <c r="LL17" s="851"/>
      <c r="LM17" s="860"/>
      <c r="LN17" s="1050">
        <f t="shared" si="228"/>
        <v>0</v>
      </c>
      <c r="LO17" s="865">
        <f>[1]Субсидия_факт!DP12</f>
        <v>0</v>
      </c>
      <c r="LP17" s="850">
        <f>[1]Субсидия_факт!CB12</f>
        <v>0</v>
      </c>
      <c r="LQ17" s="860">
        <f>[1]Субсидия_факт!CH12</f>
        <v>0</v>
      </c>
      <c r="LR17" s="1050">
        <f t="shared" si="93"/>
        <v>0</v>
      </c>
      <c r="LS17" s="865"/>
      <c r="LT17" s="850"/>
      <c r="LU17" s="860"/>
      <c r="LV17" s="1050">
        <f t="shared" si="229"/>
        <v>0</v>
      </c>
      <c r="LW17" s="865">
        <f>[1]Субсидия_факт!DR12</f>
        <v>0</v>
      </c>
      <c r="LX17" s="850">
        <f>[1]Субсидия_факт!CD12</f>
        <v>0</v>
      </c>
      <c r="LY17" s="860">
        <f>[1]Субсидия_факт!CJ12</f>
        <v>0</v>
      </c>
      <c r="LZ17" s="1050">
        <f t="shared" si="94"/>
        <v>0</v>
      </c>
      <c r="MA17" s="865"/>
      <c r="MB17" s="850"/>
      <c r="MC17" s="858"/>
      <c r="MD17" s="879">
        <f t="shared" si="95"/>
        <v>0</v>
      </c>
      <c r="ME17" s="862">
        <f>'Проверочная  таблица'!LW17-MM17</f>
        <v>0</v>
      </c>
      <c r="MF17" s="862">
        <f>'Проверочная  таблица'!LX17-MN17</f>
        <v>0</v>
      </c>
      <c r="MG17" s="863">
        <f>'Проверочная  таблица'!LY17-MO17</f>
        <v>0</v>
      </c>
      <c r="MH17" s="879">
        <f t="shared" si="96"/>
        <v>0</v>
      </c>
      <c r="MI17" s="862">
        <f>'Проверочная  таблица'!MA17-MQ17</f>
        <v>0</v>
      </c>
      <c r="MJ17" s="862">
        <f>'Проверочная  таблица'!MB17-MR17</f>
        <v>0</v>
      </c>
      <c r="MK17" s="863">
        <f>'Проверочная  таблица'!MC17-MS17</f>
        <v>0</v>
      </c>
      <c r="ML17" s="879">
        <f t="shared" si="97"/>
        <v>0</v>
      </c>
      <c r="MM17" s="850">
        <f>[1]Субсидия_факт!DT12</f>
        <v>0</v>
      </c>
      <c r="MN17" s="850">
        <f>[1]Субсидия_факт!CF12</f>
        <v>0</v>
      </c>
      <c r="MO17" s="860">
        <f>[1]Субсидия_факт!CL12</f>
        <v>0</v>
      </c>
      <c r="MP17" s="879">
        <f t="shared" si="98"/>
        <v>0</v>
      </c>
      <c r="MQ17" s="850"/>
      <c r="MR17" s="850"/>
      <c r="MS17" s="860"/>
      <c r="MT17" s="1360">
        <f t="shared" si="230"/>
        <v>292080.45</v>
      </c>
      <c r="MU17" s="850">
        <f>[1]Субсидия_факт!CN12</f>
        <v>0</v>
      </c>
      <c r="MV17" s="858">
        <f>[1]Субсидия_факт!CP12</f>
        <v>0</v>
      </c>
      <c r="MW17" s="862">
        <f>[1]Субсидия_факт!CR12</f>
        <v>0</v>
      </c>
      <c r="MX17" s="863">
        <f>[1]Субсидия_факт!CT12</f>
        <v>0</v>
      </c>
      <c r="MY17" s="851">
        <f>[1]Субсидия_факт!DV12</f>
        <v>0</v>
      </c>
      <c r="MZ17" s="859">
        <f>[1]Субсидия_факт!FJ12</f>
        <v>75940.920000000013</v>
      </c>
      <c r="NA17" s="858">
        <f>[1]Субсидия_факт!FP12</f>
        <v>216139.53</v>
      </c>
      <c r="NB17" s="1003">
        <f t="shared" si="99"/>
        <v>292080.45</v>
      </c>
      <c r="NC17" s="850"/>
      <c r="ND17" s="860"/>
      <c r="NE17" s="866"/>
      <c r="NF17" s="890"/>
      <c r="NG17" s="850"/>
      <c r="NH17" s="850">
        <f t="shared" ref="NH17:NH18" si="246">MZ17</f>
        <v>75940.920000000013</v>
      </c>
      <c r="NI17" s="860">
        <f t="shared" si="100"/>
        <v>216139.53</v>
      </c>
      <c r="NJ17" s="1003">
        <f t="shared" si="231"/>
        <v>72384000</v>
      </c>
      <c r="NK17" s="859">
        <f>[1]Субсидия_факт!FL12</f>
        <v>0</v>
      </c>
      <c r="NL17" s="858">
        <f>[1]Субсидия_факт!FR12</f>
        <v>72384000</v>
      </c>
      <c r="NM17" s="1003">
        <f t="shared" si="101"/>
        <v>0</v>
      </c>
      <c r="NN17" s="851"/>
      <c r="NO17" s="860"/>
      <c r="NP17" s="878">
        <f t="shared" si="102"/>
        <v>0</v>
      </c>
      <c r="NQ17" s="859">
        <f>'Проверочная  таблица'!NK17-NW17</f>
        <v>0</v>
      </c>
      <c r="NR17" s="860">
        <f>'Проверочная  таблица'!NL17-NX17</f>
        <v>0</v>
      </c>
      <c r="NS17" s="878">
        <f t="shared" si="103"/>
        <v>0</v>
      </c>
      <c r="NT17" s="850">
        <f>'Проверочная  таблица'!NN17-NZ17</f>
        <v>0</v>
      </c>
      <c r="NU17" s="867">
        <f>'Проверочная  таблица'!NO17-OA17</f>
        <v>0</v>
      </c>
      <c r="NV17" s="878">
        <f t="shared" si="232"/>
        <v>72384000</v>
      </c>
      <c r="NW17" s="859">
        <f>[1]Субсидия_факт!FN12</f>
        <v>0</v>
      </c>
      <c r="NX17" s="858">
        <f>[1]Субсидия_факт!FT12</f>
        <v>72384000</v>
      </c>
      <c r="NY17" s="878">
        <f t="shared" si="104"/>
        <v>0</v>
      </c>
      <c r="NZ17" s="850"/>
      <c r="OA17" s="860"/>
      <c r="OB17" s="1012">
        <f t="shared" si="233"/>
        <v>0</v>
      </c>
      <c r="OC17" s="859">
        <f>[1]Субсидия_факт!AR12</f>
        <v>0</v>
      </c>
      <c r="OD17" s="858">
        <f>[1]Субсидия_факт!AT12</f>
        <v>0</v>
      </c>
      <c r="OE17" s="859">
        <f>[1]Субсидия_факт!AV12</f>
        <v>0</v>
      </c>
      <c r="OF17" s="1050">
        <f t="shared" si="105"/>
        <v>0</v>
      </c>
      <c r="OG17" s="866"/>
      <c r="OH17" s="863"/>
      <c r="OI17" s="866"/>
      <c r="OJ17" s="1376">
        <f t="shared" si="106"/>
        <v>26736045.079999998</v>
      </c>
      <c r="OK17" s="859">
        <f>[1]Субсидия_факт!GD12</f>
        <v>15600000</v>
      </c>
      <c r="OL17" s="858">
        <f>[1]Субсидия_факт!GJ12</f>
        <v>11136045.08</v>
      </c>
      <c r="OM17" s="866">
        <f>[1]Субсидия_факт!GP12</f>
        <v>0</v>
      </c>
      <c r="ON17" s="1376">
        <f t="shared" si="107"/>
        <v>0</v>
      </c>
      <c r="OO17" s="851"/>
      <c r="OP17" s="860"/>
      <c r="OQ17" s="850"/>
      <c r="OR17" s="1352">
        <f t="shared" si="234"/>
        <v>27557097.920000002</v>
      </c>
      <c r="OS17" s="859">
        <f>[1]Субсидия_факт!GF12</f>
        <v>821052.83999999985</v>
      </c>
      <c r="OT17" s="858">
        <f>[1]Субсидия_факт!GL12</f>
        <v>15600000</v>
      </c>
      <c r="OU17" s="850">
        <f>[1]Субсидия_факт!GR12</f>
        <v>11136045.08</v>
      </c>
      <c r="OV17" s="1352">
        <f t="shared" si="108"/>
        <v>26161725.25</v>
      </c>
      <c r="OW17" s="850">
        <v>751678.44</v>
      </c>
      <c r="OX17" s="867">
        <v>14281886.689999999</v>
      </c>
      <c r="OY17" s="850">
        <v>11128160.119999999</v>
      </c>
      <c r="OZ17" s="1354">
        <f t="shared" si="109"/>
        <v>11136045.08</v>
      </c>
      <c r="PA17" s="885">
        <f>'Проверочная  таблица'!OS17-PI17</f>
        <v>0</v>
      </c>
      <c r="PB17" s="863">
        <f>'Проверочная  таблица'!OT17-PJ17</f>
        <v>0</v>
      </c>
      <c r="PC17" s="866">
        <f>'Проверочная  таблица'!OU17-PK17</f>
        <v>11136045.08</v>
      </c>
      <c r="PD17" s="1354">
        <f t="shared" si="235"/>
        <v>11128160.119999999</v>
      </c>
      <c r="PE17" s="851">
        <f>'Проверочная  таблица'!OW17-PM17</f>
        <v>0</v>
      </c>
      <c r="PF17" s="860">
        <f>'Проверочная  таблица'!OX17-PN17</f>
        <v>0</v>
      </c>
      <c r="PG17" s="850">
        <f>'Проверочная  таблица'!OY17-PO17</f>
        <v>11128160.119999999</v>
      </c>
      <c r="PH17" s="1354">
        <f t="shared" si="110"/>
        <v>16421052.84</v>
      </c>
      <c r="PI17" s="859">
        <f>[1]Субсидия_факт!GH12</f>
        <v>821052.83999999985</v>
      </c>
      <c r="PJ17" s="858">
        <f>[1]Субсидия_факт!GN12</f>
        <v>15600000</v>
      </c>
      <c r="PK17" s="859">
        <f>[1]Субсидия_факт!GT12</f>
        <v>0</v>
      </c>
      <c r="PL17" s="1354">
        <f t="shared" si="111"/>
        <v>15033565.129999999</v>
      </c>
      <c r="PM17" s="851">
        <f t="shared" si="191"/>
        <v>751678.44</v>
      </c>
      <c r="PN17" s="860">
        <f t="shared" si="192"/>
        <v>14281886.689999999</v>
      </c>
      <c r="PO17" s="859"/>
      <c r="PP17" s="1003">
        <f t="shared" si="193"/>
        <v>0</v>
      </c>
      <c r="PQ17" s="862">
        <f>[1]Субсидия_факт!JB12</f>
        <v>0</v>
      </c>
      <c r="PR17" s="863">
        <f>[1]Субсидия_факт!JH12</f>
        <v>0</v>
      </c>
      <c r="PS17" s="862"/>
      <c r="PT17" s="863"/>
      <c r="PU17" s="1003">
        <f t="shared" si="194"/>
        <v>0</v>
      </c>
      <c r="PV17" s="866"/>
      <c r="PW17" s="890"/>
      <c r="PX17" s="866"/>
      <c r="PY17" s="890"/>
      <c r="PZ17" s="1050">
        <f t="shared" si="112"/>
        <v>1700742.64</v>
      </c>
      <c r="QA17" s="862">
        <f>[1]Субсидия_факт!JD12</f>
        <v>85037.129999999888</v>
      </c>
      <c r="QB17" s="863">
        <f>[1]Субсидия_факт!JJ12</f>
        <v>1615705.51</v>
      </c>
      <c r="QC17" s="1391">
        <f t="shared" si="113"/>
        <v>1700742.6400000001</v>
      </c>
      <c r="QD17" s="866">
        <v>85037.13</v>
      </c>
      <c r="QE17" s="890">
        <v>1615705.51</v>
      </c>
      <c r="QF17" s="879">
        <f t="shared" si="236"/>
        <v>1700742.64</v>
      </c>
      <c r="QG17" s="866">
        <f t="shared" si="114"/>
        <v>85037.129999999888</v>
      </c>
      <c r="QH17" s="863">
        <f t="shared" si="114"/>
        <v>1615705.51</v>
      </c>
      <c r="QI17" s="1373">
        <f t="shared" si="115"/>
        <v>1700742.6400000001</v>
      </c>
      <c r="QJ17" s="862">
        <f t="shared" si="116"/>
        <v>85037.13</v>
      </c>
      <c r="QK17" s="863">
        <f t="shared" si="116"/>
        <v>1615705.51</v>
      </c>
      <c r="QL17" s="1373">
        <f t="shared" si="117"/>
        <v>0</v>
      </c>
      <c r="QM17" s="862">
        <f>[1]Субсидия_факт!JF12</f>
        <v>0</v>
      </c>
      <c r="QN17" s="863">
        <f>[1]Субсидия_факт!JL12</f>
        <v>0</v>
      </c>
      <c r="QO17" s="879">
        <f t="shared" si="237"/>
        <v>0</v>
      </c>
      <c r="QP17" s="866"/>
      <c r="QQ17" s="890"/>
      <c r="QR17" s="939">
        <f t="shared" si="118"/>
        <v>0</v>
      </c>
      <c r="QS17" s="862">
        <f>[1]Субсидия_факт!CV12</f>
        <v>0</v>
      </c>
      <c r="QT17" s="863">
        <f>[1]Субсидия_факт!CX12</f>
        <v>0</v>
      </c>
      <c r="QU17" s="1050">
        <f t="shared" si="119"/>
        <v>0</v>
      </c>
      <c r="QV17" s="862"/>
      <c r="QW17" s="863"/>
      <c r="QX17" s="897">
        <f t="shared" si="120"/>
        <v>0</v>
      </c>
      <c r="QY17" s="862">
        <f>[1]Субсидия_факт!CZ12</f>
        <v>0</v>
      </c>
      <c r="QZ17" s="863">
        <f>[1]Субсидия_факт!DF12</f>
        <v>0</v>
      </c>
      <c r="RA17" s="1050">
        <f t="shared" si="121"/>
        <v>0</v>
      </c>
      <c r="RB17" s="862"/>
      <c r="RC17" s="863"/>
      <c r="RD17" s="939">
        <f t="shared" si="122"/>
        <v>0</v>
      </c>
      <c r="RE17" s="862">
        <f>[1]Субсидия_факт!DB12</f>
        <v>0</v>
      </c>
      <c r="RF17" s="863">
        <f>[1]Субсидия_факт!DH12</f>
        <v>0</v>
      </c>
      <c r="RG17" s="1050">
        <f t="shared" si="123"/>
        <v>0</v>
      </c>
      <c r="RH17" s="862"/>
      <c r="RI17" s="863"/>
      <c r="RJ17" s="1373">
        <f t="shared" si="124"/>
        <v>0</v>
      </c>
      <c r="RK17" s="862">
        <f t="shared" si="125"/>
        <v>0</v>
      </c>
      <c r="RL17" s="863">
        <f t="shared" si="125"/>
        <v>0</v>
      </c>
      <c r="RM17" s="879">
        <f t="shared" si="126"/>
        <v>0</v>
      </c>
      <c r="RN17" s="862">
        <f t="shared" si="127"/>
        <v>0</v>
      </c>
      <c r="RO17" s="863">
        <f t="shared" si="127"/>
        <v>0</v>
      </c>
      <c r="RP17" s="939">
        <f t="shared" si="128"/>
        <v>0</v>
      </c>
      <c r="RQ17" s="862">
        <f>[1]Субсидия_факт!DD12</f>
        <v>0</v>
      </c>
      <c r="RR17" s="863">
        <f>[1]Субсидия_факт!DJ12</f>
        <v>0</v>
      </c>
      <c r="RS17" s="879">
        <f t="shared" si="129"/>
        <v>0</v>
      </c>
      <c r="RT17" s="862"/>
      <c r="RU17" s="863"/>
      <c r="RV17" s="897">
        <f t="shared" si="130"/>
        <v>0</v>
      </c>
      <c r="RW17" s="862">
        <f>[1]Субсидия_факт!DL12</f>
        <v>0</v>
      </c>
      <c r="RX17" s="863">
        <f>[1]Субсидия_факт!DN12</f>
        <v>0</v>
      </c>
      <c r="RY17" s="1391">
        <f t="shared" si="131"/>
        <v>0</v>
      </c>
      <c r="RZ17" s="885"/>
      <c r="SA17" s="889"/>
      <c r="SB17" s="1050">
        <f t="shared" si="238"/>
        <v>0</v>
      </c>
      <c r="SC17" s="859">
        <f>[1]Субсидия_факт!BJ12</f>
        <v>0</v>
      </c>
      <c r="SD17" s="862">
        <f>[1]Субсидия_факт!BF12</f>
        <v>0</v>
      </c>
      <c r="SE17" s="889">
        <f>[1]Субсидия_факт!BH12</f>
        <v>0</v>
      </c>
      <c r="SF17" s="1050">
        <f t="shared" si="132"/>
        <v>0</v>
      </c>
      <c r="SG17" s="891"/>
      <c r="SH17" s="885"/>
      <c r="SI17" s="889"/>
      <c r="SJ17" s="897">
        <f t="shared" si="133"/>
        <v>0</v>
      </c>
      <c r="SK17" s="862">
        <f>[1]Субсидия_факт!AD12</f>
        <v>0</v>
      </c>
      <c r="SL17" s="863">
        <f>[1]Субсидия_факт!AF12</f>
        <v>0</v>
      </c>
      <c r="SM17" s="1050">
        <f t="shared" si="134"/>
        <v>0</v>
      </c>
      <c r="SN17" s="885"/>
      <c r="SO17" s="889"/>
      <c r="SP17" s="897">
        <f t="shared" si="239"/>
        <v>0</v>
      </c>
      <c r="SQ17" s="862">
        <f>[1]Субсидия_факт!ID12</f>
        <v>0</v>
      </c>
      <c r="SR17" s="863">
        <f>[1]Субсидия_факт!IJ12</f>
        <v>0</v>
      </c>
      <c r="SS17" s="885">
        <f>[1]Субсидия_факт!IP12</f>
        <v>0</v>
      </c>
      <c r="ST17" s="863">
        <f>[1]Субсидия_факт!IV12</f>
        <v>0</v>
      </c>
      <c r="SU17" s="1123">
        <f>[1]Субсидия_факт!JZ12</f>
        <v>0</v>
      </c>
      <c r="SV17" s="889">
        <f>[1]Субсидия_факт!KF12</f>
        <v>0</v>
      </c>
      <c r="SW17" s="1050">
        <f t="shared" si="135"/>
        <v>0</v>
      </c>
      <c r="SX17" s="1244"/>
      <c r="SY17" s="890"/>
      <c r="SZ17" s="1244"/>
      <c r="TA17" s="890"/>
      <c r="TB17" s="1123"/>
      <c r="TC17" s="889"/>
      <c r="TD17" s="897">
        <f t="shared" si="136"/>
        <v>19959675.220000003</v>
      </c>
      <c r="TE17" s="862">
        <f>[1]Субсидия_факт!IF12</f>
        <v>997983.76</v>
      </c>
      <c r="TF17" s="863">
        <f>[1]Субсидия_факт!IL12</f>
        <v>18961691.460000001</v>
      </c>
      <c r="TG17" s="885">
        <f>[1]Субсидия_факт!IR12</f>
        <v>0</v>
      </c>
      <c r="TH17" s="863">
        <f>[1]Субсидия_факт!IX12</f>
        <v>0</v>
      </c>
      <c r="TI17" s="885">
        <f>[1]Субсидия_факт!KB12</f>
        <v>0</v>
      </c>
      <c r="TJ17" s="863">
        <f>[1]Субсидия_факт!KH12</f>
        <v>0</v>
      </c>
      <c r="TK17" s="1050">
        <f t="shared" si="137"/>
        <v>6625860.7599999998</v>
      </c>
      <c r="TL17" s="866">
        <v>331293.03999999998</v>
      </c>
      <c r="TM17" s="890">
        <v>6294567.7199999997</v>
      </c>
      <c r="TN17" s="1123"/>
      <c r="TO17" s="890"/>
      <c r="TP17" s="866"/>
      <c r="TQ17" s="890"/>
      <c r="TR17" s="879">
        <f t="shared" si="138"/>
        <v>-1700742.64</v>
      </c>
      <c r="TS17" s="862">
        <f t="shared" si="139"/>
        <v>0</v>
      </c>
      <c r="TT17" s="863">
        <f t="shared" si="139"/>
        <v>0</v>
      </c>
      <c r="TU17" s="862">
        <f t="shared" si="139"/>
        <v>-85037.129999999888</v>
      </c>
      <c r="TV17" s="863">
        <f t="shared" si="139"/>
        <v>-1615705.51</v>
      </c>
      <c r="TW17" s="885">
        <f t="shared" si="139"/>
        <v>0</v>
      </c>
      <c r="TX17" s="863">
        <f t="shared" si="139"/>
        <v>0</v>
      </c>
      <c r="TY17" s="879">
        <f t="shared" si="140"/>
        <v>0</v>
      </c>
      <c r="TZ17" s="862">
        <f t="shared" si="141"/>
        <v>0</v>
      </c>
      <c r="UA17" s="863">
        <f t="shared" si="141"/>
        <v>0</v>
      </c>
      <c r="UB17" s="862">
        <f t="shared" si="141"/>
        <v>0</v>
      </c>
      <c r="UC17" s="863">
        <f t="shared" si="141"/>
        <v>0</v>
      </c>
      <c r="UD17" s="885">
        <f t="shared" si="141"/>
        <v>0</v>
      </c>
      <c r="UE17" s="863">
        <f t="shared" si="141"/>
        <v>0</v>
      </c>
      <c r="UF17" s="1373">
        <f t="shared" si="142"/>
        <v>21660417.860000003</v>
      </c>
      <c r="UG17" s="862">
        <f>[1]Субсидия_факт!IH12</f>
        <v>997983.76</v>
      </c>
      <c r="UH17" s="863">
        <f>[1]Субсидия_факт!IN12</f>
        <v>18961691.460000001</v>
      </c>
      <c r="UI17" s="885">
        <f>[1]Субсидия_факт!IT12</f>
        <v>85037.129999999888</v>
      </c>
      <c r="UJ17" s="863">
        <f>[1]Субсидия_факт!IZ12</f>
        <v>1615705.51</v>
      </c>
      <c r="UK17" s="885">
        <f>[1]Субсидия_факт!KD12</f>
        <v>0</v>
      </c>
      <c r="UL17" s="863">
        <f>[1]Субсидия_факт!KJ12</f>
        <v>0</v>
      </c>
      <c r="UM17" s="879">
        <f t="shared" si="143"/>
        <v>6625860.7599999998</v>
      </c>
      <c r="UN17" s="1123">
        <f>TL17</f>
        <v>331293.03999999998</v>
      </c>
      <c r="UO17" s="890">
        <f>TM17</f>
        <v>6294567.7199999997</v>
      </c>
      <c r="UP17" s="1123"/>
      <c r="UQ17" s="890"/>
      <c r="UR17" s="1123"/>
      <c r="US17" s="890"/>
      <c r="UT17" s="1050">
        <f>'Прочая  субсидия_МР  и  ГО'!B13</f>
        <v>130269764.8</v>
      </c>
      <c r="UU17" s="1050">
        <f>'Прочая  субсидия_МР  и  ГО'!C13</f>
        <v>101323075.60000001</v>
      </c>
      <c r="UV17" s="1371">
        <f>'Прочая  субсидия_БП'!B13</f>
        <v>16630851.350000001</v>
      </c>
      <c r="UW17" s="897">
        <f>'Прочая  субсидия_БП'!C13</f>
        <v>9554861.5199999996</v>
      </c>
      <c r="UX17" s="1395">
        <f>'Прочая  субсидия_БП'!D13</f>
        <v>1115878.1900000002</v>
      </c>
      <c r="UY17" s="1386">
        <f>'Прочая  субсидия_БП'!E13</f>
        <v>556951.18999999994</v>
      </c>
      <c r="UZ17" s="1387">
        <f>'Прочая  субсидия_БП'!F13</f>
        <v>15514973.16</v>
      </c>
      <c r="VA17" s="1395">
        <f>'Прочая  субсидия_БП'!G13</f>
        <v>8997910.3300000001</v>
      </c>
      <c r="VB17" s="897">
        <f t="shared" si="144"/>
        <v>493282417.97999996</v>
      </c>
      <c r="VC17" s="866">
        <f>'Проверочная  таблица'!WE17+'Проверочная  таблица'!VH17+'Проверочная  таблица'!VJ17+VY17</f>
        <v>477966382.57999998</v>
      </c>
      <c r="VD17" s="891">
        <f>'Проверочная  таблица'!WF17+'Проверочная  таблица'!VN17+'Проверочная  таблица'!VT17+'Проверочная  таблица'!VP17+'Проверочная  таблица'!VR17+VV17+VZ17+VL17</f>
        <v>15316035.4</v>
      </c>
      <c r="VE17" s="1050">
        <f t="shared" si="145"/>
        <v>331658618.59999996</v>
      </c>
      <c r="VF17" s="866">
        <f>'Проверочная  таблица'!WH17+'Проверочная  таблица'!VI17+'Проверочная  таблица'!VK17+WB17</f>
        <v>320208282.41999996</v>
      </c>
      <c r="VG17" s="891">
        <f>'Проверочная  таблица'!WI17+'Проверочная  таблица'!VO17+'Проверочная  таблица'!VU17+'Проверочная  таблица'!VQ17+'Проверочная  таблица'!VS17+VW17+WC17+VM17</f>
        <v>11450336.18</v>
      </c>
      <c r="VH17" s="1391">
        <f>'Субвенция  на  полномочия'!B13</f>
        <v>443301424.51999998</v>
      </c>
      <c r="VI17" s="1371">
        <f>'Субвенция  на  полномочия'!C13</f>
        <v>297307156.32999998</v>
      </c>
      <c r="VJ17" s="886">
        <f>[1]Субвенция_факт!M11*1000</f>
        <v>28783613</v>
      </c>
      <c r="VK17" s="892">
        <v>18600000</v>
      </c>
      <c r="VL17" s="886">
        <f>[1]Субвенция_факт!AE11*1000</f>
        <v>0</v>
      </c>
      <c r="VM17" s="892"/>
      <c r="VN17" s="886">
        <f>[1]Субвенция_факт!AF11*1000</f>
        <v>2100700</v>
      </c>
      <c r="VO17" s="892">
        <f>ВУС!E26</f>
        <v>1118343.45</v>
      </c>
      <c r="VP17" s="1396">
        <f>[1]Субвенция_факт!AG11*1000</f>
        <v>0</v>
      </c>
      <c r="VQ17" s="893"/>
      <c r="VR17" s="888">
        <f>[1]Субвенция_факт!E11*1000</f>
        <v>0</v>
      </c>
      <c r="VS17" s="893"/>
      <c r="VT17" s="888">
        <f>[1]Субвенция_факт!F11*1000</f>
        <v>1553000</v>
      </c>
      <c r="VU17" s="893">
        <v>1553000</v>
      </c>
      <c r="VV17" s="887">
        <f>[1]Субвенция_факт!G11*1000</f>
        <v>0</v>
      </c>
      <c r="VW17" s="892"/>
      <c r="VX17" s="897">
        <f t="shared" si="146"/>
        <v>14199101.890000001</v>
      </c>
      <c r="VY17" s="862">
        <f>[1]Субвенция_факт!P11*1000</f>
        <v>3691766.49</v>
      </c>
      <c r="VZ17" s="863">
        <f>[1]Субвенция_факт!Q11*1000</f>
        <v>10507335.4</v>
      </c>
      <c r="WA17" s="1050">
        <f t="shared" si="147"/>
        <v>10600484.939999999</v>
      </c>
      <c r="WB17" s="866">
        <v>2756126.09</v>
      </c>
      <c r="WC17" s="894">
        <v>7844358.8499999996</v>
      </c>
      <c r="WD17" s="1050">
        <f t="shared" si="148"/>
        <v>3344578.5700000003</v>
      </c>
      <c r="WE17" s="895">
        <f>[1]Субвенция_факт!X11*1000</f>
        <v>2189578.5700000003</v>
      </c>
      <c r="WF17" s="896">
        <f>[1]Субвенция_факт!W11*1000</f>
        <v>1155000</v>
      </c>
      <c r="WG17" s="1050">
        <f t="shared" si="149"/>
        <v>2479633.88</v>
      </c>
      <c r="WH17" s="866">
        <v>1545000</v>
      </c>
      <c r="WI17" s="894">
        <v>934633.88</v>
      </c>
      <c r="WJ17" s="897">
        <f t="shared" si="201"/>
        <v>273585089.17000002</v>
      </c>
      <c r="WK17" s="1050">
        <f t="shared" si="202"/>
        <v>121349246.13</v>
      </c>
      <c r="WL17" s="1391">
        <f t="shared" si="240"/>
        <v>0</v>
      </c>
      <c r="WM17" s="895"/>
      <c r="WN17" s="896">
        <f>'[1]Иные межбюджетные трансферты'!I15</f>
        <v>0</v>
      </c>
      <c r="WO17" s="1391">
        <f t="shared" si="241"/>
        <v>0</v>
      </c>
      <c r="WP17" s="895"/>
      <c r="WQ17" s="896"/>
      <c r="WR17" s="1391">
        <f t="shared" si="152"/>
        <v>2754775.3</v>
      </c>
      <c r="WS17" s="895">
        <f>'[1]Иные межбюджетные трансферты'!AQ12</f>
        <v>0</v>
      </c>
      <c r="WT17" s="896">
        <f>'[1]Иные межбюджетные трансферты'!AS12</f>
        <v>2754775.3</v>
      </c>
      <c r="WU17" s="1391">
        <f t="shared" si="153"/>
        <v>0</v>
      </c>
      <c r="WV17" s="895"/>
      <c r="WW17" s="896"/>
      <c r="WX17" s="1050">
        <f t="shared" si="154"/>
        <v>1348095.69</v>
      </c>
      <c r="WY17" s="895">
        <f>'[1]Иные межбюджетные трансферты'!AM12</f>
        <v>67404.78</v>
      </c>
      <c r="WZ17" s="896">
        <f>'[1]Иные межбюджетные трансферты'!AO12</f>
        <v>1280690.9099999999</v>
      </c>
      <c r="XA17" s="1050">
        <f t="shared" si="155"/>
        <v>1006211.1399999999</v>
      </c>
      <c r="XB17" s="895">
        <v>50310.57</v>
      </c>
      <c r="XC17" s="896">
        <v>955900.57</v>
      </c>
      <c r="XD17" s="1050">
        <f t="shared" si="156"/>
        <v>34210716</v>
      </c>
      <c r="XE17" s="895">
        <f>'[1]Иные межбюджетные трансферты'!K12</f>
        <v>15744768</v>
      </c>
      <c r="XF17" s="896">
        <f>'[1]Иные межбюджетные трансферты'!M12</f>
        <v>18465948</v>
      </c>
      <c r="XG17" s="1050">
        <f t="shared" si="242"/>
        <v>18465948</v>
      </c>
      <c r="XH17" s="882"/>
      <c r="XI17" s="896">
        <v>18465948</v>
      </c>
      <c r="XJ17" s="1050">
        <f t="shared" si="158"/>
        <v>0</v>
      </c>
      <c r="XK17" s="885"/>
      <c r="XL17" s="1050">
        <f t="shared" si="159"/>
        <v>0</v>
      </c>
      <c r="XM17" s="885"/>
      <c r="XN17" s="897">
        <f t="shared" si="160"/>
        <v>120669638.52000001</v>
      </c>
      <c r="XO17" s="862">
        <f>'[1]Иные межбюджетные трансферты'!O12</f>
        <v>120669638.52000001</v>
      </c>
      <c r="XP17" s="1050">
        <f t="shared" si="161"/>
        <v>55873348.530000001</v>
      </c>
      <c r="XQ17" s="866">
        <v>55873348.530000001</v>
      </c>
      <c r="XR17" s="1390">
        <f t="shared" si="162"/>
        <v>0</v>
      </c>
      <c r="XS17" s="879">
        <f t="shared" si="163"/>
        <v>0</v>
      </c>
      <c r="XT17" s="1390">
        <f t="shared" si="164"/>
        <v>120669638.52000001</v>
      </c>
      <c r="XU17" s="879">
        <f t="shared" si="165"/>
        <v>55873348.530000001</v>
      </c>
      <c r="XV17" s="1050">
        <f t="shared" si="243"/>
        <v>103654414.91000001</v>
      </c>
      <c r="XW17" s="883">
        <f>'[1]Иные межбюджетные трансферты'!E12</f>
        <v>0</v>
      </c>
      <c r="XX17" s="895">
        <f>'[1]Иные межбюджетные трансферты'!G12</f>
        <v>23392389</v>
      </c>
      <c r="XY17" s="882">
        <f>'[1]Иные межбюджетные трансферты'!S12</f>
        <v>0</v>
      </c>
      <c r="XZ17" s="883">
        <f>'[1]Иные межбюджетные трансферты'!Y12</f>
        <v>18517240</v>
      </c>
      <c r="YA17" s="882">
        <f>'[1]Иные межбюджетные трансферты'!AA12</f>
        <v>18517240</v>
      </c>
      <c r="YB17" s="1275">
        <f>'[1]Иные межбюджетные трансферты'!AG12</f>
        <v>29878876</v>
      </c>
      <c r="YC17" s="882">
        <f>'[1]Иные межбюджетные трансферты'!AU12</f>
        <v>0</v>
      </c>
      <c r="YD17" s="862">
        <f>'[1]Иные межбюджетные трансферты'!BA12</f>
        <v>3377802.23</v>
      </c>
      <c r="YE17" s="882">
        <f>'[1]Иные межбюджетные трансферты'!BC12</f>
        <v>3885429.67</v>
      </c>
      <c r="YF17" s="1275">
        <f>'[1]Иные межбюджетные трансферты'!BE12</f>
        <v>6085438.0099999998</v>
      </c>
      <c r="YG17" s="1050">
        <f t="shared" si="244"/>
        <v>37093184.189999998</v>
      </c>
      <c r="YH17" s="882"/>
      <c r="YI17" s="882"/>
      <c r="YJ17" s="851"/>
      <c r="YK17" s="882"/>
      <c r="YL17" s="848">
        <f t="shared" si="245"/>
        <v>18517240</v>
      </c>
      <c r="YM17" s="848">
        <v>12490506.18</v>
      </c>
      <c r="YN17" s="848"/>
      <c r="YO17" s="848"/>
      <c r="YP17" s="848"/>
      <c r="YQ17" s="848">
        <v>6085438.0099999998</v>
      </c>
      <c r="YR17" s="1050">
        <f t="shared" si="166"/>
        <v>10947448.75</v>
      </c>
      <c r="YS17" s="895">
        <f>'[1]Иные межбюджетные трансферты'!U12</f>
        <v>474539</v>
      </c>
      <c r="YT17" s="882">
        <f>'[1]Иные межбюджетные трансферты'!AC12</f>
        <v>3765300</v>
      </c>
      <c r="YU17" s="1275">
        <f>'[1]Иные межбюджетные трансферты'!AI12</f>
        <v>67404.78</v>
      </c>
      <c r="YV17" s="883">
        <f>'[1]Иные межбюджетные трансферты'!AW12</f>
        <v>2754775.3</v>
      </c>
      <c r="YW17" s="848">
        <f>'[1]Иные межбюджетные трансферты'!BG12</f>
        <v>3885429.67</v>
      </c>
      <c r="YX17" s="1050">
        <f t="shared" si="167"/>
        <v>8910554.2699999996</v>
      </c>
      <c r="YY17" s="865">
        <v>474539</v>
      </c>
      <c r="YZ17" s="865">
        <f t="shared" ref="YZ17:YZ29" si="247">YT17</f>
        <v>3765300</v>
      </c>
      <c r="ZA17" s="865"/>
      <c r="ZB17" s="848">
        <v>785285.6</v>
      </c>
      <c r="ZC17" s="848">
        <v>3885429.67</v>
      </c>
      <c r="ZD17" s="879">
        <f t="shared" si="168"/>
        <v>7182148.75</v>
      </c>
      <c r="ZE17" s="859">
        <f>'Проверочная  таблица'!YS17-ZQ17</f>
        <v>474539</v>
      </c>
      <c r="ZF17" s="859">
        <f>'Проверочная  таблица'!YT17-ZR17</f>
        <v>0</v>
      </c>
      <c r="ZG17" s="859">
        <f>'Проверочная  таблица'!YU17-ZS17</f>
        <v>67404.78</v>
      </c>
      <c r="ZH17" s="859">
        <f>'Проверочная  таблица'!YV17-ZT17</f>
        <v>2754775.3</v>
      </c>
      <c r="ZI17" s="859">
        <f>'Проверочная  таблица'!YW17-ZU17</f>
        <v>3885429.67</v>
      </c>
      <c r="ZJ17" s="879">
        <f t="shared" si="169"/>
        <v>5145254.2699999996</v>
      </c>
      <c r="ZK17" s="859">
        <f>'Проверочная  таблица'!YY17-ZW17</f>
        <v>474539</v>
      </c>
      <c r="ZL17" s="859">
        <f>'Проверочная  таблица'!YZ17-ZX17</f>
        <v>0</v>
      </c>
      <c r="ZM17" s="859">
        <f>'Проверочная  таблица'!ZA17-ZY17</f>
        <v>0</v>
      </c>
      <c r="ZN17" s="859">
        <f>'Проверочная  таблица'!ZB17-ZZ17</f>
        <v>785285.6</v>
      </c>
      <c r="ZO17" s="859">
        <f>'Проверочная  таблица'!ZC17-AAA17</f>
        <v>3885429.67</v>
      </c>
      <c r="ZP17" s="879">
        <f t="shared" si="170"/>
        <v>3765300</v>
      </c>
      <c r="ZQ17" s="895">
        <f>'[1]Иные межбюджетные трансферты'!W12</f>
        <v>0</v>
      </c>
      <c r="ZR17" s="895">
        <f>'[1]Иные межбюджетные трансферты'!AE12</f>
        <v>3765300</v>
      </c>
      <c r="ZS17" s="882"/>
      <c r="ZT17" s="883">
        <f>'[1]Иные межбюджетные трансферты'!AY12</f>
        <v>0</v>
      </c>
      <c r="ZU17" s="848">
        <f>'[1]Иные межбюджетные трансферты'!$BI$12</f>
        <v>0</v>
      </c>
      <c r="ZV17" s="879">
        <f t="shared" si="171"/>
        <v>3765300</v>
      </c>
      <c r="ZW17" s="865"/>
      <c r="ZX17" s="865">
        <f t="shared" ref="ZX17:ZX29" si="248">YZ17</f>
        <v>3765300</v>
      </c>
      <c r="ZY17" s="865"/>
      <c r="ZZ17" s="848"/>
      <c r="AAA17" s="848">
        <v>0</v>
      </c>
      <c r="AAB17" s="1050">
        <f>AAD17+'Проверочная  таблица'!AAL17+AAH17+'Проверочная  таблица'!AAP17+AAJ17+'Проверочная  таблица'!AAR17</f>
        <v>-20300000</v>
      </c>
      <c r="AAC17" s="1050">
        <f>AAE17+'Проверочная  таблица'!AAM17+AAI17+'Проверочная  таблица'!AAQ17+AAK17+'Проверочная  таблица'!AAS17</f>
        <v>0</v>
      </c>
      <c r="AAD17" s="897"/>
      <c r="AAE17" s="897"/>
      <c r="AAF17" s="897"/>
      <c r="AAG17" s="897"/>
      <c r="AAH17" s="1373">
        <f t="shared" si="172"/>
        <v>0</v>
      </c>
      <c r="AAI17" s="879">
        <f t="shared" si="172"/>
        <v>0</v>
      </c>
      <c r="AAJ17" s="898"/>
      <c r="AAK17" s="879"/>
      <c r="AAL17" s="897">
        <v>-20000000</v>
      </c>
      <c r="AAM17" s="897"/>
      <c r="AAN17" s="897">
        <v>-300000</v>
      </c>
      <c r="AAO17" s="897"/>
      <c r="AAP17" s="1373">
        <f t="shared" si="173"/>
        <v>-300000</v>
      </c>
      <c r="AAQ17" s="879">
        <f t="shared" si="173"/>
        <v>0</v>
      </c>
      <c r="AAR17" s="879"/>
      <c r="AAS17" s="879"/>
      <c r="AAT17" s="1384">
        <f>'Проверочная  таблица'!AAL17+'Проверочная  таблица'!AAN17</f>
        <v>-20300000</v>
      </c>
      <c r="AAU17" s="1384">
        <f>'Проверочная  таблица'!AAM17+'Проверочная  таблица'!AAO17</f>
        <v>0</v>
      </c>
    </row>
    <row r="18" spans="1:723" ht="20.45" customHeight="1" x14ac:dyDescent="0.25">
      <c r="A18" s="880" t="s">
        <v>1287</v>
      </c>
      <c r="B18" s="897">
        <f>D18+AN18+'Проверочная  таблица'!VB18+'Проверочная  таблица'!WJ18</f>
        <v>1239379651.1099999</v>
      </c>
      <c r="C18" s="1050">
        <f>E18+'Проверочная  таблица'!VE18+AO18+'Проверочная  таблица'!WK18</f>
        <v>570440804.41999996</v>
      </c>
      <c r="D18" s="1371">
        <f t="shared" si="0"/>
        <v>210050134.72999999</v>
      </c>
      <c r="E18" s="897">
        <f t="shared" si="1"/>
        <v>74425456.280000001</v>
      </c>
      <c r="F18" s="1376">
        <f>'[1]Дотация  из  ОБ_факт'!M11</f>
        <v>21614223</v>
      </c>
      <c r="G18" s="1385">
        <v>16030549</v>
      </c>
      <c r="H18" s="1376">
        <f>'[1]Дотация  из  ОБ_факт'!G11</f>
        <v>32179313.73</v>
      </c>
      <c r="I18" s="1385">
        <v>24134480.859999999</v>
      </c>
      <c r="J18" s="1386">
        <f t="shared" si="2"/>
        <v>32179313.73</v>
      </c>
      <c r="K18" s="1387">
        <f t="shared" si="2"/>
        <v>24134480.859999999</v>
      </c>
      <c r="L18" s="1386">
        <f>'[1]Дотация  из  ОБ_факт'!K11</f>
        <v>0</v>
      </c>
      <c r="M18" s="881"/>
      <c r="N18" s="1376">
        <f>'[1]Дотация  из  ОБ_факт'!Q11</f>
        <v>5700000</v>
      </c>
      <c r="O18" s="1385"/>
      <c r="P18" s="1399">
        <f>'[1]Дотация  из  ОБ_факт'!S11</f>
        <v>148384673</v>
      </c>
      <c r="Q18" s="1385">
        <v>32088501.419999998</v>
      </c>
      <c r="R18" s="1386">
        <f t="shared" si="3"/>
        <v>148384673</v>
      </c>
      <c r="S18" s="1387">
        <f t="shared" si="3"/>
        <v>32088501.419999998</v>
      </c>
      <c r="T18" s="1386">
        <f>'[1]Дотация  из  ОБ_факт'!W11</f>
        <v>0</v>
      </c>
      <c r="U18" s="881"/>
      <c r="V18" s="886">
        <f t="shared" si="4"/>
        <v>1500000</v>
      </c>
      <c r="W18" s="1388">
        <f>'[1]Дотация  из  ОБ_факт'!AA11</f>
        <v>1500000</v>
      </c>
      <c r="X18" s="1389">
        <f>'[1]Дотация  из  ОБ_факт'!AC11</f>
        <v>0</v>
      </c>
      <c r="Y18" s="1389">
        <f>'[1]Дотация  из  ОБ_факт'!AG11</f>
        <v>0</v>
      </c>
      <c r="Z18" s="887">
        <f t="shared" si="5"/>
        <v>1500000</v>
      </c>
      <c r="AA18" s="848">
        <f t="shared" si="177"/>
        <v>1500000</v>
      </c>
      <c r="AB18" s="848">
        <f t="shared" si="177"/>
        <v>0</v>
      </c>
      <c r="AC18" s="882"/>
      <c r="AD18" s="886">
        <f t="shared" si="6"/>
        <v>671925</v>
      </c>
      <c r="AE18" s="1388">
        <f>'[1]Дотация  из  ОБ_факт'!Y11</f>
        <v>671925</v>
      </c>
      <c r="AF18" s="1389">
        <f>'[1]Дотация  из  ОБ_факт'!AE11</f>
        <v>0</v>
      </c>
      <c r="AG18" s="886">
        <f t="shared" si="7"/>
        <v>671925</v>
      </c>
      <c r="AH18" s="1359">
        <f t="shared" si="178"/>
        <v>671925</v>
      </c>
      <c r="AI18" s="848">
        <f t="shared" si="179"/>
        <v>0</v>
      </c>
      <c r="AJ18" s="1386">
        <f t="shared" si="8"/>
        <v>671925</v>
      </c>
      <c r="AK18" s="1387">
        <f t="shared" si="9"/>
        <v>671925</v>
      </c>
      <c r="AL18" s="1386">
        <f>'[1]Дотация  из  ОБ_факт'!AE11</f>
        <v>0</v>
      </c>
      <c r="AM18" s="884"/>
      <c r="AN18" s="1012">
        <f>'Проверочная  таблица'!UT18+'Проверочная  таблица'!UV18+BL18+BN18+BZ18+CB18+AZ18+BD18+'Проверочная  таблица'!MT18+'Проверочная  таблица'!NJ18+'Проверочная  таблица'!DT18+'Проверочная  таблица'!OB18+DL18+'Проверочная  таблица'!JJ18+'Проверочная  таблица'!JP18+'Проверочная  таблица'!OJ18+'Проверочная  таблица'!OR18+JD18+AP18+AV18+ET18+EZ18+CN18+SP18+DZ18+TD18+PZ18+EF18+EN18+LN18+LV18+SJ18+GN18+RV18+QX18+KH18+KR18+RD18+SB18+CH18+QR18+HD18+FX18+HJ18+HP18+FR18+DB18+PP18+BT18+IH18+IX18+GV18+GD18+IN18</f>
        <v>461151755.51000005</v>
      </c>
      <c r="AO18" s="1013">
        <f>'Проверочная  таблица'!UU18+'Проверочная  таблица'!UW18+BM18+BO18+CA18+CC18+BB18+BF18+'Проверочная  таблица'!NB18+'Проверочная  таблица'!NM18+'Проверочная  таблица'!DW18+'Проверочная  таблица'!OF18+DP18+'Проверочная  таблица'!JM18+'Проверочная  таблица'!JS18+'Проверочная  таблица'!ON18+'Проверочная  таблица'!OV18+JG18+AS18+AX18+EW18+FC18+CU18+SW18+EC18+TK18+QC18+EJ18+EQ18+LR18+LZ18+SM18+GR18+RY18+RA18+KM18+KW18+RG18+SF18+CK18+QU18+HG18+GA18+HM18+HS18+FU18+DE18+PU18+BW18+IK18+JA18+GX18+GG18+IQ18</f>
        <v>101321537.47000001</v>
      </c>
      <c r="AP18" s="1014">
        <f t="shared" si="10"/>
        <v>72844900</v>
      </c>
      <c r="AQ18" s="885">
        <f>[1]Субсидия_факт!HV13</f>
        <v>53236900</v>
      </c>
      <c r="AR18" s="866">
        <f>[1]Субсидия_факт!MR13</f>
        <v>19608000</v>
      </c>
      <c r="AS18" s="1014">
        <f t="shared" si="11"/>
        <v>1880000</v>
      </c>
      <c r="AT18" s="866">
        <v>1880000</v>
      </c>
      <c r="AU18" s="885"/>
      <c r="AV18" s="1003">
        <f t="shared" si="12"/>
        <v>0</v>
      </c>
      <c r="AW18" s="866">
        <f>[1]Субсидия_факт!MV13</f>
        <v>0</v>
      </c>
      <c r="AX18" s="1360">
        <f t="shared" si="13"/>
        <v>0</v>
      </c>
      <c r="AY18" s="866"/>
      <c r="AZ18" s="897">
        <f t="shared" si="14"/>
        <v>50000000</v>
      </c>
      <c r="BA18" s="866">
        <f>[1]Субсидия_факт!KZ13</f>
        <v>50000000</v>
      </c>
      <c r="BB18" s="1050">
        <f t="shared" si="15"/>
        <v>23103174.530000001</v>
      </c>
      <c r="BC18" s="866">
        <v>23103174.530000001</v>
      </c>
      <c r="BD18" s="897">
        <f t="shared" si="16"/>
        <v>0</v>
      </c>
      <c r="BE18" s="866">
        <f>[1]Субсидия_факт!LB13</f>
        <v>0</v>
      </c>
      <c r="BF18" s="1050">
        <f t="shared" si="17"/>
        <v>0</v>
      </c>
      <c r="BG18" s="866"/>
      <c r="BH18" s="1373">
        <f t="shared" si="18"/>
        <v>0</v>
      </c>
      <c r="BI18" s="879">
        <f t="shared" si="19"/>
        <v>0</v>
      </c>
      <c r="BJ18" s="1390">
        <f t="shared" si="20"/>
        <v>0</v>
      </c>
      <c r="BK18" s="1373">
        <f t="shared" si="21"/>
        <v>0</v>
      </c>
      <c r="BL18" s="897">
        <f>[1]Субсидия_факт!GV13</f>
        <v>0</v>
      </c>
      <c r="BM18" s="886"/>
      <c r="BN18" s="1391">
        <f>[1]Субсидия_факт!GX13</f>
        <v>0</v>
      </c>
      <c r="BO18" s="887"/>
      <c r="BP18" s="1390">
        <f t="shared" si="22"/>
        <v>0</v>
      </c>
      <c r="BQ18" s="1373">
        <f t="shared" si="22"/>
        <v>0</v>
      </c>
      <c r="BR18" s="879">
        <f>[1]Субсидия_факт!GZ13</f>
        <v>0</v>
      </c>
      <c r="BS18" s="881"/>
      <c r="BT18" s="939">
        <f t="shared" si="23"/>
        <v>93843900</v>
      </c>
      <c r="BU18" s="862">
        <f>[1]Субсидия_факт!HL13</f>
        <v>53236900</v>
      </c>
      <c r="BV18" s="866">
        <f>[1]Субсидия_факт!HN13</f>
        <v>40607000</v>
      </c>
      <c r="BW18" s="1014">
        <f t="shared" si="24"/>
        <v>5707849.9400000004</v>
      </c>
      <c r="BX18" s="866"/>
      <c r="BY18" s="866">
        <v>5707849.9400000004</v>
      </c>
      <c r="BZ18" s="1050">
        <f>[1]Субсидия_факт!HB13</f>
        <v>0</v>
      </c>
      <c r="CA18" s="888"/>
      <c r="CB18" s="1050">
        <f>[1]Субсидия_факт!HD13</f>
        <v>0</v>
      </c>
      <c r="CC18" s="887"/>
      <c r="CD18" s="1367">
        <f t="shared" si="25"/>
        <v>0</v>
      </c>
      <c r="CE18" s="878">
        <f t="shared" si="25"/>
        <v>0</v>
      </c>
      <c r="CF18" s="1368">
        <f>[1]Субсидия_факт!HF13</f>
        <v>0</v>
      </c>
      <c r="CG18" s="849"/>
      <c r="CH18" s="939">
        <f t="shared" si="26"/>
        <v>26779017.289999999</v>
      </c>
      <c r="CI18" s="862">
        <f>[1]Субсидия_факт!HP13</f>
        <v>0</v>
      </c>
      <c r="CJ18" s="866">
        <f>[1]Субсидия_факт!HR13</f>
        <v>26779017.289999999</v>
      </c>
      <c r="CK18" s="1014">
        <f t="shared" si="27"/>
        <v>3720882.15</v>
      </c>
      <c r="CL18" s="866"/>
      <c r="CM18" s="866">
        <v>3720882.15</v>
      </c>
      <c r="CN18" s="1003">
        <f t="shared" si="28"/>
        <v>0</v>
      </c>
      <c r="CO18" s="859">
        <f>[1]Субсидия_факт!LR13</f>
        <v>0</v>
      </c>
      <c r="CP18" s="858">
        <f>[1]Субсидия_факт!LT13</f>
        <v>0</v>
      </c>
      <c r="CQ18" s="850">
        <f>[1]Субсидия_факт!LV13</f>
        <v>0</v>
      </c>
      <c r="CR18" s="858">
        <f>[1]Субсидия_факт!MB13</f>
        <v>0</v>
      </c>
      <c r="CS18" s="850">
        <f>[1]Субсидия_факт!MH13</f>
        <v>0</v>
      </c>
      <c r="CT18" s="858">
        <f>[1]Субсидия_факт!MJ13</f>
        <v>0</v>
      </c>
      <c r="CU18" s="1003">
        <f t="shared" si="29"/>
        <v>0</v>
      </c>
      <c r="CV18" s="851"/>
      <c r="CW18" s="858"/>
      <c r="CX18" s="850"/>
      <c r="CY18" s="858"/>
      <c r="CZ18" s="850"/>
      <c r="DA18" s="858"/>
      <c r="DB18" s="1013">
        <f t="shared" si="205"/>
        <v>0</v>
      </c>
      <c r="DC18" s="859">
        <f>[1]Субсидия_факт!LX13</f>
        <v>0</v>
      </c>
      <c r="DD18" s="858">
        <f>[1]Субсидия_факт!MD13</f>
        <v>0</v>
      </c>
      <c r="DE18" s="1003">
        <f t="shared" si="31"/>
        <v>0</v>
      </c>
      <c r="DF18" s="859"/>
      <c r="DG18" s="860"/>
      <c r="DH18" s="1367">
        <f t="shared" si="206"/>
        <v>0</v>
      </c>
      <c r="DI18" s="878">
        <f t="shared" si="207"/>
        <v>0</v>
      </c>
      <c r="DJ18" s="1368">
        <f t="shared" si="208"/>
        <v>0</v>
      </c>
      <c r="DK18" s="849">
        <f t="shared" si="209"/>
        <v>0</v>
      </c>
      <c r="DL18" s="1050">
        <f t="shared" si="210"/>
        <v>0</v>
      </c>
      <c r="DM18" s="885">
        <f>[1]Субсидия_факт!R13</f>
        <v>0</v>
      </c>
      <c r="DN18" s="862">
        <f>[1]Субсидия_факт!T13</f>
        <v>0</v>
      </c>
      <c r="DO18" s="866">
        <f>[1]Субсидия_факт!V13</f>
        <v>0</v>
      </c>
      <c r="DP18" s="1050">
        <f t="shared" si="211"/>
        <v>0</v>
      </c>
      <c r="DQ18" s="902"/>
      <c r="DR18" s="902"/>
      <c r="DS18" s="902"/>
      <c r="DT18" s="939">
        <f t="shared" si="32"/>
        <v>0</v>
      </c>
      <c r="DU18" s="862">
        <f>[1]Субсидия_факт!AX13</f>
        <v>0</v>
      </c>
      <c r="DV18" s="863">
        <f>[1]Субсидия_факт!AZ13</f>
        <v>0</v>
      </c>
      <c r="DW18" s="1050">
        <f t="shared" si="33"/>
        <v>0</v>
      </c>
      <c r="DX18" s="885"/>
      <c r="DY18" s="889"/>
      <c r="DZ18" s="897">
        <f t="shared" si="34"/>
        <v>0</v>
      </c>
      <c r="EA18" s="862">
        <f>[1]Субсидия_факт!X13</f>
        <v>0</v>
      </c>
      <c r="EB18" s="863">
        <f>[1]Субсидия_факт!Z13</f>
        <v>0</v>
      </c>
      <c r="EC18" s="1050">
        <f t="shared" si="35"/>
        <v>0</v>
      </c>
      <c r="ED18" s="862"/>
      <c r="EE18" s="863"/>
      <c r="EF18" s="1013">
        <f t="shared" si="212"/>
        <v>0</v>
      </c>
      <c r="EG18" s="859">
        <f>[1]Субсидия_факт!AP13</f>
        <v>0</v>
      </c>
      <c r="EH18" s="859">
        <f>[1]Субсидия_факт!AL13</f>
        <v>0</v>
      </c>
      <c r="EI18" s="860">
        <f>[1]Субсидия_факт!AN13</f>
        <v>0</v>
      </c>
      <c r="EJ18" s="1013">
        <f t="shared" si="36"/>
        <v>0</v>
      </c>
      <c r="EK18" s="859"/>
      <c r="EL18" s="859"/>
      <c r="EM18" s="860"/>
      <c r="EN18" s="1013">
        <f t="shared" si="37"/>
        <v>0</v>
      </c>
      <c r="EO18" s="859">
        <f>[1]Субсидия_факт!HH13</f>
        <v>0</v>
      </c>
      <c r="EP18" s="858">
        <f>[1]Субсидия_факт!HJ13</f>
        <v>0</v>
      </c>
      <c r="EQ18" s="1003">
        <f t="shared" si="38"/>
        <v>0</v>
      </c>
      <c r="ER18" s="859"/>
      <c r="ES18" s="858"/>
      <c r="ET18" s="1013">
        <f t="shared" si="39"/>
        <v>0</v>
      </c>
      <c r="EU18" s="862">
        <f>[1]Субсидия_факт!PK13</f>
        <v>0</v>
      </c>
      <c r="EV18" s="863">
        <f>[1]Субсидия_факт!PQ13</f>
        <v>0</v>
      </c>
      <c r="EW18" s="1003">
        <f t="shared" si="40"/>
        <v>0</v>
      </c>
      <c r="EX18" s="859"/>
      <c r="EY18" s="860"/>
      <c r="EZ18" s="1013">
        <f t="shared" si="41"/>
        <v>0</v>
      </c>
      <c r="FA18" s="859">
        <f>[1]Субсидия_факт!PM13</f>
        <v>0</v>
      </c>
      <c r="FB18" s="858">
        <f>[1]Субсидия_факт!PS13</f>
        <v>0</v>
      </c>
      <c r="FC18" s="1003">
        <f t="shared" si="42"/>
        <v>0</v>
      </c>
      <c r="FD18" s="859"/>
      <c r="FE18" s="860"/>
      <c r="FF18" s="1369">
        <f t="shared" si="43"/>
        <v>0</v>
      </c>
      <c r="FG18" s="859">
        <f t="shared" si="44"/>
        <v>0</v>
      </c>
      <c r="FH18" s="858">
        <f t="shared" si="44"/>
        <v>0</v>
      </c>
      <c r="FI18" s="878">
        <f t="shared" si="45"/>
        <v>0</v>
      </c>
      <c r="FJ18" s="859">
        <f t="shared" si="46"/>
        <v>0</v>
      </c>
      <c r="FK18" s="858">
        <f t="shared" si="46"/>
        <v>0</v>
      </c>
      <c r="FL18" s="1369">
        <f t="shared" si="47"/>
        <v>0</v>
      </c>
      <c r="FM18" s="859">
        <f>[1]Субсидия_факт!PO13</f>
        <v>0</v>
      </c>
      <c r="FN18" s="858">
        <f>[1]Субсидия_факт!PU13</f>
        <v>0</v>
      </c>
      <c r="FO18" s="878">
        <f t="shared" si="48"/>
        <v>0</v>
      </c>
      <c r="FP18" s="859"/>
      <c r="FQ18" s="860"/>
      <c r="FR18" s="1013">
        <f t="shared" si="49"/>
        <v>0</v>
      </c>
      <c r="FS18" s="862">
        <f>[1]Субсидия_факт!EP13</f>
        <v>0</v>
      </c>
      <c r="FT18" s="863">
        <f>[1]Субсидия_факт!ER13</f>
        <v>0</v>
      </c>
      <c r="FU18" s="1371">
        <f t="shared" si="50"/>
        <v>0</v>
      </c>
      <c r="FV18" s="862"/>
      <c r="FW18" s="863"/>
      <c r="FX18" s="897">
        <f t="shared" si="51"/>
        <v>0</v>
      </c>
      <c r="FY18" s="862">
        <f>[1]Субсидия_факт!JN13</f>
        <v>0</v>
      </c>
      <c r="FZ18" s="863">
        <f>[1]Субсидия_факт!JP13</f>
        <v>0</v>
      </c>
      <c r="GA18" s="897">
        <f t="shared" si="52"/>
        <v>0</v>
      </c>
      <c r="GB18" s="862"/>
      <c r="GC18" s="863"/>
      <c r="GD18" s="1372">
        <f t="shared" si="53"/>
        <v>0</v>
      </c>
      <c r="GE18" s="859">
        <f>[1]Субсидия_факт!JR13</f>
        <v>0</v>
      </c>
      <c r="GF18" s="860">
        <f>[1]Субсидия_факт!JV13</f>
        <v>0</v>
      </c>
      <c r="GG18" s="1372">
        <f t="shared" si="54"/>
        <v>0</v>
      </c>
      <c r="GH18" s="862"/>
      <c r="GI18" s="889"/>
      <c r="GJ18" s="1373">
        <f t="shared" si="213"/>
        <v>0</v>
      </c>
      <c r="GK18" s="879">
        <f t="shared" si="214"/>
        <v>0</v>
      </c>
      <c r="GL18" s="1390">
        <f t="shared" si="215"/>
        <v>0</v>
      </c>
      <c r="GM18" s="879">
        <f t="shared" si="216"/>
        <v>0</v>
      </c>
      <c r="GN18" s="1371">
        <f t="shared" si="55"/>
        <v>0</v>
      </c>
      <c r="GO18" s="862">
        <f>[1]Субсидия_факт!KL13</f>
        <v>0</v>
      </c>
      <c r="GP18" s="863">
        <f>[1]Субсидия_факт!KN13</f>
        <v>0</v>
      </c>
      <c r="GQ18" s="862">
        <f>[1]Субсидия_факт!KP13</f>
        <v>0</v>
      </c>
      <c r="GR18" s="897">
        <f t="shared" si="56"/>
        <v>0</v>
      </c>
      <c r="GS18" s="862"/>
      <c r="GT18" s="863"/>
      <c r="GU18" s="866"/>
      <c r="GV18" s="1372">
        <f t="shared" si="217"/>
        <v>0</v>
      </c>
      <c r="GW18" s="862">
        <f>[1]Субсидия_факт!KR13</f>
        <v>0</v>
      </c>
      <c r="GX18" s="1372">
        <f t="shared" si="217"/>
        <v>0</v>
      </c>
      <c r="GY18" s="866"/>
      <c r="GZ18" s="1373">
        <f t="shared" si="218"/>
        <v>0</v>
      </c>
      <c r="HA18" s="1373">
        <f t="shared" si="219"/>
        <v>0</v>
      </c>
      <c r="HB18" s="1373">
        <f t="shared" si="220"/>
        <v>0</v>
      </c>
      <c r="HC18" s="1373">
        <f t="shared" si="221"/>
        <v>0</v>
      </c>
      <c r="HD18" s="897">
        <f t="shared" si="57"/>
        <v>0</v>
      </c>
      <c r="HE18" s="862">
        <f>[1]Субсидия_факт!KV13</f>
        <v>0</v>
      </c>
      <c r="HF18" s="863">
        <f>[1]Субсидия_факт!KX13</f>
        <v>0</v>
      </c>
      <c r="HG18" s="1050">
        <f t="shared" si="58"/>
        <v>0</v>
      </c>
      <c r="HH18" s="862"/>
      <c r="HI18" s="863"/>
      <c r="HJ18" s="897">
        <f t="shared" si="59"/>
        <v>0</v>
      </c>
      <c r="HK18" s="862"/>
      <c r="HL18" s="863"/>
      <c r="HM18" s="1050">
        <f t="shared" si="60"/>
        <v>0</v>
      </c>
      <c r="HN18" s="862"/>
      <c r="HO18" s="863"/>
      <c r="HP18" s="897">
        <f t="shared" si="61"/>
        <v>0</v>
      </c>
      <c r="HQ18" s="862">
        <f>[1]Субсидия_факт!FV13</f>
        <v>0</v>
      </c>
      <c r="HR18" s="863">
        <f>[1]Субсидия_факт!FZ13</f>
        <v>0</v>
      </c>
      <c r="HS18" s="1050">
        <f t="shared" si="62"/>
        <v>0</v>
      </c>
      <c r="HT18" s="862"/>
      <c r="HU18" s="863"/>
      <c r="HV18" s="1369">
        <f t="shared" si="63"/>
        <v>0</v>
      </c>
      <c r="HW18" s="859">
        <f t="shared" si="64"/>
        <v>0</v>
      </c>
      <c r="HX18" s="858">
        <f t="shared" si="64"/>
        <v>0</v>
      </c>
      <c r="HY18" s="878">
        <f t="shared" si="65"/>
        <v>0</v>
      </c>
      <c r="HZ18" s="859">
        <f t="shared" si="66"/>
        <v>0</v>
      </c>
      <c r="IA18" s="858">
        <f t="shared" si="66"/>
        <v>0</v>
      </c>
      <c r="IB18" s="1369">
        <f t="shared" si="67"/>
        <v>0</v>
      </c>
      <c r="IC18" s="859">
        <f>[1]Субсидия_факт!FX13</f>
        <v>0</v>
      </c>
      <c r="ID18" s="858">
        <f>[1]Субсидия_факт!GB13</f>
        <v>0</v>
      </c>
      <c r="IE18" s="878">
        <f t="shared" si="68"/>
        <v>0</v>
      </c>
      <c r="IF18" s="859">
        <f t="shared" si="187"/>
        <v>0</v>
      </c>
      <c r="IG18" s="860">
        <f t="shared" si="188"/>
        <v>0</v>
      </c>
      <c r="IH18" s="897">
        <f t="shared" si="69"/>
        <v>0</v>
      </c>
      <c r="II18" s="859">
        <f>[1]Субсидия_факт!ED13</f>
        <v>0</v>
      </c>
      <c r="IJ18" s="860">
        <f>[1]Субсидия_факт!EF13</f>
        <v>0</v>
      </c>
      <c r="IK18" s="1050">
        <f t="shared" si="70"/>
        <v>0</v>
      </c>
      <c r="IL18" s="862"/>
      <c r="IM18" s="863"/>
      <c r="IN18" s="1372">
        <f t="shared" si="71"/>
        <v>0</v>
      </c>
      <c r="IO18" s="859">
        <f>[1]Субсидия_факт!EH13</f>
        <v>0</v>
      </c>
      <c r="IP18" s="860">
        <f>[1]Субсидия_факт!EL13</f>
        <v>0</v>
      </c>
      <c r="IQ18" s="1392">
        <f t="shared" si="72"/>
        <v>0</v>
      </c>
      <c r="IR18" s="862"/>
      <c r="IS18" s="889"/>
      <c r="IT18" s="1373">
        <f t="shared" si="222"/>
        <v>0</v>
      </c>
      <c r="IU18" s="1373">
        <f t="shared" si="223"/>
        <v>0</v>
      </c>
      <c r="IV18" s="1373">
        <f t="shared" si="224"/>
        <v>0</v>
      </c>
      <c r="IW18" s="879">
        <f t="shared" si="225"/>
        <v>0</v>
      </c>
      <c r="IX18" s="1371">
        <f t="shared" si="73"/>
        <v>0</v>
      </c>
      <c r="IY18" s="859">
        <f>[1]Субсидия_факт!BX13</f>
        <v>0</v>
      </c>
      <c r="IZ18" s="860">
        <f>[1]Субсидия_факт!BZ13</f>
        <v>0</v>
      </c>
      <c r="JA18" s="1050">
        <f t="shared" si="74"/>
        <v>0</v>
      </c>
      <c r="JB18" s="862"/>
      <c r="JC18" s="863"/>
      <c r="JD18" s="897">
        <f t="shared" si="75"/>
        <v>0</v>
      </c>
      <c r="JE18" s="862">
        <f>[1]Субсидия_факт!ET13</f>
        <v>0</v>
      </c>
      <c r="JF18" s="863">
        <f>[1]Субсидия_факт!EV13</f>
        <v>0</v>
      </c>
      <c r="JG18" s="1050">
        <f t="shared" si="76"/>
        <v>0</v>
      </c>
      <c r="JH18" s="862"/>
      <c r="JI18" s="863"/>
      <c r="JJ18" s="1003">
        <f t="shared" si="77"/>
        <v>0</v>
      </c>
      <c r="JK18" s="859">
        <f>[1]Субсидия_факт!EX13</f>
        <v>0</v>
      </c>
      <c r="JL18" s="858">
        <f>[1]Субсидия_факт!FD13</f>
        <v>0</v>
      </c>
      <c r="JM18" s="1003">
        <f t="shared" si="78"/>
        <v>0</v>
      </c>
      <c r="JN18" s="859"/>
      <c r="JO18" s="860"/>
      <c r="JP18" s="1003">
        <f t="shared" si="79"/>
        <v>0</v>
      </c>
      <c r="JQ18" s="859">
        <f>[1]Субсидия_факт!EZ13</f>
        <v>0</v>
      </c>
      <c r="JR18" s="860">
        <f>[1]Субсидия_факт!FF13</f>
        <v>0</v>
      </c>
      <c r="JS18" s="1003">
        <f t="shared" si="80"/>
        <v>0</v>
      </c>
      <c r="JT18" s="850"/>
      <c r="JU18" s="864"/>
      <c r="JV18" s="1003">
        <f t="shared" si="81"/>
        <v>-252094.77</v>
      </c>
      <c r="JW18" s="851">
        <f>'Проверочная  таблица'!JQ18-'Проверочная  таблица'!KC18</f>
        <v>-65544.639999999985</v>
      </c>
      <c r="JX18" s="860">
        <f>'Проверочная  таблица'!JR18-'Проверочная  таблица'!KD18</f>
        <v>-186550.13</v>
      </c>
      <c r="JY18" s="1368">
        <f t="shared" si="82"/>
        <v>0</v>
      </c>
      <c r="JZ18" s="850">
        <f>'Проверочная  таблица'!JT18-'Проверочная  таблица'!KF18</f>
        <v>0</v>
      </c>
      <c r="KA18" s="867">
        <f>'Проверочная  таблица'!JU18-'Проверочная  таблица'!KG18</f>
        <v>0</v>
      </c>
      <c r="KB18" s="1003">
        <f t="shared" si="83"/>
        <v>252094.77</v>
      </c>
      <c r="KC18" s="859">
        <f>[1]Субсидия_факт!FB13</f>
        <v>65544.639999999985</v>
      </c>
      <c r="KD18" s="858">
        <f>[1]Субсидия_факт!FH13</f>
        <v>186550.13</v>
      </c>
      <c r="KE18" s="878">
        <f t="shared" si="84"/>
        <v>0</v>
      </c>
      <c r="KF18" s="859"/>
      <c r="KG18" s="860"/>
      <c r="KH18" s="1352">
        <f t="shared" si="226"/>
        <v>3897151.81</v>
      </c>
      <c r="KI18" s="850">
        <f>[1]Субсидия_факт!OD13</f>
        <v>3497891.64</v>
      </c>
      <c r="KJ18" s="860">
        <f>[1]Субсидия_факт!OJ13</f>
        <v>353490.17</v>
      </c>
      <c r="KK18" s="850">
        <f>[1]Субсидия_факт!OR13</f>
        <v>16639.580000000002</v>
      </c>
      <c r="KL18" s="860">
        <f>[1]Субсидия_факт!OT13</f>
        <v>29130.42</v>
      </c>
      <c r="KM18" s="1352">
        <f t="shared" si="85"/>
        <v>0</v>
      </c>
      <c r="KN18" s="850"/>
      <c r="KO18" s="860"/>
      <c r="KP18" s="850"/>
      <c r="KQ18" s="860"/>
      <c r="KR18" s="1352">
        <f t="shared" si="227"/>
        <v>16680</v>
      </c>
      <c r="KS18" s="885">
        <f>[1]Субсидия_факт!OF13</f>
        <v>16680</v>
      </c>
      <c r="KT18" s="863">
        <f>[1]Субсидия_факт!OL13</f>
        <v>0</v>
      </c>
      <c r="KU18" s="885"/>
      <c r="KV18" s="863"/>
      <c r="KW18" s="1352">
        <f t="shared" si="86"/>
        <v>0</v>
      </c>
      <c r="KX18" s="850"/>
      <c r="KY18" s="860"/>
      <c r="KZ18" s="850"/>
      <c r="LA18" s="860"/>
      <c r="LB18" s="1354">
        <f t="shared" si="87"/>
        <v>-12410</v>
      </c>
      <c r="LC18" s="885">
        <f t="shared" si="88"/>
        <v>-12410</v>
      </c>
      <c r="LD18" s="863">
        <f t="shared" si="88"/>
        <v>0</v>
      </c>
      <c r="LE18" s="1354">
        <f t="shared" si="89"/>
        <v>0</v>
      </c>
      <c r="LF18" s="885">
        <f t="shared" si="90"/>
        <v>0</v>
      </c>
      <c r="LG18" s="863">
        <f t="shared" si="90"/>
        <v>0</v>
      </c>
      <c r="LH18" s="1354">
        <f t="shared" si="91"/>
        <v>29090</v>
      </c>
      <c r="LI18" s="859">
        <f>[1]Субсидия_факт!OH13</f>
        <v>29090</v>
      </c>
      <c r="LJ18" s="858">
        <f>[1]Субсидия_факт!ON13</f>
        <v>0</v>
      </c>
      <c r="LK18" s="1354">
        <f t="shared" si="92"/>
        <v>0</v>
      </c>
      <c r="LL18" s="851"/>
      <c r="LM18" s="860"/>
      <c r="LN18" s="1050">
        <f t="shared" si="228"/>
        <v>0</v>
      </c>
      <c r="LO18" s="865">
        <f>[1]Субсидия_факт!DP13</f>
        <v>0</v>
      </c>
      <c r="LP18" s="850">
        <f>[1]Субсидия_факт!CB13</f>
        <v>0</v>
      </c>
      <c r="LQ18" s="860">
        <f>[1]Субсидия_факт!CH13</f>
        <v>0</v>
      </c>
      <c r="LR18" s="1050">
        <f t="shared" si="93"/>
        <v>0</v>
      </c>
      <c r="LS18" s="865"/>
      <c r="LT18" s="850"/>
      <c r="LU18" s="860"/>
      <c r="LV18" s="1050">
        <f t="shared" si="229"/>
        <v>0</v>
      </c>
      <c r="LW18" s="865">
        <f>[1]Субсидия_факт!DR13</f>
        <v>0</v>
      </c>
      <c r="LX18" s="850">
        <f>[1]Субсидия_факт!CD13</f>
        <v>0</v>
      </c>
      <c r="LY18" s="860">
        <f>[1]Субсидия_факт!CJ13</f>
        <v>0</v>
      </c>
      <c r="LZ18" s="1050">
        <f t="shared" si="94"/>
        <v>0</v>
      </c>
      <c r="MA18" s="865"/>
      <c r="MB18" s="850"/>
      <c r="MC18" s="858"/>
      <c r="MD18" s="879">
        <f t="shared" si="95"/>
        <v>0</v>
      </c>
      <c r="ME18" s="862">
        <f>'Проверочная  таблица'!LW18-MM18</f>
        <v>0</v>
      </c>
      <c r="MF18" s="862">
        <f>'Проверочная  таблица'!LX18-MN18</f>
        <v>0</v>
      </c>
      <c r="MG18" s="863">
        <f>'Проверочная  таблица'!LY18-MO18</f>
        <v>0</v>
      </c>
      <c r="MH18" s="879">
        <f t="shared" si="96"/>
        <v>0</v>
      </c>
      <c r="MI18" s="862">
        <f>'Проверочная  таблица'!MA18-MQ18</f>
        <v>0</v>
      </c>
      <c r="MJ18" s="862">
        <f>'Проверочная  таблица'!MB18-MR18</f>
        <v>0</v>
      </c>
      <c r="MK18" s="863">
        <f>'Проверочная  таблица'!MC18-MS18</f>
        <v>0</v>
      </c>
      <c r="ML18" s="879">
        <f t="shared" si="97"/>
        <v>0</v>
      </c>
      <c r="MM18" s="850">
        <f>[1]Субсидия_факт!DT13</f>
        <v>0</v>
      </c>
      <c r="MN18" s="850">
        <f>[1]Субсидия_факт!CF13</f>
        <v>0</v>
      </c>
      <c r="MO18" s="860">
        <f>[1]Субсидия_факт!CL13</f>
        <v>0</v>
      </c>
      <c r="MP18" s="879">
        <f t="shared" si="98"/>
        <v>0</v>
      </c>
      <c r="MQ18" s="850"/>
      <c r="MR18" s="850"/>
      <c r="MS18" s="860"/>
      <c r="MT18" s="1360">
        <f t="shared" si="230"/>
        <v>6681283.96</v>
      </c>
      <c r="MU18" s="850">
        <f>[1]Субсидия_факт!CN13</f>
        <v>0</v>
      </c>
      <c r="MV18" s="858">
        <f>[1]Субсидия_факт!CP13</f>
        <v>0</v>
      </c>
      <c r="MW18" s="862">
        <f>[1]Субсидия_факт!CR13</f>
        <v>1671589.1900000004</v>
      </c>
      <c r="MX18" s="863">
        <f>[1]Субсидия_факт!CT13</f>
        <v>4757600</v>
      </c>
      <c r="MY18" s="851">
        <f>[1]Субсидия_факт!DV13</f>
        <v>0</v>
      </c>
      <c r="MZ18" s="859">
        <f>[1]Субсидия_факт!FJ13</f>
        <v>65544.639999999985</v>
      </c>
      <c r="NA18" s="858">
        <f>[1]Субсидия_факт!FP13</f>
        <v>186550.13</v>
      </c>
      <c r="NB18" s="1003">
        <f t="shared" si="99"/>
        <v>907226.67999999993</v>
      </c>
      <c r="NC18" s="850"/>
      <c r="ND18" s="860"/>
      <c r="NE18" s="866">
        <v>170334.3</v>
      </c>
      <c r="NF18" s="890">
        <v>484797.61</v>
      </c>
      <c r="NG18" s="850"/>
      <c r="NH18" s="850">
        <f t="shared" si="246"/>
        <v>65544.639999999985</v>
      </c>
      <c r="NI18" s="860">
        <f t="shared" ref="NI18" si="249">NA18</f>
        <v>186550.13</v>
      </c>
      <c r="NJ18" s="1003">
        <f t="shared" si="231"/>
        <v>0</v>
      </c>
      <c r="NK18" s="859">
        <f>[1]Субсидия_факт!FL13</f>
        <v>0</v>
      </c>
      <c r="NL18" s="858">
        <f>[1]Субсидия_факт!FR13</f>
        <v>0</v>
      </c>
      <c r="NM18" s="1003">
        <f t="shared" si="101"/>
        <v>0</v>
      </c>
      <c r="NN18" s="851"/>
      <c r="NO18" s="860"/>
      <c r="NP18" s="878">
        <f t="shared" si="102"/>
        <v>0</v>
      </c>
      <c r="NQ18" s="859">
        <f>'Проверочная  таблица'!NK18-NW18</f>
        <v>0</v>
      </c>
      <c r="NR18" s="860">
        <f>'Проверочная  таблица'!NL18-NX18</f>
        <v>0</v>
      </c>
      <c r="NS18" s="878">
        <f t="shared" si="103"/>
        <v>0</v>
      </c>
      <c r="NT18" s="850">
        <f>'Проверочная  таблица'!NN18-NZ18</f>
        <v>0</v>
      </c>
      <c r="NU18" s="867">
        <f>'Проверочная  таблица'!NO18-OA18</f>
        <v>0</v>
      </c>
      <c r="NV18" s="878">
        <f t="shared" si="232"/>
        <v>0</v>
      </c>
      <c r="NW18" s="859">
        <f>[1]Субсидия_факт!FN13</f>
        <v>0</v>
      </c>
      <c r="NX18" s="858">
        <f>[1]Субсидия_факт!FT13</f>
        <v>0</v>
      </c>
      <c r="NY18" s="878">
        <f t="shared" si="104"/>
        <v>0</v>
      </c>
      <c r="NZ18" s="850"/>
      <c r="OA18" s="860"/>
      <c r="OB18" s="1012">
        <f t="shared" si="233"/>
        <v>0</v>
      </c>
      <c r="OC18" s="859">
        <f>[1]Субсидия_факт!AR13</f>
        <v>0</v>
      </c>
      <c r="OD18" s="858">
        <f>[1]Субсидия_факт!AT13</f>
        <v>0</v>
      </c>
      <c r="OE18" s="859">
        <f>[1]Субсидия_факт!AV13</f>
        <v>0</v>
      </c>
      <c r="OF18" s="1050">
        <f t="shared" si="105"/>
        <v>0</v>
      </c>
      <c r="OG18" s="866"/>
      <c r="OH18" s="863"/>
      <c r="OI18" s="866"/>
      <c r="OJ18" s="1376">
        <f t="shared" si="106"/>
        <v>17630865.18</v>
      </c>
      <c r="OK18" s="859">
        <f>[1]Субсидия_факт!GD13</f>
        <v>0</v>
      </c>
      <c r="OL18" s="858">
        <f>[1]Субсидия_факт!GJ13</f>
        <v>17630865.18</v>
      </c>
      <c r="OM18" s="866">
        <f>[1]Субсидия_факт!GP13</f>
        <v>0</v>
      </c>
      <c r="ON18" s="1376">
        <f t="shared" si="107"/>
        <v>0</v>
      </c>
      <c r="OO18" s="851"/>
      <c r="OP18" s="860"/>
      <c r="OQ18" s="850"/>
      <c r="OR18" s="1352">
        <f t="shared" si="234"/>
        <v>17630865.18</v>
      </c>
      <c r="OS18" s="859">
        <f>[1]Субсидия_факт!GF13</f>
        <v>0</v>
      </c>
      <c r="OT18" s="858">
        <f>[1]Субсидия_факт!GL13</f>
        <v>0</v>
      </c>
      <c r="OU18" s="850">
        <f>[1]Субсидия_факт!GR13</f>
        <v>17630865.18</v>
      </c>
      <c r="OV18" s="1352">
        <f t="shared" si="108"/>
        <v>9463662.5099999998</v>
      </c>
      <c r="OW18" s="850"/>
      <c r="OX18" s="867"/>
      <c r="OY18" s="850">
        <v>9463662.5099999998</v>
      </c>
      <c r="OZ18" s="1354">
        <f t="shared" si="109"/>
        <v>17630865.18</v>
      </c>
      <c r="PA18" s="885">
        <f>'Проверочная  таблица'!OS18-PI18</f>
        <v>0</v>
      </c>
      <c r="PB18" s="863">
        <f>'Проверочная  таблица'!OT18-PJ18</f>
        <v>0</v>
      </c>
      <c r="PC18" s="866">
        <f>'Проверочная  таблица'!OU18-PK18</f>
        <v>17630865.18</v>
      </c>
      <c r="PD18" s="1354">
        <f t="shared" si="235"/>
        <v>9463662.5099999998</v>
      </c>
      <c r="PE18" s="851">
        <f>'Проверочная  таблица'!OW18-PM18</f>
        <v>0</v>
      </c>
      <c r="PF18" s="860">
        <f>'Проверочная  таблица'!OX18-PN18</f>
        <v>0</v>
      </c>
      <c r="PG18" s="850">
        <f>'Проверочная  таблица'!OY18-PO18</f>
        <v>9463662.5099999998</v>
      </c>
      <c r="PH18" s="1354">
        <f t="shared" si="110"/>
        <v>0</v>
      </c>
      <c r="PI18" s="859">
        <f>[1]Субсидия_факт!GH13</f>
        <v>0</v>
      </c>
      <c r="PJ18" s="858">
        <f>[1]Субсидия_факт!GN13</f>
        <v>0</v>
      </c>
      <c r="PK18" s="859">
        <f>[1]Субсидия_факт!GT13</f>
        <v>0</v>
      </c>
      <c r="PL18" s="1354">
        <f t="shared" si="111"/>
        <v>0</v>
      </c>
      <c r="PM18" s="851">
        <f t="shared" si="191"/>
        <v>0</v>
      </c>
      <c r="PN18" s="860">
        <f t="shared" si="192"/>
        <v>0</v>
      </c>
      <c r="PO18" s="859"/>
      <c r="PP18" s="1003">
        <f t="shared" si="193"/>
        <v>0</v>
      </c>
      <c r="PQ18" s="923">
        <f>[1]Субсидия_факт!JB13</f>
        <v>0</v>
      </c>
      <c r="PR18" s="924">
        <f>[1]Субсидия_факт!JH13</f>
        <v>0</v>
      </c>
      <c r="PS18" s="923"/>
      <c r="PT18" s="924"/>
      <c r="PU18" s="1003">
        <f t="shared" si="194"/>
        <v>0</v>
      </c>
      <c r="PV18" s="1240"/>
      <c r="PW18" s="1241"/>
      <c r="PX18" s="1240"/>
      <c r="PY18" s="1241"/>
      <c r="PZ18" s="1403">
        <f t="shared" si="112"/>
        <v>0</v>
      </c>
      <c r="QA18" s="923">
        <f>[1]Субсидия_факт!JD13</f>
        <v>0</v>
      </c>
      <c r="QB18" s="924">
        <f>[1]Субсидия_факт!JJ13</f>
        <v>0</v>
      </c>
      <c r="QC18" s="1404">
        <f t="shared" si="113"/>
        <v>0</v>
      </c>
      <c r="QD18" s="1240"/>
      <c r="QE18" s="1241"/>
      <c r="QF18" s="1016">
        <f t="shared" si="236"/>
        <v>0</v>
      </c>
      <c r="QG18" s="1240">
        <f t="shared" si="114"/>
        <v>0</v>
      </c>
      <c r="QH18" s="924">
        <f t="shared" si="114"/>
        <v>0</v>
      </c>
      <c r="QI18" s="1401">
        <f t="shared" si="115"/>
        <v>0</v>
      </c>
      <c r="QJ18" s="923">
        <f t="shared" si="116"/>
        <v>0</v>
      </c>
      <c r="QK18" s="924">
        <f t="shared" si="116"/>
        <v>0</v>
      </c>
      <c r="QL18" s="1401">
        <f t="shared" si="117"/>
        <v>0</v>
      </c>
      <c r="QM18" s="923">
        <f>[1]Субсидия_факт!JF13</f>
        <v>0</v>
      </c>
      <c r="QN18" s="924">
        <f>[1]Субсидия_факт!JL13</f>
        <v>0</v>
      </c>
      <c r="QO18" s="1016">
        <f t="shared" si="237"/>
        <v>0</v>
      </c>
      <c r="QP18" s="866"/>
      <c r="QQ18" s="890"/>
      <c r="QR18" s="897">
        <f t="shared" si="118"/>
        <v>0</v>
      </c>
      <c r="QS18" s="862">
        <f>[1]Субсидия_факт!CV13</f>
        <v>0</v>
      </c>
      <c r="QT18" s="863">
        <f>[1]Субсидия_факт!CX13</f>
        <v>0</v>
      </c>
      <c r="QU18" s="1050">
        <f t="shared" si="119"/>
        <v>0</v>
      </c>
      <c r="QV18" s="862"/>
      <c r="QW18" s="863"/>
      <c r="QX18" s="897">
        <f t="shared" si="120"/>
        <v>0</v>
      </c>
      <c r="QY18" s="862">
        <f>[1]Субсидия_факт!CZ13</f>
        <v>0</v>
      </c>
      <c r="QZ18" s="863">
        <f>[1]Субсидия_факт!DF13</f>
        <v>0</v>
      </c>
      <c r="RA18" s="1050">
        <f t="shared" si="121"/>
        <v>0</v>
      </c>
      <c r="RB18" s="862"/>
      <c r="RC18" s="863"/>
      <c r="RD18" s="897">
        <f t="shared" si="122"/>
        <v>0</v>
      </c>
      <c r="RE18" s="862">
        <f>[1]Субсидия_факт!DB13</f>
        <v>0</v>
      </c>
      <c r="RF18" s="863">
        <f>[1]Субсидия_факт!DH13</f>
        <v>0</v>
      </c>
      <c r="RG18" s="1050">
        <f t="shared" si="123"/>
        <v>0</v>
      </c>
      <c r="RH18" s="862"/>
      <c r="RI18" s="863"/>
      <c r="RJ18" s="1373">
        <f t="shared" si="124"/>
        <v>0</v>
      </c>
      <c r="RK18" s="862">
        <f t="shared" si="125"/>
        <v>0</v>
      </c>
      <c r="RL18" s="863">
        <f t="shared" si="125"/>
        <v>0</v>
      </c>
      <c r="RM18" s="879">
        <f t="shared" si="126"/>
        <v>0</v>
      </c>
      <c r="RN18" s="862">
        <f t="shared" si="127"/>
        <v>0</v>
      </c>
      <c r="RO18" s="863">
        <f t="shared" si="127"/>
        <v>0</v>
      </c>
      <c r="RP18" s="897">
        <f t="shared" si="128"/>
        <v>0</v>
      </c>
      <c r="RQ18" s="862">
        <f>[1]Субсидия_факт!DD13</f>
        <v>0</v>
      </c>
      <c r="RR18" s="863">
        <f>[1]Субсидия_факт!DJ13</f>
        <v>0</v>
      </c>
      <c r="RS18" s="879">
        <f t="shared" si="129"/>
        <v>0</v>
      </c>
      <c r="RT18" s="862"/>
      <c r="RU18" s="863"/>
      <c r="RV18" s="897">
        <f t="shared" si="130"/>
        <v>0</v>
      </c>
      <c r="RW18" s="862">
        <f>[1]Субсидия_факт!DL13</f>
        <v>0</v>
      </c>
      <c r="RX18" s="863">
        <f>[1]Субсидия_факт!DN13</f>
        <v>0</v>
      </c>
      <c r="RY18" s="1391">
        <f t="shared" si="131"/>
        <v>0</v>
      </c>
      <c r="RZ18" s="885"/>
      <c r="SA18" s="889"/>
      <c r="SB18" s="1050">
        <f t="shared" si="238"/>
        <v>0</v>
      </c>
      <c r="SC18" s="859">
        <f>[1]Субсидия_факт!BJ13</f>
        <v>0</v>
      </c>
      <c r="SD18" s="862">
        <f>[1]Субсидия_факт!BF13</f>
        <v>0</v>
      </c>
      <c r="SE18" s="889">
        <f>[1]Субсидия_факт!BH13</f>
        <v>0</v>
      </c>
      <c r="SF18" s="1050">
        <f t="shared" si="132"/>
        <v>0</v>
      </c>
      <c r="SG18" s="891"/>
      <c r="SH18" s="885"/>
      <c r="SI18" s="889"/>
      <c r="SJ18" s="897">
        <f t="shared" si="133"/>
        <v>0</v>
      </c>
      <c r="SK18" s="862">
        <f>[1]Субсидия_факт!AD13</f>
        <v>0</v>
      </c>
      <c r="SL18" s="863">
        <f>[1]Субсидия_факт!AF13</f>
        <v>0</v>
      </c>
      <c r="SM18" s="1050">
        <f t="shared" si="134"/>
        <v>0</v>
      </c>
      <c r="SN18" s="885"/>
      <c r="SO18" s="889"/>
      <c r="SP18" s="897">
        <f t="shared" si="239"/>
        <v>0</v>
      </c>
      <c r="SQ18" s="862">
        <f>[1]Субсидия_факт!ID13</f>
        <v>0</v>
      </c>
      <c r="SR18" s="863">
        <f>[1]Субсидия_факт!IJ13</f>
        <v>0</v>
      </c>
      <c r="SS18" s="885">
        <f>[1]Субсидия_факт!IP13</f>
        <v>0</v>
      </c>
      <c r="ST18" s="863">
        <f>[1]Субсидия_факт!IV13</f>
        <v>0</v>
      </c>
      <c r="SU18" s="1123">
        <f>[1]Субсидия_факт!JZ13</f>
        <v>0</v>
      </c>
      <c r="SV18" s="889">
        <f>[1]Субсидия_факт!KF13</f>
        <v>0</v>
      </c>
      <c r="SW18" s="1050">
        <f t="shared" si="135"/>
        <v>0</v>
      </c>
      <c r="SX18" s="1244"/>
      <c r="SY18" s="890"/>
      <c r="SZ18" s="1244"/>
      <c r="TA18" s="890"/>
      <c r="TB18" s="1123"/>
      <c r="TC18" s="889"/>
      <c r="TD18" s="939">
        <f t="shared" si="136"/>
        <v>11756025.050000001</v>
      </c>
      <c r="TE18" s="862">
        <f>[1]Субсидия_факт!IF13</f>
        <v>587801.25</v>
      </c>
      <c r="TF18" s="863">
        <f>[1]Субсидия_факт!IL13</f>
        <v>11168223.800000001</v>
      </c>
      <c r="TG18" s="885">
        <f>[1]Субсидия_факт!IR13</f>
        <v>0</v>
      </c>
      <c r="TH18" s="863">
        <f>[1]Субсидия_факт!IX13</f>
        <v>0</v>
      </c>
      <c r="TI18" s="885">
        <f>[1]Субсидия_факт!KB13</f>
        <v>0</v>
      </c>
      <c r="TJ18" s="863">
        <f>[1]Субсидия_факт!KH13</f>
        <v>0</v>
      </c>
      <c r="TK18" s="1050">
        <f t="shared" si="137"/>
        <v>8001390.5</v>
      </c>
      <c r="TL18" s="866">
        <v>400069.5</v>
      </c>
      <c r="TM18" s="890">
        <v>7601321</v>
      </c>
      <c r="TN18" s="1123"/>
      <c r="TO18" s="890"/>
      <c r="TP18" s="866"/>
      <c r="TQ18" s="890"/>
      <c r="TR18" s="879">
        <f t="shared" si="138"/>
        <v>11756025.050000001</v>
      </c>
      <c r="TS18" s="862">
        <f t="shared" si="139"/>
        <v>587801.25</v>
      </c>
      <c r="TT18" s="863">
        <f t="shared" si="139"/>
        <v>11168223.800000001</v>
      </c>
      <c r="TU18" s="862">
        <f t="shared" si="139"/>
        <v>0</v>
      </c>
      <c r="TV18" s="863">
        <f t="shared" si="139"/>
        <v>0</v>
      </c>
      <c r="TW18" s="885">
        <f t="shared" si="139"/>
        <v>0</v>
      </c>
      <c r="TX18" s="863">
        <f t="shared" si="139"/>
        <v>0</v>
      </c>
      <c r="TY18" s="879">
        <f t="shared" si="140"/>
        <v>8001390.5</v>
      </c>
      <c r="TZ18" s="862">
        <f t="shared" si="141"/>
        <v>400069.5</v>
      </c>
      <c r="UA18" s="863">
        <f t="shared" si="141"/>
        <v>7601321</v>
      </c>
      <c r="UB18" s="862">
        <f t="shared" si="141"/>
        <v>0</v>
      </c>
      <c r="UC18" s="863">
        <f t="shared" si="141"/>
        <v>0</v>
      </c>
      <c r="UD18" s="885">
        <f t="shared" si="141"/>
        <v>0</v>
      </c>
      <c r="UE18" s="863">
        <f t="shared" si="141"/>
        <v>0</v>
      </c>
      <c r="UF18" s="879">
        <f t="shared" si="142"/>
        <v>0</v>
      </c>
      <c r="UG18" s="862">
        <f>[1]Субсидия_факт!IH13</f>
        <v>0</v>
      </c>
      <c r="UH18" s="863">
        <f>[1]Субсидия_факт!IN13</f>
        <v>0</v>
      </c>
      <c r="UI18" s="885">
        <f>[1]Субсидия_факт!IT13</f>
        <v>0</v>
      </c>
      <c r="UJ18" s="863">
        <f>[1]Субсидия_факт!IZ13</f>
        <v>0</v>
      </c>
      <c r="UK18" s="885">
        <f>[1]Субсидия_факт!KD13</f>
        <v>0</v>
      </c>
      <c r="UL18" s="863">
        <f>[1]Субсидия_факт!KJ13</f>
        <v>0</v>
      </c>
      <c r="UM18" s="879">
        <f t="shared" si="143"/>
        <v>0</v>
      </c>
      <c r="UN18" s="1123"/>
      <c r="UO18" s="890"/>
      <c r="UP18" s="1123"/>
      <c r="UQ18" s="890"/>
      <c r="UR18" s="1123"/>
      <c r="US18" s="890"/>
      <c r="UT18" s="1050">
        <f>'Прочая  субсидия_МР  и  ГО'!B14</f>
        <v>158015480.98000002</v>
      </c>
      <c r="UU18" s="1050">
        <f>'Прочая  субсидия_МР  и  ГО'!C14</f>
        <v>46628879.939999998</v>
      </c>
      <c r="UV18" s="1371">
        <f>'Прочая  субсидия_БП'!B14</f>
        <v>2055586.06</v>
      </c>
      <c r="UW18" s="897">
        <f>'Прочая  субсидия_БП'!C14</f>
        <v>1908471.22</v>
      </c>
      <c r="UX18" s="1395">
        <f>'Прочая  субсидия_БП'!D14</f>
        <v>2055586.06</v>
      </c>
      <c r="UY18" s="1386">
        <f>'Прочая  субсидия_БП'!E14</f>
        <v>1908471.22</v>
      </c>
      <c r="UZ18" s="1387">
        <f>'Прочая  субсидия_БП'!F14</f>
        <v>0</v>
      </c>
      <c r="VA18" s="1395">
        <f>'Прочая  субсидия_БП'!G14</f>
        <v>0</v>
      </c>
      <c r="VB18" s="897">
        <f t="shared" si="144"/>
        <v>455504246.63</v>
      </c>
      <c r="VC18" s="866">
        <f>'Проверочная  таблица'!WE18+'Проверочная  таблица'!VH18+'Проверочная  таблица'!VJ18+VY18</f>
        <v>443248294.93000001</v>
      </c>
      <c r="VD18" s="891">
        <f>'Проверочная  таблица'!WF18+'Проверочная  таблица'!VN18+'Проверочная  таблица'!VT18+'Проверочная  таблица'!VP18+'Проверочная  таблица'!VR18+VV18+VZ18+VL18</f>
        <v>12255951.699999999</v>
      </c>
      <c r="VE18" s="1050">
        <f t="shared" si="145"/>
        <v>353257806.25</v>
      </c>
      <c r="VF18" s="866">
        <f>'Проверочная  таблица'!WH18+'Проверочная  таблица'!VI18+'Проверочная  таблица'!VK18+WB18</f>
        <v>344812092.62</v>
      </c>
      <c r="VG18" s="891">
        <f>'Проверочная  таблица'!WI18+'Проверочная  таблица'!VO18+'Проверочная  таблица'!VU18+'Проверочная  таблица'!VQ18+'Проверочная  таблица'!VS18+VW18+WC18+VM18</f>
        <v>8445713.629999999</v>
      </c>
      <c r="VH18" s="1391">
        <f>'Субвенция  на  полномочия'!B14</f>
        <v>428569658.98000002</v>
      </c>
      <c r="VI18" s="1371">
        <f>'Субвенция  на  полномочия'!C14</f>
        <v>333299033.41000003</v>
      </c>
      <c r="VJ18" s="886">
        <f>[1]Субвенция_факт!M12*1000</f>
        <v>10352728</v>
      </c>
      <c r="VK18" s="892">
        <v>8489000</v>
      </c>
      <c r="VL18" s="886">
        <f>[1]Субвенция_факт!AE12*1000</f>
        <v>0</v>
      </c>
      <c r="VM18" s="892"/>
      <c r="VN18" s="886">
        <f>[1]Субвенция_факт!AF12*1000</f>
        <v>2944300</v>
      </c>
      <c r="VO18" s="892">
        <f>ВУС!E40</f>
        <v>1802896.5099999998</v>
      </c>
      <c r="VP18" s="1396">
        <f>[1]Субвенция_факт!AG12*1000</f>
        <v>0</v>
      </c>
      <c r="VQ18" s="893"/>
      <c r="VR18" s="888">
        <f>[1]Субвенция_факт!E12*1000</f>
        <v>0</v>
      </c>
      <c r="VS18" s="893"/>
      <c r="VT18" s="888">
        <f>[1]Субвенция_факт!F12*1000</f>
        <v>0</v>
      </c>
      <c r="VU18" s="893"/>
      <c r="VV18" s="887">
        <f>[1]Субвенция_факт!G12*1000</f>
        <v>0</v>
      </c>
      <c r="VW18" s="892"/>
      <c r="VX18" s="897">
        <f t="shared" si="146"/>
        <v>11508988.789999999</v>
      </c>
      <c r="VY18" s="862">
        <f>[1]Субвенция_факт!P12*1000</f>
        <v>2992337.09</v>
      </c>
      <c r="VZ18" s="863">
        <f>[1]Субвенция_факт!Q12*1000</f>
        <v>8516651.6999999993</v>
      </c>
      <c r="WA18" s="1050">
        <f t="shared" si="147"/>
        <v>8111766.21</v>
      </c>
      <c r="WB18" s="866">
        <v>2109059.21</v>
      </c>
      <c r="WC18" s="894">
        <v>6002707</v>
      </c>
      <c r="WD18" s="1050">
        <f t="shared" si="148"/>
        <v>2128570.86</v>
      </c>
      <c r="WE18" s="895">
        <f>[1]Субвенция_факт!X12*1000</f>
        <v>1333570.8599999999</v>
      </c>
      <c r="WF18" s="896">
        <f>[1]Субвенция_факт!W12*1000</f>
        <v>795000</v>
      </c>
      <c r="WG18" s="1050">
        <f t="shared" si="149"/>
        <v>1555110.12</v>
      </c>
      <c r="WH18" s="866">
        <v>915000</v>
      </c>
      <c r="WI18" s="894">
        <v>640110.12</v>
      </c>
      <c r="WJ18" s="897">
        <f t="shared" si="201"/>
        <v>112673514.24000001</v>
      </c>
      <c r="WK18" s="1050">
        <f t="shared" si="202"/>
        <v>41436004.420000002</v>
      </c>
      <c r="WL18" s="1391">
        <f t="shared" si="240"/>
        <v>0</v>
      </c>
      <c r="WM18" s="895"/>
      <c r="WN18" s="896">
        <f>'[1]Иные межбюджетные трансферты'!I16</f>
        <v>0</v>
      </c>
      <c r="WO18" s="1391">
        <f t="shared" si="241"/>
        <v>0</v>
      </c>
      <c r="WP18" s="895"/>
      <c r="WQ18" s="896"/>
      <c r="WR18" s="1391">
        <f t="shared" si="152"/>
        <v>1968929.84</v>
      </c>
      <c r="WS18" s="895">
        <f>'[1]Иные межбюджетные трансферты'!AQ13</f>
        <v>0</v>
      </c>
      <c r="WT18" s="896">
        <f>'[1]Иные межбюджетные трансферты'!AS13</f>
        <v>1968929.84</v>
      </c>
      <c r="WU18" s="1391">
        <f t="shared" si="153"/>
        <v>0</v>
      </c>
      <c r="WV18" s="895"/>
      <c r="WW18" s="896"/>
      <c r="WX18" s="1050">
        <f t="shared" si="154"/>
        <v>1348095.69</v>
      </c>
      <c r="WY18" s="895">
        <f>'[1]Иные межбюджетные трансферты'!AM13</f>
        <v>67404.78</v>
      </c>
      <c r="WZ18" s="896">
        <f>'[1]Иные межбюджетные трансферты'!AO13</f>
        <v>1280690.9099999999</v>
      </c>
      <c r="XA18" s="1050">
        <f t="shared" si="155"/>
        <v>1153177.03</v>
      </c>
      <c r="XB18" s="895">
        <v>57658.87</v>
      </c>
      <c r="XC18" s="896">
        <v>1095518.1599999999</v>
      </c>
      <c r="XD18" s="1050">
        <f t="shared" si="156"/>
        <v>30394782</v>
      </c>
      <c r="XE18" s="895">
        <f>'[1]Иные межбюджетные трансферты'!K13</f>
        <v>14051631</v>
      </c>
      <c r="XF18" s="896">
        <f>'[1]Иные межбюджетные трансферты'!M13</f>
        <v>16343151</v>
      </c>
      <c r="XG18" s="1050">
        <f t="shared" si="242"/>
        <v>16343151</v>
      </c>
      <c r="XH18" s="882"/>
      <c r="XI18" s="896">
        <v>16343151</v>
      </c>
      <c r="XJ18" s="1050">
        <f t="shared" si="158"/>
        <v>0</v>
      </c>
      <c r="XK18" s="885"/>
      <c r="XL18" s="1050">
        <f t="shared" si="159"/>
        <v>0</v>
      </c>
      <c r="XM18" s="885"/>
      <c r="XN18" s="897">
        <f t="shared" si="160"/>
        <v>0</v>
      </c>
      <c r="XO18" s="862">
        <f>'[1]Иные межбюджетные трансферты'!O13</f>
        <v>0</v>
      </c>
      <c r="XP18" s="1050">
        <f t="shared" si="161"/>
        <v>0</v>
      </c>
      <c r="XQ18" s="866"/>
      <c r="XR18" s="1390">
        <f t="shared" si="162"/>
        <v>0</v>
      </c>
      <c r="XS18" s="879">
        <f t="shared" si="163"/>
        <v>0</v>
      </c>
      <c r="XT18" s="1390">
        <f t="shared" si="164"/>
        <v>0</v>
      </c>
      <c r="XU18" s="879">
        <f t="shared" si="165"/>
        <v>0</v>
      </c>
      <c r="XV18" s="1050">
        <f t="shared" si="243"/>
        <v>40241140.450000003</v>
      </c>
      <c r="XW18" s="883">
        <f>'[1]Иные межбюджетные трансферты'!E13</f>
        <v>0</v>
      </c>
      <c r="XX18" s="895">
        <f>'[1]Иные межбюджетные трансферты'!G13</f>
        <v>0</v>
      </c>
      <c r="XY18" s="882">
        <f>'[1]Иные межбюджетные трансферты'!S13</f>
        <v>0</v>
      </c>
      <c r="XZ18" s="883">
        <f>'[1]Иные межбюджетные трансферты'!Y13</f>
        <v>0</v>
      </c>
      <c r="YA18" s="882">
        <f>'[1]Иные межбюджетные трансферты'!AA13</f>
        <v>0</v>
      </c>
      <c r="YB18" s="1275">
        <f>'[1]Иные межбюджетные трансферты'!AG13</f>
        <v>28448132</v>
      </c>
      <c r="YC18" s="882">
        <f>'[1]Иные межбюджетные трансферты'!AU13</f>
        <v>0</v>
      </c>
      <c r="YD18" s="862">
        <f>'[1]Иные межбюджетные трансферты'!BA13</f>
        <v>2484809.14</v>
      </c>
      <c r="YE18" s="882">
        <f>'[1]Иные межбюджетные трансферты'!BC13</f>
        <v>4164390.2099999995</v>
      </c>
      <c r="YF18" s="1275">
        <f>'[1]Иные межбюджетные трансферты'!BE13</f>
        <v>5143809.0999999996</v>
      </c>
      <c r="YG18" s="1050">
        <f t="shared" si="244"/>
        <v>12456742.379999999</v>
      </c>
      <c r="YH18" s="848"/>
      <c r="YI18" s="848"/>
      <c r="YJ18" s="851"/>
      <c r="YK18" s="848"/>
      <c r="YL18" s="848">
        <f t="shared" si="245"/>
        <v>0</v>
      </c>
      <c r="YM18" s="848">
        <v>7312933.2800000003</v>
      </c>
      <c r="YN18" s="848"/>
      <c r="YO18" s="848"/>
      <c r="YP18" s="848"/>
      <c r="YQ18" s="848">
        <v>5143809.0999999996</v>
      </c>
      <c r="YR18" s="1050">
        <f t="shared" si="166"/>
        <v>38720566.259999998</v>
      </c>
      <c r="YS18" s="895">
        <f>'[1]Иные межбюджетные трансферты'!U13</f>
        <v>3524029.9999999995</v>
      </c>
      <c r="YT18" s="882">
        <f>'[1]Иные межбюджетные трансферты'!AC13</f>
        <v>0</v>
      </c>
      <c r="YU18" s="1275">
        <f>'[1]Иные межбюджетные трансферты'!AI13</f>
        <v>19338208</v>
      </c>
      <c r="YV18" s="883">
        <f>'[1]Иные межбюджетные трансферты'!AW13</f>
        <v>11693938.050000001</v>
      </c>
      <c r="YW18" s="848">
        <f>'[1]Иные межбюджетные трансферты'!BG13</f>
        <v>4164390.2099999995</v>
      </c>
      <c r="YX18" s="1050">
        <f t="shared" si="167"/>
        <v>11482934.009999998</v>
      </c>
      <c r="YY18" s="865">
        <v>3524029.9999999995</v>
      </c>
      <c r="YZ18" s="865">
        <f t="shared" si="247"/>
        <v>0</v>
      </c>
      <c r="ZA18" s="865">
        <v>3794513.8</v>
      </c>
      <c r="ZB18" s="848"/>
      <c r="ZC18" s="848">
        <v>4164390.2099999995</v>
      </c>
      <c r="ZD18" s="879">
        <f t="shared" si="168"/>
        <v>38720566.259999998</v>
      </c>
      <c r="ZE18" s="859">
        <f>'Проверочная  таблица'!YS18-ZQ18</f>
        <v>3524029.9999999995</v>
      </c>
      <c r="ZF18" s="859">
        <f>'Проверочная  таблица'!YT18-ZR18</f>
        <v>0</v>
      </c>
      <c r="ZG18" s="859">
        <f>'Проверочная  таблица'!YU18-ZS18</f>
        <v>19338208</v>
      </c>
      <c r="ZH18" s="859">
        <f>'Проверочная  таблица'!YV18-ZT18</f>
        <v>11693938.050000001</v>
      </c>
      <c r="ZI18" s="859">
        <f>'Проверочная  таблица'!YW18-ZU18</f>
        <v>4164390.2099999995</v>
      </c>
      <c r="ZJ18" s="879">
        <f t="shared" si="169"/>
        <v>11482934.009999998</v>
      </c>
      <c r="ZK18" s="859">
        <f>'Проверочная  таблица'!YY18-ZW18</f>
        <v>3524029.9999999995</v>
      </c>
      <c r="ZL18" s="859">
        <f>'Проверочная  таблица'!YZ18-ZX18</f>
        <v>0</v>
      </c>
      <c r="ZM18" s="859">
        <f>'Проверочная  таблица'!ZA18-ZY18</f>
        <v>3794513.8</v>
      </c>
      <c r="ZN18" s="859">
        <f>'Проверочная  таблица'!ZB18-ZZ18</f>
        <v>0</v>
      </c>
      <c r="ZO18" s="859">
        <f>'Проверочная  таблица'!ZC18-AAA18</f>
        <v>4164390.2099999995</v>
      </c>
      <c r="ZP18" s="879">
        <f t="shared" si="170"/>
        <v>0</v>
      </c>
      <c r="ZQ18" s="895">
        <f>'[1]Иные межбюджетные трансферты'!W13</f>
        <v>0</v>
      </c>
      <c r="ZR18" s="895">
        <f>'[1]Иные межбюджетные трансферты'!AE13</f>
        <v>0</v>
      </c>
      <c r="ZS18" s="882"/>
      <c r="ZT18" s="883">
        <f>'[1]Иные межбюджетные трансферты'!AY13</f>
        <v>0</v>
      </c>
      <c r="ZU18" s="848"/>
      <c r="ZV18" s="879">
        <f t="shared" si="171"/>
        <v>0</v>
      </c>
      <c r="ZW18" s="865"/>
      <c r="ZX18" s="865">
        <f t="shared" si="248"/>
        <v>0</v>
      </c>
      <c r="ZY18" s="865"/>
      <c r="ZZ18" s="848"/>
      <c r="AAA18" s="848"/>
      <c r="AAB18" s="1050">
        <f>AAD18+'Проверочная  таблица'!AAL18+AAH18+'Проверочная  таблица'!AAP18+AAJ18+'Проверочная  таблица'!AAR18</f>
        <v>0</v>
      </c>
      <c r="AAC18" s="1050">
        <f>AAE18+'Проверочная  таблица'!AAM18+AAI18+'Проверочная  таблица'!AAQ18+AAK18+'Проверочная  таблица'!AAS18</f>
        <v>0</v>
      </c>
      <c r="AAD18" s="897"/>
      <c r="AAE18" s="897"/>
      <c r="AAF18" s="897"/>
      <c r="AAG18" s="897"/>
      <c r="AAH18" s="1373">
        <f t="shared" si="172"/>
        <v>0</v>
      </c>
      <c r="AAI18" s="879">
        <f t="shared" si="172"/>
        <v>0</v>
      </c>
      <c r="AAJ18" s="898"/>
      <c r="AAK18" s="879"/>
      <c r="AAL18" s="897"/>
      <c r="AAM18" s="897"/>
      <c r="AAN18" s="897"/>
      <c r="AAO18" s="897"/>
      <c r="AAP18" s="1373">
        <f t="shared" si="173"/>
        <v>0</v>
      </c>
      <c r="AAQ18" s="879">
        <f t="shared" si="173"/>
        <v>0</v>
      </c>
      <c r="AAR18" s="879"/>
      <c r="AAS18" s="879"/>
      <c r="AAT18" s="1384">
        <f>'Проверочная  таблица'!AAL18+'Проверочная  таблица'!AAN18</f>
        <v>0</v>
      </c>
      <c r="AAU18" s="1384">
        <f>'Проверочная  таблица'!AAM18+'Проверочная  таблица'!AAO18</f>
        <v>0</v>
      </c>
    </row>
    <row r="19" spans="1:723" ht="20.45" customHeight="1" x14ac:dyDescent="0.25">
      <c r="A19" s="880" t="s">
        <v>1288</v>
      </c>
      <c r="B19" s="897">
        <f>D19+AN19+'Проверочная  таблица'!VB19+'Проверочная  таблица'!WJ19</f>
        <v>736193092.0200001</v>
      </c>
      <c r="C19" s="1050">
        <f>E19+'Проверочная  таблица'!VE19+AO19+'Проверочная  таблица'!WK19</f>
        <v>429101709.16999996</v>
      </c>
      <c r="D19" s="1371">
        <f t="shared" si="0"/>
        <v>72034135.349999994</v>
      </c>
      <c r="E19" s="897">
        <f t="shared" si="1"/>
        <v>55508510</v>
      </c>
      <c r="F19" s="1376">
        <f>'[1]Дотация  из  ОБ_факт'!M13</f>
        <v>24203203</v>
      </c>
      <c r="G19" s="1385">
        <v>18152400</v>
      </c>
      <c r="H19" s="1376">
        <f>'[1]Дотация  из  ОБ_факт'!G13</f>
        <v>21484982.349999998</v>
      </c>
      <c r="I19" s="1385">
        <v>17287699</v>
      </c>
      <c r="J19" s="1386">
        <f t="shared" si="2"/>
        <v>21484982.349999998</v>
      </c>
      <c r="K19" s="1387">
        <f t="shared" si="2"/>
        <v>17287699</v>
      </c>
      <c r="L19" s="1386">
        <f>'[1]Дотация  из  ОБ_факт'!K13</f>
        <v>0</v>
      </c>
      <c r="M19" s="881"/>
      <c r="N19" s="1376">
        <f>'[1]Дотация  из  ОБ_факт'!Q13</f>
        <v>0</v>
      </c>
      <c r="O19" s="1385"/>
      <c r="P19" s="1399">
        <f>'[1]Дотация  из  ОБ_факт'!S13</f>
        <v>24800250</v>
      </c>
      <c r="Q19" s="1385">
        <v>18522711</v>
      </c>
      <c r="R19" s="1386">
        <f t="shared" si="3"/>
        <v>24800250</v>
      </c>
      <c r="S19" s="1387">
        <f t="shared" si="3"/>
        <v>18522711</v>
      </c>
      <c r="T19" s="1386">
        <f>'[1]Дотация  из  ОБ_факт'!W13</f>
        <v>0</v>
      </c>
      <c r="U19" s="881"/>
      <c r="V19" s="886">
        <f t="shared" si="4"/>
        <v>1000000</v>
      </c>
      <c r="W19" s="1388">
        <f>'[1]Дотация  из  ОБ_факт'!AA13</f>
        <v>300000</v>
      </c>
      <c r="X19" s="1389">
        <f>'[1]Дотация  из  ОБ_факт'!AC13</f>
        <v>700000</v>
      </c>
      <c r="Y19" s="1389">
        <f>'[1]Дотация  из  ОБ_факт'!AG13</f>
        <v>0</v>
      </c>
      <c r="Z19" s="887">
        <f t="shared" si="5"/>
        <v>1000000</v>
      </c>
      <c r="AA19" s="848">
        <f t="shared" si="177"/>
        <v>300000</v>
      </c>
      <c r="AB19" s="848">
        <f t="shared" si="177"/>
        <v>700000</v>
      </c>
      <c r="AC19" s="882"/>
      <c r="AD19" s="886">
        <f t="shared" si="6"/>
        <v>545700</v>
      </c>
      <c r="AE19" s="1388">
        <f>'[1]Дотация  из  ОБ_факт'!Y13</f>
        <v>545700</v>
      </c>
      <c r="AF19" s="1389">
        <f>'[1]Дотация  из  ОБ_факт'!AE13</f>
        <v>0</v>
      </c>
      <c r="AG19" s="886">
        <f t="shared" si="7"/>
        <v>545700</v>
      </c>
      <c r="AH19" s="1359">
        <f t="shared" si="178"/>
        <v>545700</v>
      </c>
      <c r="AI19" s="848">
        <f t="shared" si="179"/>
        <v>0</v>
      </c>
      <c r="AJ19" s="1386">
        <f t="shared" si="8"/>
        <v>545700</v>
      </c>
      <c r="AK19" s="1387">
        <f t="shared" si="9"/>
        <v>545700</v>
      </c>
      <c r="AL19" s="1386">
        <f>'[1]Дотация  из  ОБ_факт'!AE13</f>
        <v>0</v>
      </c>
      <c r="AM19" s="884"/>
      <c r="AN19" s="1012">
        <f>'Проверочная  таблица'!UT19+'Проверочная  таблица'!UV19+BL19+BN19+BZ19+CB19+AZ19+BD19+'Проверочная  таблица'!MT19+'Проверочная  таблица'!NJ19+'Проверочная  таблица'!DT19+'Проверочная  таблица'!OB19+DL19+'Проверочная  таблица'!JJ19+'Проверочная  таблица'!JP19+'Проверочная  таблица'!OJ19+'Проверочная  таблица'!OR19+JD19+AP19+AV19+ET19+EZ19+CN19+SP19+DZ19+TD19+PZ19+EF19+EN19+LN19+LV19+SJ19+GN19+RV19+QX19+KH19+KR19+RD19+SB19+CH19+QR19+HD19+FX19+HJ19+HP19+FR19+DB19+PP19+BT19+IH19+IX19+GV19+GD19+IN19</f>
        <v>256109789.49000004</v>
      </c>
      <c r="AO19" s="1013">
        <f>'Проверочная  таблица'!UU19+'Проверочная  таблица'!UW19+BM19+BO19+CA19+CC19+BB19+BF19+'Проверочная  таблица'!NB19+'Проверочная  таблица'!NM19+'Проверочная  таблица'!DW19+'Проверочная  таблица'!OF19+DP19+'Проверочная  таблица'!JM19+'Проверочная  таблица'!JS19+'Проверочная  таблица'!ON19+'Проверочная  таблица'!OV19+JG19+AS19+AX19+EW19+FC19+CU19+SW19+EC19+TK19+QC19+EJ19+EQ19+LR19+LZ19+SM19+GR19+RY19+RA19+KM19+KW19+RG19+SF19+CK19+QU19+HG19+GA19+HM19+HS19+FU19+DE19+PU19+BW19+IK19+JA19+GX19+GG19+IQ19</f>
        <v>101852372.83</v>
      </c>
      <c r="AP19" s="1050">
        <f t="shared" si="10"/>
        <v>50050215.740000002</v>
      </c>
      <c r="AQ19" s="885">
        <f>[1]Субсидия_факт!HV15</f>
        <v>46638015.740000002</v>
      </c>
      <c r="AR19" s="866">
        <f>[1]Субсидия_факт!MR15</f>
        <v>3412200</v>
      </c>
      <c r="AS19" s="1050">
        <f t="shared" si="11"/>
        <v>30139683.399999999</v>
      </c>
      <c r="AT19" s="866">
        <v>30139683.399999999</v>
      </c>
      <c r="AU19" s="885"/>
      <c r="AV19" s="1003">
        <f t="shared" si="12"/>
        <v>0</v>
      </c>
      <c r="AW19" s="866">
        <f>[1]Субсидия_факт!MV15</f>
        <v>0</v>
      </c>
      <c r="AX19" s="1360">
        <f t="shared" si="13"/>
        <v>0</v>
      </c>
      <c r="AY19" s="866"/>
      <c r="AZ19" s="897">
        <f t="shared" si="14"/>
        <v>77482340</v>
      </c>
      <c r="BA19" s="866">
        <f>[1]Субсидия_факт!KZ15</f>
        <v>77482340</v>
      </c>
      <c r="BB19" s="1050">
        <f t="shared" si="15"/>
        <v>10094561.300000001</v>
      </c>
      <c r="BC19" s="866">
        <v>10094561.300000001</v>
      </c>
      <c r="BD19" s="897">
        <f t="shared" si="16"/>
        <v>0</v>
      </c>
      <c r="BE19" s="866">
        <f>[1]Субсидия_факт!LB15</f>
        <v>0</v>
      </c>
      <c r="BF19" s="1050">
        <f t="shared" si="17"/>
        <v>0</v>
      </c>
      <c r="BG19" s="866"/>
      <c r="BH19" s="1373">
        <f t="shared" si="18"/>
        <v>0</v>
      </c>
      <c r="BI19" s="879">
        <f t="shared" si="19"/>
        <v>0</v>
      </c>
      <c r="BJ19" s="1390">
        <f t="shared" si="20"/>
        <v>0</v>
      </c>
      <c r="BK19" s="1373">
        <f t="shared" si="21"/>
        <v>0</v>
      </c>
      <c r="BL19" s="897">
        <f>[1]Субсидия_факт!GV15</f>
        <v>0</v>
      </c>
      <c r="BM19" s="886"/>
      <c r="BN19" s="1391">
        <f>[1]Субсидия_факт!GX15</f>
        <v>0</v>
      </c>
      <c r="BO19" s="887"/>
      <c r="BP19" s="1390">
        <f t="shared" si="22"/>
        <v>0</v>
      </c>
      <c r="BQ19" s="1373">
        <f t="shared" si="22"/>
        <v>0</v>
      </c>
      <c r="BR19" s="879">
        <f>[1]Субсидия_факт!GZ15</f>
        <v>0</v>
      </c>
      <c r="BS19" s="881"/>
      <c r="BT19" s="897">
        <f t="shared" si="23"/>
        <v>46638015.740000002</v>
      </c>
      <c r="BU19" s="862">
        <f>[1]Субсидия_факт!HL15</f>
        <v>46638015.740000002</v>
      </c>
      <c r="BV19" s="866">
        <f>[1]Субсидия_факт!HN15</f>
        <v>0</v>
      </c>
      <c r="BW19" s="1050">
        <f t="shared" si="24"/>
        <v>0</v>
      </c>
      <c r="BX19" s="866"/>
      <c r="BY19" s="866"/>
      <c r="BZ19" s="1050">
        <f>[1]Субсидия_факт!HB15</f>
        <v>0</v>
      </c>
      <c r="CA19" s="888"/>
      <c r="CB19" s="1050">
        <f>[1]Субсидия_факт!HD15</f>
        <v>0</v>
      </c>
      <c r="CC19" s="887"/>
      <c r="CD19" s="1367">
        <f t="shared" si="25"/>
        <v>0</v>
      </c>
      <c r="CE19" s="878">
        <f t="shared" si="25"/>
        <v>0</v>
      </c>
      <c r="CF19" s="1368">
        <f>[1]Субсидия_факт!HF15</f>
        <v>0</v>
      </c>
      <c r="CG19" s="849"/>
      <c r="CH19" s="897">
        <f t="shared" si="26"/>
        <v>0</v>
      </c>
      <c r="CI19" s="862">
        <f>[1]Субсидия_факт!HP15</f>
        <v>0</v>
      </c>
      <c r="CJ19" s="866">
        <f>[1]Субсидия_факт!HR15</f>
        <v>0</v>
      </c>
      <c r="CK19" s="1050">
        <f t="shared" si="27"/>
        <v>0</v>
      </c>
      <c r="CL19" s="866"/>
      <c r="CM19" s="866"/>
      <c r="CN19" s="1003">
        <f t="shared" si="28"/>
        <v>0</v>
      </c>
      <c r="CO19" s="859">
        <f>[1]Субсидия_факт!LR15</f>
        <v>0</v>
      </c>
      <c r="CP19" s="858">
        <f>[1]Субсидия_факт!LT15</f>
        <v>0</v>
      </c>
      <c r="CQ19" s="850">
        <f>[1]Субсидия_факт!LV15</f>
        <v>0</v>
      </c>
      <c r="CR19" s="858">
        <f>[1]Субсидия_факт!MB15</f>
        <v>0</v>
      </c>
      <c r="CS19" s="850">
        <f>[1]Субсидия_факт!MH15</f>
        <v>0</v>
      </c>
      <c r="CT19" s="858">
        <f>[1]Субсидия_факт!MJ15</f>
        <v>0</v>
      </c>
      <c r="CU19" s="1003">
        <f t="shared" si="29"/>
        <v>0</v>
      </c>
      <c r="CV19" s="851"/>
      <c r="CW19" s="858"/>
      <c r="CX19" s="850"/>
      <c r="CY19" s="858"/>
      <c r="CZ19" s="850"/>
      <c r="DA19" s="858"/>
      <c r="DB19" s="1013">
        <f t="shared" si="205"/>
        <v>0</v>
      </c>
      <c r="DC19" s="859">
        <f>[1]Субсидия_факт!LX15</f>
        <v>0</v>
      </c>
      <c r="DD19" s="858">
        <f>[1]Субсидия_факт!MD15</f>
        <v>0</v>
      </c>
      <c r="DE19" s="1003">
        <f t="shared" si="31"/>
        <v>0</v>
      </c>
      <c r="DF19" s="859"/>
      <c r="DG19" s="860"/>
      <c r="DH19" s="1367">
        <f t="shared" si="206"/>
        <v>0</v>
      </c>
      <c r="DI19" s="878">
        <f t="shared" si="207"/>
        <v>0</v>
      </c>
      <c r="DJ19" s="1368">
        <f t="shared" si="208"/>
        <v>0</v>
      </c>
      <c r="DK19" s="849">
        <f t="shared" si="209"/>
        <v>0</v>
      </c>
      <c r="DL19" s="1050">
        <f t="shared" si="210"/>
        <v>0</v>
      </c>
      <c r="DM19" s="885">
        <f>[1]Субсидия_факт!R15</f>
        <v>0</v>
      </c>
      <c r="DN19" s="862">
        <f>[1]Субсидия_факт!T15</f>
        <v>0</v>
      </c>
      <c r="DO19" s="866">
        <f>[1]Субсидия_факт!V15</f>
        <v>0</v>
      </c>
      <c r="DP19" s="1050">
        <f t="shared" si="211"/>
        <v>0</v>
      </c>
      <c r="DQ19" s="866"/>
      <c r="DR19" s="866"/>
      <c r="DS19" s="866"/>
      <c r="DT19" s="897">
        <f t="shared" si="32"/>
        <v>0</v>
      </c>
      <c r="DU19" s="862">
        <f>[1]Субсидия_факт!AX15</f>
        <v>0</v>
      </c>
      <c r="DV19" s="863">
        <f>[1]Субсидия_факт!AZ15</f>
        <v>0</v>
      </c>
      <c r="DW19" s="1050">
        <f t="shared" si="33"/>
        <v>0</v>
      </c>
      <c r="DX19" s="885"/>
      <c r="DY19" s="889"/>
      <c r="DZ19" s="897">
        <f t="shared" si="34"/>
        <v>0</v>
      </c>
      <c r="EA19" s="862">
        <f>[1]Субсидия_факт!X15</f>
        <v>0</v>
      </c>
      <c r="EB19" s="863">
        <f>[1]Субсидия_факт!Z15</f>
        <v>0</v>
      </c>
      <c r="EC19" s="1050">
        <f t="shared" si="35"/>
        <v>0</v>
      </c>
      <c r="ED19" s="862"/>
      <c r="EE19" s="863"/>
      <c r="EF19" s="1013">
        <f t="shared" si="212"/>
        <v>0</v>
      </c>
      <c r="EG19" s="859">
        <f>[1]Субсидия_факт!AP15</f>
        <v>0</v>
      </c>
      <c r="EH19" s="859">
        <f>[1]Субсидия_факт!AL15</f>
        <v>0</v>
      </c>
      <c r="EI19" s="860">
        <f>[1]Субсидия_факт!AN15</f>
        <v>0</v>
      </c>
      <c r="EJ19" s="1013">
        <f t="shared" si="36"/>
        <v>0</v>
      </c>
      <c r="EK19" s="859"/>
      <c r="EL19" s="859"/>
      <c r="EM19" s="860"/>
      <c r="EN19" s="1013">
        <f t="shared" si="37"/>
        <v>0</v>
      </c>
      <c r="EO19" s="859">
        <f>[1]Субсидия_факт!HH15</f>
        <v>0</v>
      </c>
      <c r="EP19" s="858">
        <f>[1]Субсидия_факт!HJ15</f>
        <v>0</v>
      </c>
      <c r="EQ19" s="1003">
        <f t="shared" si="38"/>
        <v>0</v>
      </c>
      <c r="ER19" s="859"/>
      <c r="ES19" s="858"/>
      <c r="ET19" s="1013">
        <f t="shared" si="39"/>
        <v>0</v>
      </c>
      <c r="EU19" s="862">
        <f>[1]Субсидия_факт!PK15</f>
        <v>0</v>
      </c>
      <c r="EV19" s="863">
        <f>[1]Субсидия_факт!PQ15</f>
        <v>0</v>
      </c>
      <c r="EW19" s="1003">
        <f t="shared" si="40"/>
        <v>0</v>
      </c>
      <c r="EX19" s="859"/>
      <c r="EY19" s="860"/>
      <c r="EZ19" s="1013">
        <f t="shared" si="41"/>
        <v>423432.76</v>
      </c>
      <c r="FA19" s="859">
        <f>[1]Субсидия_факт!PM15</f>
        <v>110521.44</v>
      </c>
      <c r="FB19" s="858">
        <f>[1]Субсидия_факт!PS15</f>
        <v>312911.32</v>
      </c>
      <c r="FC19" s="1003">
        <f t="shared" si="42"/>
        <v>423432.76</v>
      </c>
      <c r="FD19" s="859">
        <f>FA19</f>
        <v>110521.44</v>
      </c>
      <c r="FE19" s="860">
        <f>FB19</f>
        <v>312911.32</v>
      </c>
      <c r="FF19" s="1369">
        <f t="shared" si="43"/>
        <v>423432.76</v>
      </c>
      <c r="FG19" s="859">
        <f t="shared" si="44"/>
        <v>110521.44</v>
      </c>
      <c r="FH19" s="858">
        <f t="shared" si="44"/>
        <v>312911.32</v>
      </c>
      <c r="FI19" s="878">
        <f t="shared" si="45"/>
        <v>423432.76</v>
      </c>
      <c r="FJ19" s="859">
        <f t="shared" si="46"/>
        <v>110521.44</v>
      </c>
      <c r="FK19" s="858">
        <f t="shared" si="46"/>
        <v>312911.32</v>
      </c>
      <c r="FL19" s="1369">
        <f t="shared" si="47"/>
        <v>0</v>
      </c>
      <c r="FM19" s="859">
        <f>[1]Субсидия_факт!PO15</f>
        <v>0</v>
      </c>
      <c r="FN19" s="858">
        <f>[1]Субсидия_факт!PU15</f>
        <v>0</v>
      </c>
      <c r="FO19" s="878">
        <f t="shared" si="48"/>
        <v>0</v>
      </c>
      <c r="FP19" s="859"/>
      <c r="FQ19" s="860"/>
      <c r="FR19" s="1013">
        <f t="shared" si="49"/>
        <v>0</v>
      </c>
      <c r="FS19" s="862">
        <f>[1]Субсидия_факт!EP15</f>
        <v>0</v>
      </c>
      <c r="FT19" s="863">
        <f>[1]Субсидия_факт!ER15</f>
        <v>0</v>
      </c>
      <c r="FU19" s="1371">
        <f t="shared" si="50"/>
        <v>0</v>
      </c>
      <c r="FV19" s="862"/>
      <c r="FW19" s="863"/>
      <c r="FX19" s="897">
        <f t="shared" si="51"/>
        <v>0</v>
      </c>
      <c r="FY19" s="862">
        <f>[1]Субсидия_факт!JN15</f>
        <v>0</v>
      </c>
      <c r="FZ19" s="863">
        <f>[1]Субсидия_факт!JP15</f>
        <v>0</v>
      </c>
      <c r="GA19" s="897">
        <f t="shared" si="52"/>
        <v>0</v>
      </c>
      <c r="GB19" s="862"/>
      <c r="GC19" s="863"/>
      <c r="GD19" s="1372">
        <f t="shared" si="53"/>
        <v>0</v>
      </c>
      <c r="GE19" s="859">
        <f>[1]Субсидия_факт!JR15</f>
        <v>0</v>
      </c>
      <c r="GF19" s="860">
        <f>[1]Субсидия_факт!JV15</f>
        <v>0</v>
      </c>
      <c r="GG19" s="1372">
        <f t="shared" si="54"/>
        <v>0</v>
      </c>
      <c r="GH19" s="862"/>
      <c r="GI19" s="889"/>
      <c r="GJ19" s="1373">
        <f t="shared" si="213"/>
        <v>0</v>
      </c>
      <c r="GK19" s="879">
        <f t="shared" si="214"/>
        <v>0</v>
      </c>
      <c r="GL19" s="1390">
        <f t="shared" si="215"/>
        <v>0</v>
      </c>
      <c r="GM19" s="879">
        <f t="shared" si="216"/>
        <v>0</v>
      </c>
      <c r="GN19" s="1371">
        <f t="shared" si="55"/>
        <v>0</v>
      </c>
      <c r="GO19" s="862">
        <f>[1]Субсидия_факт!KL15</f>
        <v>0</v>
      </c>
      <c r="GP19" s="863">
        <f>[1]Субсидия_факт!KN15</f>
        <v>0</v>
      </c>
      <c r="GQ19" s="862">
        <f>[1]Субсидия_факт!KP15</f>
        <v>0</v>
      </c>
      <c r="GR19" s="897">
        <f t="shared" si="56"/>
        <v>0</v>
      </c>
      <c r="GS19" s="862"/>
      <c r="GT19" s="863"/>
      <c r="GU19" s="866"/>
      <c r="GV19" s="1372">
        <f t="shared" si="217"/>
        <v>0</v>
      </c>
      <c r="GW19" s="862">
        <f>[1]Субсидия_факт!KR15</f>
        <v>0</v>
      </c>
      <c r="GX19" s="1372">
        <f t="shared" si="217"/>
        <v>0</v>
      </c>
      <c r="GY19" s="866"/>
      <c r="GZ19" s="1373">
        <f t="shared" si="218"/>
        <v>0</v>
      </c>
      <c r="HA19" s="1373">
        <f t="shared" si="219"/>
        <v>0</v>
      </c>
      <c r="HB19" s="1373">
        <f t="shared" si="220"/>
        <v>0</v>
      </c>
      <c r="HC19" s="1373">
        <f t="shared" si="221"/>
        <v>0</v>
      </c>
      <c r="HD19" s="897">
        <f t="shared" si="57"/>
        <v>0</v>
      </c>
      <c r="HE19" s="862">
        <f>[1]Субсидия_факт!KV15</f>
        <v>0</v>
      </c>
      <c r="HF19" s="863">
        <f>[1]Субсидия_факт!KX15</f>
        <v>0</v>
      </c>
      <c r="HG19" s="1050">
        <f t="shared" si="58"/>
        <v>0</v>
      </c>
      <c r="HH19" s="862"/>
      <c r="HI19" s="863"/>
      <c r="HJ19" s="897">
        <f t="shared" si="59"/>
        <v>0</v>
      </c>
      <c r="HK19" s="862"/>
      <c r="HL19" s="863"/>
      <c r="HM19" s="1050">
        <f t="shared" si="60"/>
        <v>0</v>
      </c>
      <c r="HN19" s="862"/>
      <c r="HO19" s="863"/>
      <c r="HP19" s="897">
        <f t="shared" si="61"/>
        <v>0</v>
      </c>
      <c r="HQ19" s="862">
        <f>[1]Субсидия_факт!FV15</f>
        <v>0</v>
      </c>
      <c r="HR19" s="863">
        <f>[1]Субсидия_факт!FZ15</f>
        <v>0</v>
      </c>
      <c r="HS19" s="1050">
        <f t="shared" si="62"/>
        <v>0</v>
      </c>
      <c r="HT19" s="862"/>
      <c r="HU19" s="863"/>
      <c r="HV19" s="1369">
        <f t="shared" si="63"/>
        <v>0</v>
      </c>
      <c r="HW19" s="859">
        <f t="shared" si="64"/>
        <v>0</v>
      </c>
      <c r="HX19" s="858">
        <f t="shared" si="64"/>
        <v>0</v>
      </c>
      <c r="HY19" s="878">
        <f t="shared" si="65"/>
        <v>0</v>
      </c>
      <c r="HZ19" s="859">
        <f t="shared" si="66"/>
        <v>0</v>
      </c>
      <c r="IA19" s="858">
        <f t="shared" si="66"/>
        <v>0</v>
      </c>
      <c r="IB19" s="1369">
        <f t="shared" si="67"/>
        <v>0</v>
      </c>
      <c r="IC19" s="859">
        <f>[1]Субсидия_факт!FX15</f>
        <v>0</v>
      </c>
      <c r="ID19" s="858">
        <f>[1]Субсидия_факт!GB15</f>
        <v>0</v>
      </c>
      <c r="IE19" s="878">
        <f t="shared" si="68"/>
        <v>0</v>
      </c>
      <c r="IF19" s="859">
        <f t="shared" si="187"/>
        <v>0</v>
      </c>
      <c r="IG19" s="860">
        <f t="shared" si="188"/>
        <v>0</v>
      </c>
      <c r="IH19" s="897">
        <f t="shared" si="69"/>
        <v>0</v>
      </c>
      <c r="II19" s="859">
        <f>[1]Субсидия_факт!ED15</f>
        <v>0</v>
      </c>
      <c r="IJ19" s="860">
        <f>[1]Субсидия_факт!EF15</f>
        <v>0</v>
      </c>
      <c r="IK19" s="1050">
        <f t="shared" si="70"/>
        <v>0</v>
      </c>
      <c r="IL19" s="862"/>
      <c r="IM19" s="863"/>
      <c r="IN19" s="1372">
        <f t="shared" si="71"/>
        <v>0</v>
      </c>
      <c r="IO19" s="859">
        <f>[1]Субсидия_факт!EH15</f>
        <v>0</v>
      </c>
      <c r="IP19" s="860">
        <f>[1]Субсидия_факт!EL15</f>
        <v>0</v>
      </c>
      <c r="IQ19" s="1392">
        <f t="shared" si="72"/>
        <v>0</v>
      </c>
      <c r="IR19" s="862"/>
      <c r="IS19" s="889"/>
      <c r="IT19" s="1373">
        <f t="shared" si="222"/>
        <v>0</v>
      </c>
      <c r="IU19" s="1373">
        <f t="shared" si="223"/>
        <v>0</v>
      </c>
      <c r="IV19" s="1373">
        <f t="shared" si="224"/>
        <v>0</v>
      </c>
      <c r="IW19" s="879">
        <f t="shared" si="225"/>
        <v>0</v>
      </c>
      <c r="IX19" s="1371">
        <f t="shared" si="73"/>
        <v>0</v>
      </c>
      <c r="IY19" s="859">
        <f>[1]Субсидия_факт!BX15</f>
        <v>0</v>
      </c>
      <c r="IZ19" s="860">
        <f>[1]Субсидия_факт!BZ15</f>
        <v>0</v>
      </c>
      <c r="JA19" s="1050">
        <f t="shared" si="74"/>
        <v>0</v>
      </c>
      <c r="JB19" s="862"/>
      <c r="JC19" s="863"/>
      <c r="JD19" s="897">
        <f t="shared" si="75"/>
        <v>0</v>
      </c>
      <c r="JE19" s="862">
        <f>[1]Субсидия_факт!ET15</f>
        <v>0</v>
      </c>
      <c r="JF19" s="863">
        <f>[1]Субсидия_факт!EV15</f>
        <v>0</v>
      </c>
      <c r="JG19" s="1050">
        <f t="shared" si="76"/>
        <v>0</v>
      </c>
      <c r="JH19" s="862"/>
      <c r="JI19" s="863"/>
      <c r="JJ19" s="1003">
        <f t="shared" si="77"/>
        <v>0</v>
      </c>
      <c r="JK19" s="859">
        <f>[1]Субсидия_факт!EX15</f>
        <v>0</v>
      </c>
      <c r="JL19" s="858">
        <f>[1]Субсидия_факт!FD15</f>
        <v>0</v>
      </c>
      <c r="JM19" s="1003">
        <f t="shared" si="78"/>
        <v>0</v>
      </c>
      <c r="JN19" s="859"/>
      <c r="JO19" s="860"/>
      <c r="JP19" s="1003">
        <f t="shared" si="79"/>
        <v>0</v>
      </c>
      <c r="JQ19" s="859">
        <f>[1]Субсидия_факт!EZ15</f>
        <v>0</v>
      </c>
      <c r="JR19" s="860">
        <f>[1]Субсидия_факт!FF15</f>
        <v>0</v>
      </c>
      <c r="JS19" s="1003">
        <f t="shared" si="80"/>
        <v>0</v>
      </c>
      <c r="JT19" s="850"/>
      <c r="JU19" s="864"/>
      <c r="JV19" s="1003">
        <f t="shared" si="81"/>
        <v>-83077.03</v>
      </c>
      <c r="JW19" s="851">
        <f>'Проверочная  таблица'!JQ19-'Проверочная  таблица'!KC19</f>
        <v>-21600.03</v>
      </c>
      <c r="JX19" s="860">
        <f>'Проверочная  таблица'!JR19-'Проверочная  таблица'!KD19</f>
        <v>-61477</v>
      </c>
      <c r="JY19" s="1368">
        <f t="shared" si="82"/>
        <v>0</v>
      </c>
      <c r="JZ19" s="850">
        <f>'Проверочная  таблица'!JT19-'Проверочная  таблица'!KF19</f>
        <v>0</v>
      </c>
      <c r="KA19" s="867">
        <f>'Проверочная  таблица'!JU19-'Проверочная  таблица'!KG19</f>
        <v>0</v>
      </c>
      <c r="KB19" s="1003">
        <f t="shared" si="83"/>
        <v>83077.03</v>
      </c>
      <c r="KC19" s="859">
        <f>[1]Субсидия_факт!FB15</f>
        <v>21600.03</v>
      </c>
      <c r="KD19" s="858">
        <f>[1]Субсидия_факт!FH15</f>
        <v>61477</v>
      </c>
      <c r="KE19" s="878">
        <f t="shared" si="84"/>
        <v>0</v>
      </c>
      <c r="KF19" s="859"/>
      <c r="KG19" s="860"/>
      <c r="KH19" s="1352">
        <f t="shared" si="226"/>
        <v>760728.8</v>
      </c>
      <c r="KI19" s="850">
        <f>[1]Субсидия_факт!OD15</f>
        <v>399890</v>
      </c>
      <c r="KJ19" s="860">
        <f>[1]Субсидия_факт!OJ15</f>
        <v>256948.80000000002</v>
      </c>
      <c r="KK19" s="850">
        <f>[1]Субсидия_факт!OR15</f>
        <v>37768.97</v>
      </c>
      <c r="KL19" s="860">
        <f>[1]Субсидия_факт!OT15</f>
        <v>66121.03</v>
      </c>
      <c r="KM19" s="1352">
        <f t="shared" si="85"/>
        <v>0</v>
      </c>
      <c r="KN19" s="850"/>
      <c r="KO19" s="860"/>
      <c r="KP19" s="850"/>
      <c r="KQ19" s="860"/>
      <c r="KR19" s="1352">
        <f t="shared" si="227"/>
        <v>37850</v>
      </c>
      <c r="KS19" s="885">
        <f>[1]Субсидия_факт!OF15</f>
        <v>37850</v>
      </c>
      <c r="KT19" s="863">
        <f>[1]Субсидия_факт!OL15</f>
        <v>0</v>
      </c>
      <c r="KU19" s="885"/>
      <c r="KV19" s="863"/>
      <c r="KW19" s="1352">
        <f t="shared" si="86"/>
        <v>0</v>
      </c>
      <c r="KX19" s="850"/>
      <c r="KY19" s="860"/>
      <c r="KZ19" s="850"/>
      <c r="LA19" s="860"/>
      <c r="LB19" s="1354">
        <f t="shared" si="87"/>
        <v>-28190</v>
      </c>
      <c r="LC19" s="885">
        <f t="shared" si="88"/>
        <v>-28190</v>
      </c>
      <c r="LD19" s="863">
        <f t="shared" si="88"/>
        <v>0</v>
      </c>
      <c r="LE19" s="1354">
        <f t="shared" si="89"/>
        <v>0</v>
      </c>
      <c r="LF19" s="885">
        <f t="shared" si="90"/>
        <v>0</v>
      </c>
      <c r="LG19" s="863">
        <f t="shared" si="90"/>
        <v>0</v>
      </c>
      <c r="LH19" s="1354">
        <f t="shared" si="91"/>
        <v>66040</v>
      </c>
      <c r="LI19" s="859">
        <f>[1]Субсидия_факт!OH15</f>
        <v>66040</v>
      </c>
      <c r="LJ19" s="858">
        <f>[1]Субсидия_факт!ON15</f>
        <v>0</v>
      </c>
      <c r="LK19" s="1354">
        <f t="shared" si="92"/>
        <v>0</v>
      </c>
      <c r="LL19" s="851"/>
      <c r="LM19" s="860"/>
      <c r="LN19" s="1050">
        <f t="shared" si="228"/>
        <v>0</v>
      </c>
      <c r="LO19" s="865">
        <f>[1]Субсидия_факт!DP15</f>
        <v>0</v>
      </c>
      <c r="LP19" s="850">
        <f>[1]Субсидия_факт!CB15</f>
        <v>0</v>
      </c>
      <c r="LQ19" s="860">
        <f>[1]Субсидия_факт!CH15</f>
        <v>0</v>
      </c>
      <c r="LR19" s="1050">
        <f t="shared" si="93"/>
        <v>0</v>
      </c>
      <c r="LS19" s="865"/>
      <c r="LT19" s="850"/>
      <c r="LU19" s="860"/>
      <c r="LV19" s="1050">
        <f t="shared" si="229"/>
        <v>0</v>
      </c>
      <c r="LW19" s="865">
        <f>[1]Субсидия_факт!DR15</f>
        <v>0</v>
      </c>
      <c r="LX19" s="850">
        <f>[1]Субсидия_факт!CD15</f>
        <v>0</v>
      </c>
      <c r="LY19" s="860">
        <f>[1]Субсидия_факт!CJ15</f>
        <v>0</v>
      </c>
      <c r="LZ19" s="1050">
        <f t="shared" si="94"/>
        <v>0</v>
      </c>
      <c r="MA19" s="865"/>
      <c r="MB19" s="850"/>
      <c r="MC19" s="858"/>
      <c r="MD19" s="879">
        <f t="shared" si="95"/>
        <v>0</v>
      </c>
      <c r="ME19" s="862">
        <f>'Проверочная  таблица'!LW19-MM19</f>
        <v>0</v>
      </c>
      <c r="MF19" s="862">
        <f>'Проверочная  таблица'!LX19-MN19</f>
        <v>0</v>
      </c>
      <c r="MG19" s="863">
        <f>'Проверочная  таблица'!LY19-MO19</f>
        <v>0</v>
      </c>
      <c r="MH19" s="879">
        <f t="shared" si="96"/>
        <v>0</v>
      </c>
      <c r="MI19" s="862">
        <f>'Проверочная  таблица'!MA19-MQ19</f>
        <v>0</v>
      </c>
      <c r="MJ19" s="862">
        <f>'Проверочная  таблица'!MB19-MR19</f>
        <v>0</v>
      </c>
      <c r="MK19" s="863">
        <f>'Проверочная  таблица'!MC19-MS19</f>
        <v>0</v>
      </c>
      <c r="ML19" s="879">
        <f t="shared" si="97"/>
        <v>0</v>
      </c>
      <c r="MM19" s="850">
        <f>[1]Субсидия_факт!DT15</f>
        <v>0</v>
      </c>
      <c r="MN19" s="850">
        <f>[1]Субсидия_факт!CF15</f>
        <v>0</v>
      </c>
      <c r="MO19" s="860">
        <f>[1]Субсидия_факт!CL15</f>
        <v>0</v>
      </c>
      <c r="MP19" s="879">
        <f t="shared" si="98"/>
        <v>0</v>
      </c>
      <c r="MQ19" s="850"/>
      <c r="MR19" s="850"/>
      <c r="MS19" s="860"/>
      <c r="MT19" s="1360">
        <f t="shared" si="230"/>
        <v>83077.03</v>
      </c>
      <c r="MU19" s="850">
        <f>[1]Субсидия_факт!CN15</f>
        <v>0</v>
      </c>
      <c r="MV19" s="858">
        <f>[1]Субсидия_факт!CP15</f>
        <v>0</v>
      </c>
      <c r="MW19" s="862">
        <f>[1]Субсидия_факт!CR15</f>
        <v>0</v>
      </c>
      <c r="MX19" s="863">
        <f>[1]Субсидия_факт!CT15</f>
        <v>0</v>
      </c>
      <c r="MY19" s="851">
        <f>[1]Субсидия_факт!DV15</f>
        <v>0</v>
      </c>
      <c r="MZ19" s="859">
        <f>[1]Субсидия_факт!FJ15</f>
        <v>21600.03</v>
      </c>
      <c r="NA19" s="858">
        <f>[1]Субсидия_факт!FP15</f>
        <v>61477</v>
      </c>
      <c r="NB19" s="1003">
        <f t="shared" si="99"/>
        <v>83077.03</v>
      </c>
      <c r="NC19" s="850"/>
      <c r="ND19" s="860"/>
      <c r="NE19" s="866"/>
      <c r="NF19" s="890"/>
      <c r="NG19" s="850"/>
      <c r="NH19" s="850">
        <f>MZ19</f>
        <v>21600.03</v>
      </c>
      <c r="NI19" s="860">
        <f>NA19</f>
        <v>61477</v>
      </c>
      <c r="NJ19" s="1003">
        <f t="shared" si="231"/>
        <v>0</v>
      </c>
      <c r="NK19" s="859">
        <f>[1]Субсидия_факт!FL15</f>
        <v>0</v>
      </c>
      <c r="NL19" s="858">
        <f>[1]Субсидия_факт!FR15</f>
        <v>0</v>
      </c>
      <c r="NM19" s="1003">
        <f t="shared" si="101"/>
        <v>0</v>
      </c>
      <c r="NN19" s="851"/>
      <c r="NO19" s="860"/>
      <c r="NP19" s="878">
        <f t="shared" si="102"/>
        <v>0</v>
      </c>
      <c r="NQ19" s="859">
        <f>'Проверочная  таблица'!NK19-NW19</f>
        <v>0</v>
      </c>
      <c r="NR19" s="860">
        <f>'Проверочная  таблица'!NL19-NX19</f>
        <v>0</v>
      </c>
      <c r="NS19" s="878">
        <f t="shared" si="103"/>
        <v>0</v>
      </c>
      <c r="NT19" s="850">
        <f>'Проверочная  таблица'!NN19-NZ19</f>
        <v>0</v>
      </c>
      <c r="NU19" s="867">
        <f>'Проверочная  таблица'!NO19-OA19</f>
        <v>0</v>
      </c>
      <c r="NV19" s="878">
        <f t="shared" si="232"/>
        <v>0</v>
      </c>
      <c r="NW19" s="859">
        <f>[1]Субсидия_факт!FN15</f>
        <v>0</v>
      </c>
      <c r="NX19" s="858">
        <f>[1]Субсидия_факт!FT15</f>
        <v>0</v>
      </c>
      <c r="NY19" s="878">
        <f t="shared" si="104"/>
        <v>0</v>
      </c>
      <c r="NZ19" s="850"/>
      <c r="OA19" s="860"/>
      <c r="OB19" s="1012">
        <f t="shared" si="233"/>
        <v>0</v>
      </c>
      <c r="OC19" s="859">
        <f>[1]Субсидия_факт!AR15</f>
        <v>0</v>
      </c>
      <c r="OD19" s="858">
        <f>[1]Субсидия_факт!AT15</f>
        <v>0</v>
      </c>
      <c r="OE19" s="859">
        <f>[1]Субсидия_факт!AV15</f>
        <v>0</v>
      </c>
      <c r="OF19" s="1050">
        <f t="shared" si="105"/>
        <v>0</v>
      </c>
      <c r="OG19" s="866"/>
      <c r="OH19" s="863"/>
      <c r="OI19" s="866"/>
      <c r="OJ19" s="1376">
        <f t="shared" si="106"/>
        <v>9893329.0199999996</v>
      </c>
      <c r="OK19" s="859">
        <f>[1]Субсидия_факт!GD15</f>
        <v>0</v>
      </c>
      <c r="OL19" s="858">
        <f>[1]Субсидия_факт!GJ15</f>
        <v>9893329.0199999996</v>
      </c>
      <c r="OM19" s="866">
        <f>[1]Субсидия_факт!GP15</f>
        <v>0</v>
      </c>
      <c r="ON19" s="1376">
        <f t="shared" si="107"/>
        <v>0</v>
      </c>
      <c r="OO19" s="851"/>
      <c r="OP19" s="860"/>
      <c r="OQ19" s="850"/>
      <c r="OR19" s="1352">
        <f t="shared" si="234"/>
        <v>9893329.0199999996</v>
      </c>
      <c r="OS19" s="859">
        <f>[1]Субсидия_факт!GF15</f>
        <v>0</v>
      </c>
      <c r="OT19" s="858">
        <f>[1]Субсидия_факт!GL15</f>
        <v>0</v>
      </c>
      <c r="OU19" s="850">
        <f>[1]Субсидия_факт!GR15</f>
        <v>9893329.0199999996</v>
      </c>
      <c r="OV19" s="1352">
        <f t="shared" si="108"/>
        <v>9642091.5899999999</v>
      </c>
      <c r="OW19" s="850"/>
      <c r="OX19" s="867"/>
      <c r="OY19" s="850">
        <v>9642091.5899999999</v>
      </c>
      <c r="OZ19" s="1354">
        <f t="shared" si="109"/>
        <v>9893329.0199999996</v>
      </c>
      <c r="PA19" s="885">
        <f>'Проверочная  таблица'!OS19-PI19</f>
        <v>0</v>
      </c>
      <c r="PB19" s="863">
        <f>'Проверочная  таблица'!OT19-PJ19</f>
        <v>0</v>
      </c>
      <c r="PC19" s="866">
        <f>'Проверочная  таблица'!OU19-PK19</f>
        <v>9893329.0199999996</v>
      </c>
      <c r="PD19" s="1354">
        <f t="shared" si="235"/>
        <v>9642091.5899999999</v>
      </c>
      <c r="PE19" s="851">
        <f>'Проверочная  таблица'!OW19-PM19</f>
        <v>0</v>
      </c>
      <c r="PF19" s="860">
        <f>'Проверочная  таблица'!OX19-PN19</f>
        <v>0</v>
      </c>
      <c r="PG19" s="850">
        <f>'Проверочная  таблица'!OY19-PO19</f>
        <v>9642091.5899999999</v>
      </c>
      <c r="PH19" s="1354">
        <f t="shared" si="110"/>
        <v>0</v>
      </c>
      <c r="PI19" s="859">
        <f>[1]Субсидия_факт!GH15</f>
        <v>0</v>
      </c>
      <c r="PJ19" s="858">
        <f>[1]Субсидия_факт!GN15</f>
        <v>0</v>
      </c>
      <c r="PK19" s="859">
        <f>[1]Субсидия_факт!GT15</f>
        <v>0</v>
      </c>
      <c r="PL19" s="1354">
        <f t="shared" si="111"/>
        <v>0</v>
      </c>
      <c r="PM19" s="851">
        <f t="shared" si="191"/>
        <v>0</v>
      </c>
      <c r="PN19" s="860">
        <f t="shared" si="192"/>
        <v>0</v>
      </c>
      <c r="PO19" s="859"/>
      <c r="PP19" s="1003">
        <f t="shared" si="193"/>
        <v>0</v>
      </c>
      <c r="PQ19" s="862">
        <f>[1]Субсидия_факт!JB15</f>
        <v>0</v>
      </c>
      <c r="PR19" s="863">
        <f>[1]Субсидия_факт!JH15</f>
        <v>0</v>
      </c>
      <c r="PS19" s="862"/>
      <c r="PT19" s="863"/>
      <c r="PU19" s="1003">
        <f t="shared" si="194"/>
        <v>0</v>
      </c>
      <c r="PV19" s="866"/>
      <c r="PW19" s="890"/>
      <c r="PX19" s="866"/>
      <c r="PY19" s="890"/>
      <c r="PZ19" s="1050">
        <f t="shared" si="112"/>
        <v>1687195.98</v>
      </c>
      <c r="QA19" s="862">
        <f>[1]Субсидия_факт!JD15</f>
        <v>84359.8</v>
      </c>
      <c r="QB19" s="863">
        <f>[1]Субсидия_факт!JJ15</f>
        <v>1602836.18</v>
      </c>
      <c r="QC19" s="1391">
        <f t="shared" si="113"/>
        <v>1481996.35</v>
      </c>
      <c r="QD19" s="866">
        <v>74099.820000000007</v>
      </c>
      <c r="QE19" s="890">
        <v>1407896.53</v>
      </c>
      <c r="QF19" s="879">
        <f t="shared" si="236"/>
        <v>1687195.98</v>
      </c>
      <c r="QG19" s="866">
        <f t="shared" si="114"/>
        <v>84359.8</v>
      </c>
      <c r="QH19" s="863">
        <f t="shared" si="114"/>
        <v>1602836.18</v>
      </c>
      <c r="QI19" s="1373">
        <f t="shared" si="115"/>
        <v>1481996.35</v>
      </c>
      <c r="QJ19" s="862">
        <f t="shared" si="116"/>
        <v>74099.820000000007</v>
      </c>
      <c r="QK19" s="863">
        <f t="shared" si="116"/>
        <v>1407896.53</v>
      </c>
      <c r="QL19" s="1373">
        <f t="shared" si="117"/>
        <v>0</v>
      </c>
      <c r="QM19" s="862">
        <f>[1]Субсидия_факт!JF15</f>
        <v>0</v>
      </c>
      <c r="QN19" s="863">
        <f>[1]Субсидия_факт!JL15</f>
        <v>0</v>
      </c>
      <c r="QO19" s="879">
        <f t="shared" si="237"/>
        <v>0</v>
      </c>
      <c r="QP19" s="866"/>
      <c r="QQ19" s="890"/>
      <c r="QR19" s="897">
        <f t="shared" si="118"/>
        <v>0</v>
      </c>
      <c r="QS19" s="862">
        <f>[1]Субсидия_факт!CV15</f>
        <v>0</v>
      </c>
      <c r="QT19" s="863">
        <f>[1]Субсидия_факт!CX15</f>
        <v>0</v>
      </c>
      <c r="QU19" s="1050">
        <f t="shared" si="119"/>
        <v>0</v>
      </c>
      <c r="QV19" s="862"/>
      <c r="QW19" s="863"/>
      <c r="QX19" s="897">
        <f t="shared" si="120"/>
        <v>0</v>
      </c>
      <c r="QY19" s="862">
        <f>[1]Субсидия_факт!CZ15</f>
        <v>0</v>
      </c>
      <c r="QZ19" s="863">
        <f>[1]Субсидия_факт!DF15</f>
        <v>0</v>
      </c>
      <c r="RA19" s="1050">
        <f t="shared" si="121"/>
        <v>0</v>
      </c>
      <c r="RB19" s="862"/>
      <c r="RC19" s="863"/>
      <c r="RD19" s="897">
        <f t="shared" si="122"/>
        <v>0</v>
      </c>
      <c r="RE19" s="862">
        <f>[1]Субсидия_факт!DB15</f>
        <v>0</v>
      </c>
      <c r="RF19" s="863">
        <f>[1]Субсидия_факт!DH15</f>
        <v>0</v>
      </c>
      <c r="RG19" s="1050">
        <f t="shared" si="123"/>
        <v>0</v>
      </c>
      <c r="RH19" s="862"/>
      <c r="RI19" s="863"/>
      <c r="RJ19" s="1373">
        <f t="shared" si="124"/>
        <v>0</v>
      </c>
      <c r="RK19" s="862">
        <f t="shared" si="125"/>
        <v>0</v>
      </c>
      <c r="RL19" s="863">
        <f t="shared" si="125"/>
        <v>0</v>
      </c>
      <c r="RM19" s="879">
        <f t="shared" si="126"/>
        <v>0</v>
      </c>
      <c r="RN19" s="862">
        <f t="shared" si="127"/>
        <v>0</v>
      </c>
      <c r="RO19" s="863">
        <f t="shared" si="127"/>
        <v>0</v>
      </c>
      <c r="RP19" s="897">
        <f t="shared" si="128"/>
        <v>0</v>
      </c>
      <c r="RQ19" s="862">
        <f>[1]Субсидия_факт!DD15</f>
        <v>0</v>
      </c>
      <c r="RR19" s="863">
        <f>[1]Субсидия_факт!DJ15</f>
        <v>0</v>
      </c>
      <c r="RS19" s="879">
        <f t="shared" si="129"/>
        <v>0</v>
      </c>
      <c r="RT19" s="862"/>
      <c r="RU19" s="863"/>
      <c r="RV19" s="897">
        <f t="shared" si="130"/>
        <v>0</v>
      </c>
      <c r="RW19" s="862">
        <f>[1]Субсидия_факт!DL15</f>
        <v>0</v>
      </c>
      <c r="RX19" s="863">
        <f>[1]Субсидия_факт!DN15</f>
        <v>0</v>
      </c>
      <c r="RY19" s="1391">
        <f t="shared" si="131"/>
        <v>0</v>
      </c>
      <c r="RZ19" s="885"/>
      <c r="SA19" s="889"/>
      <c r="SB19" s="1050">
        <f t="shared" si="238"/>
        <v>0</v>
      </c>
      <c r="SC19" s="859">
        <f>[1]Субсидия_факт!BJ15</f>
        <v>0</v>
      </c>
      <c r="SD19" s="862">
        <f>[1]Субсидия_факт!BF15</f>
        <v>0</v>
      </c>
      <c r="SE19" s="889">
        <f>[1]Субсидия_факт!BH15</f>
        <v>0</v>
      </c>
      <c r="SF19" s="1050">
        <f t="shared" si="132"/>
        <v>0</v>
      </c>
      <c r="SG19" s="891"/>
      <c r="SH19" s="885"/>
      <c r="SI19" s="889"/>
      <c r="SJ19" s="897">
        <f t="shared" si="133"/>
        <v>0</v>
      </c>
      <c r="SK19" s="862">
        <f>[1]Субсидия_факт!AD15</f>
        <v>0</v>
      </c>
      <c r="SL19" s="863">
        <f>[1]Субсидия_факт!AF15</f>
        <v>0</v>
      </c>
      <c r="SM19" s="1050">
        <f t="shared" si="134"/>
        <v>0</v>
      </c>
      <c r="SN19" s="885"/>
      <c r="SO19" s="889"/>
      <c r="SP19" s="897">
        <f t="shared" si="239"/>
        <v>0</v>
      </c>
      <c r="SQ19" s="862">
        <f>[1]Субсидия_факт!ID15</f>
        <v>0</v>
      </c>
      <c r="SR19" s="863">
        <f>[1]Субсидия_факт!IJ15</f>
        <v>0</v>
      </c>
      <c r="SS19" s="885">
        <f>[1]Субсидия_факт!IP15</f>
        <v>0</v>
      </c>
      <c r="ST19" s="863">
        <f>[1]Субсидия_факт!IV15</f>
        <v>0</v>
      </c>
      <c r="SU19" s="1123">
        <f>[1]Субсидия_факт!JZ15</f>
        <v>0</v>
      </c>
      <c r="SV19" s="889">
        <f>[1]Субсидия_факт!KF15</f>
        <v>0</v>
      </c>
      <c r="SW19" s="1050">
        <f t="shared" si="135"/>
        <v>0</v>
      </c>
      <c r="SX19" s="1244"/>
      <c r="SY19" s="890"/>
      <c r="SZ19" s="1244"/>
      <c r="TA19" s="890"/>
      <c r="TB19" s="1123"/>
      <c r="TC19" s="889"/>
      <c r="TD19" s="1050">
        <f t="shared" si="136"/>
        <v>0</v>
      </c>
      <c r="TE19" s="862">
        <f>[1]Субсидия_факт!IF15</f>
        <v>0</v>
      </c>
      <c r="TF19" s="863">
        <f>[1]Субсидия_факт!IL15</f>
        <v>0</v>
      </c>
      <c r="TG19" s="885">
        <f>[1]Субсидия_факт!IR15</f>
        <v>0</v>
      </c>
      <c r="TH19" s="863">
        <f>[1]Субсидия_факт!IX15</f>
        <v>0</v>
      </c>
      <c r="TI19" s="885">
        <f>[1]Субсидия_факт!KB15</f>
        <v>0</v>
      </c>
      <c r="TJ19" s="863">
        <f>[1]Субсидия_факт!KH15</f>
        <v>0</v>
      </c>
      <c r="TK19" s="1050">
        <f t="shared" si="137"/>
        <v>0</v>
      </c>
      <c r="TL19" s="866"/>
      <c r="TM19" s="890"/>
      <c r="TN19" s="1123"/>
      <c r="TO19" s="890"/>
      <c r="TP19" s="866"/>
      <c r="TQ19" s="890"/>
      <c r="TR19" s="1016">
        <f t="shared" si="138"/>
        <v>-1995000</v>
      </c>
      <c r="TS19" s="859">
        <f t="shared" si="139"/>
        <v>0</v>
      </c>
      <c r="TT19" s="860">
        <f t="shared" si="139"/>
        <v>0</v>
      </c>
      <c r="TU19" s="859">
        <f t="shared" si="139"/>
        <v>-99750</v>
      </c>
      <c r="TV19" s="860">
        <f t="shared" si="139"/>
        <v>-1895250</v>
      </c>
      <c r="TW19" s="851">
        <f t="shared" si="139"/>
        <v>0</v>
      </c>
      <c r="TX19" s="860">
        <f t="shared" si="139"/>
        <v>0</v>
      </c>
      <c r="TY19" s="878">
        <f t="shared" si="140"/>
        <v>0</v>
      </c>
      <c r="TZ19" s="859">
        <f t="shared" si="141"/>
        <v>0</v>
      </c>
      <c r="UA19" s="860">
        <f t="shared" si="141"/>
        <v>0</v>
      </c>
      <c r="UB19" s="859">
        <f t="shared" si="141"/>
        <v>0</v>
      </c>
      <c r="UC19" s="860">
        <f t="shared" si="141"/>
        <v>0</v>
      </c>
      <c r="UD19" s="851">
        <f t="shared" si="141"/>
        <v>0</v>
      </c>
      <c r="UE19" s="860">
        <f t="shared" si="141"/>
        <v>0</v>
      </c>
      <c r="UF19" s="1029">
        <f t="shared" si="142"/>
        <v>1995000</v>
      </c>
      <c r="UG19" s="862">
        <f>[1]Субсидия_факт!IH15</f>
        <v>0</v>
      </c>
      <c r="UH19" s="863">
        <f>[1]Субсидия_факт!IN15</f>
        <v>0</v>
      </c>
      <c r="UI19" s="885">
        <f>[1]Субсидия_факт!IT15</f>
        <v>99750</v>
      </c>
      <c r="UJ19" s="863">
        <f>[1]Субсидия_факт!IZ15</f>
        <v>1895250</v>
      </c>
      <c r="UK19" s="885">
        <f>[1]Субсидия_факт!KD15</f>
        <v>0</v>
      </c>
      <c r="UL19" s="863">
        <f>[1]Субсидия_факт!KJ15</f>
        <v>0</v>
      </c>
      <c r="UM19" s="879">
        <f t="shared" si="143"/>
        <v>0</v>
      </c>
      <c r="UN19" s="1123"/>
      <c r="UO19" s="890"/>
      <c r="UP19" s="1123"/>
      <c r="UQ19" s="890"/>
      <c r="UR19" s="1123"/>
      <c r="US19" s="890"/>
      <c r="UT19" s="1050">
        <f>'Прочая  субсидия_МР  и  ГО'!B15</f>
        <v>58910442.5</v>
      </c>
      <c r="UU19" s="1050">
        <f>'Прочая  субсидия_МР  и  ГО'!C15</f>
        <v>49827409.170000002</v>
      </c>
      <c r="UV19" s="1371">
        <f>'Прочая  субсидия_БП'!B15</f>
        <v>249832.9</v>
      </c>
      <c r="UW19" s="897">
        <f>'Прочая  субсидия_БП'!C15</f>
        <v>160121.23000000001</v>
      </c>
      <c r="UX19" s="1395">
        <f>'Прочая  субсидия_БП'!D15</f>
        <v>249832.9</v>
      </c>
      <c r="UY19" s="1386">
        <f>'Прочая  субсидия_БП'!E15</f>
        <v>160121.23000000001</v>
      </c>
      <c r="UZ19" s="1387">
        <f>'Прочая  субсидия_БП'!F15</f>
        <v>0</v>
      </c>
      <c r="VA19" s="1395">
        <f>'Прочая  субсидия_БП'!G15</f>
        <v>0</v>
      </c>
      <c r="VB19" s="897">
        <f t="shared" si="144"/>
        <v>300052286.35000008</v>
      </c>
      <c r="VC19" s="866">
        <f>'Проверочная  таблица'!WE19+'Проверочная  таблица'!VH19+'Проверочная  таблица'!VJ19+VY19</f>
        <v>293017639.93000007</v>
      </c>
      <c r="VD19" s="891">
        <f>'Проверочная  таблица'!WF19+'Проверочная  таблица'!VN19+'Проверочная  таблица'!VT19+'Проверочная  таблица'!VP19+'Проверочная  таблица'!VR19+VV19+VZ19+VL19</f>
        <v>7034646.4199999999</v>
      </c>
      <c r="VE19" s="1050">
        <f t="shared" si="145"/>
        <v>225805507.81999999</v>
      </c>
      <c r="VF19" s="866">
        <f>'Проверочная  таблица'!WH19+'Проверочная  таблица'!VI19+'Проверочная  таблица'!VK19+WB19</f>
        <v>220673479.69</v>
      </c>
      <c r="VG19" s="891">
        <f>'Проверочная  таблица'!WI19+'Проверочная  таблица'!VO19+'Проверочная  таблица'!VU19+'Проверочная  таблица'!VQ19+'Проверочная  таблица'!VS19+VW19+WC19+VM19</f>
        <v>5132028.13</v>
      </c>
      <c r="VH19" s="1391">
        <f>'Субвенция  на  полномочия'!B15</f>
        <v>281420406.47000003</v>
      </c>
      <c r="VI19" s="1371">
        <f>'Субвенция  на  полномочия'!C15</f>
        <v>211742149.13</v>
      </c>
      <c r="VJ19" s="886">
        <f>[1]Субвенция_факт!M14*1000</f>
        <v>8748749</v>
      </c>
      <c r="VK19" s="892">
        <v>6852763</v>
      </c>
      <c r="VL19" s="886">
        <f>[1]Субвенция_факт!AE14*1000</f>
        <v>0</v>
      </c>
      <c r="VM19" s="892"/>
      <c r="VN19" s="886">
        <f>[1]Субвенция_факт!AF14*1000</f>
        <v>1769300</v>
      </c>
      <c r="VO19" s="892">
        <f>ВУС!E56</f>
        <v>1116015.6000000001</v>
      </c>
      <c r="VP19" s="1396">
        <f>[1]Субвенция_факт!AG14*1000</f>
        <v>0</v>
      </c>
      <c r="VQ19" s="893"/>
      <c r="VR19" s="888">
        <f>[1]Субвенция_факт!E14*1000</f>
        <v>0</v>
      </c>
      <c r="VS19" s="893"/>
      <c r="VT19" s="888">
        <f>[1]Субвенция_факт!F14*1000</f>
        <v>0</v>
      </c>
      <c r="VU19" s="893"/>
      <c r="VV19" s="887">
        <f>[1]Субвенция_факт!G14*1000</f>
        <v>0</v>
      </c>
      <c r="VW19" s="892"/>
      <c r="VX19" s="897">
        <f t="shared" si="146"/>
        <v>6189657.3300000001</v>
      </c>
      <c r="VY19" s="862">
        <f>[1]Субвенция_факт!P14*1000</f>
        <v>1609310.9100000001</v>
      </c>
      <c r="VZ19" s="863">
        <f>[1]Субвенция_факт!Q14*1000</f>
        <v>4580346.42</v>
      </c>
      <c r="WA19" s="1050">
        <f t="shared" si="147"/>
        <v>4667567.58</v>
      </c>
      <c r="WB19" s="866">
        <v>1213567.56</v>
      </c>
      <c r="WC19" s="894">
        <v>3454000.02</v>
      </c>
      <c r="WD19" s="1050">
        <f t="shared" si="148"/>
        <v>1924173.5500000003</v>
      </c>
      <c r="WE19" s="895">
        <f>[1]Субвенция_факт!X14*1000</f>
        <v>1239173.5500000003</v>
      </c>
      <c r="WF19" s="896">
        <f>[1]Субвенция_факт!W14*1000</f>
        <v>685000</v>
      </c>
      <c r="WG19" s="1050">
        <f t="shared" si="149"/>
        <v>1427012.51</v>
      </c>
      <c r="WH19" s="866">
        <v>865000</v>
      </c>
      <c r="WI19" s="894">
        <v>562012.51</v>
      </c>
      <c r="WJ19" s="897">
        <f t="shared" si="201"/>
        <v>107996880.83000001</v>
      </c>
      <c r="WK19" s="1050">
        <f t="shared" si="202"/>
        <v>45935318.520000003</v>
      </c>
      <c r="WL19" s="1391">
        <f t="shared" si="240"/>
        <v>0</v>
      </c>
      <c r="WM19" s="895"/>
      <c r="WN19" s="896">
        <f>'[1]Иные межбюджетные трансферты'!I17</f>
        <v>0</v>
      </c>
      <c r="WO19" s="1391">
        <f t="shared" si="241"/>
        <v>0</v>
      </c>
      <c r="WP19" s="895"/>
      <c r="WQ19" s="896"/>
      <c r="WR19" s="1391">
        <f t="shared" si="152"/>
        <v>0</v>
      </c>
      <c r="WS19" s="895">
        <f>'[1]Иные межбюджетные трансферты'!AQ15</f>
        <v>0</v>
      </c>
      <c r="WT19" s="896">
        <f>'[1]Иные межбюджетные трансферты'!AS15</f>
        <v>0</v>
      </c>
      <c r="WU19" s="1391">
        <f t="shared" si="153"/>
        <v>0</v>
      </c>
      <c r="WV19" s="895"/>
      <c r="WW19" s="896"/>
      <c r="WX19" s="1050">
        <f t="shared" si="154"/>
        <v>1887333.97</v>
      </c>
      <c r="WY19" s="895">
        <f>'[1]Иные межбюджетные трансферты'!AM15</f>
        <v>94366.7</v>
      </c>
      <c r="WZ19" s="896">
        <f>'[1]Иные межбюджетные трансферты'!AO15</f>
        <v>1792967.27</v>
      </c>
      <c r="XA19" s="1050">
        <f t="shared" si="155"/>
        <v>1415501.04</v>
      </c>
      <c r="XB19" s="895">
        <v>70775.03</v>
      </c>
      <c r="XC19" s="896">
        <v>1344726.01</v>
      </c>
      <c r="XD19" s="1050">
        <f t="shared" si="156"/>
        <v>23941016</v>
      </c>
      <c r="XE19" s="895">
        <f>'[1]Иные межбюджетные трансферты'!K15</f>
        <v>11124208</v>
      </c>
      <c r="XF19" s="896">
        <f>'[1]Иные межбюджетные трансферты'!M15</f>
        <v>12816808</v>
      </c>
      <c r="XG19" s="1050">
        <f t="shared" si="242"/>
        <v>12816808</v>
      </c>
      <c r="XH19" s="882"/>
      <c r="XI19" s="896">
        <v>12816808</v>
      </c>
      <c r="XJ19" s="1050">
        <f t="shared" si="158"/>
        <v>0</v>
      </c>
      <c r="XK19" s="885"/>
      <c r="XL19" s="1050">
        <f t="shared" si="159"/>
        <v>0</v>
      </c>
      <c r="XM19" s="885"/>
      <c r="XN19" s="897">
        <f t="shared" si="160"/>
        <v>0</v>
      </c>
      <c r="XO19" s="862">
        <f>'[1]Иные межбюджетные трансферты'!O15</f>
        <v>0</v>
      </c>
      <c r="XP19" s="1050">
        <f t="shared" si="161"/>
        <v>0</v>
      </c>
      <c r="XQ19" s="866"/>
      <c r="XR19" s="1390">
        <f t="shared" si="162"/>
        <v>0</v>
      </c>
      <c r="XS19" s="879">
        <f t="shared" si="163"/>
        <v>0</v>
      </c>
      <c r="XT19" s="1390">
        <f t="shared" si="164"/>
        <v>0</v>
      </c>
      <c r="XU19" s="879">
        <f t="shared" si="165"/>
        <v>0</v>
      </c>
      <c r="XV19" s="1050">
        <f t="shared" si="243"/>
        <v>73138970.660000011</v>
      </c>
      <c r="XW19" s="883">
        <f>'[1]Иные межбюджетные трансферты'!E15</f>
        <v>0</v>
      </c>
      <c r="XX19" s="895">
        <f>'[1]Иные межбюджетные трансферты'!G15</f>
        <v>5649890</v>
      </c>
      <c r="XY19" s="882">
        <f>'[1]Иные межбюджетные трансферты'!S15</f>
        <v>0</v>
      </c>
      <c r="XZ19" s="883">
        <f>'[1]Иные межбюджетные трансферты'!Y15</f>
        <v>10085600</v>
      </c>
      <c r="YA19" s="882">
        <f>'[1]Иные межбюджетные трансферты'!AA15</f>
        <v>10085600</v>
      </c>
      <c r="YB19" s="1275">
        <f>'[1]Иные межбюджетные трансферты'!AG15</f>
        <v>38286526.810000002</v>
      </c>
      <c r="YC19" s="882">
        <f>'[1]Иные межбюджетные трансферты'!AU15</f>
        <v>0</v>
      </c>
      <c r="YD19" s="862">
        <f>'[1]Иные межбюджетные трансферты'!BA15</f>
        <v>1730413.71</v>
      </c>
      <c r="YE19" s="882">
        <f>'[1]Иные межбюджетные трансферты'!BC15</f>
        <v>3738335.4899999998</v>
      </c>
      <c r="YF19" s="1275">
        <f>'[1]Иные межбюджетные трансферты'!BE15</f>
        <v>3562604.65</v>
      </c>
      <c r="YG19" s="1050">
        <f t="shared" si="244"/>
        <v>27964673.989999998</v>
      </c>
      <c r="YH19" s="882"/>
      <c r="YI19" s="882">
        <v>5534915.6600000001</v>
      </c>
      <c r="YJ19" s="851"/>
      <c r="YK19" s="882"/>
      <c r="YL19" s="848">
        <f t="shared" si="245"/>
        <v>10085600</v>
      </c>
      <c r="YM19" s="848">
        <v>8781553.6799999997</v>
      </c>
      <c r="YN19" s="848"/>
      <c r="YO19" s="848"/>
      <c r="YP19" s="848"/>
      <c r="YQ19" s="848">
        <v>3562604.65</v>
      </c>
      <c r="YR19" s="1050">
        <f t="shared" si="166"/>
        <v>9029560.1999999993</v>
      </c>
      <c r="YS19" s="895">
        <f>'[1]Иные межбюджетные трансферты'!U15</f>
        <v>0</v>
      </c>
      <c r="YT19" s="882">
        <f>'[1]Иные межбюджетные трансферты'!AC15</f>
        <v>0</v>
      </c>
      <c r="YU19" s="1275">
        <f>'[1]Иные межбюджетные трансферты'!AI15</f>
        <v>5291224.71</v>
      </c>
      <c r="YV19" s="883">
        <f>'[1]Иные межбюджетные трансферты'!AW15</f>
        <v>0</v>
      </c>
      <c r="YW19" s="848">
        <f>'[1]Иные межбюджетные трансферты'!BG15</f>
        <v>3738335.4899999998</v>
      </c>
      <c r="YX19" s="1050">
        <f t="shared" si="167"/>
        <v>3738335.4899999998</v>
      </c>
      <c r="YY19" s="865"/>
      <c r="YZ19" s="865">
        <f t="shared" si="247"/>
        <v>0</v>
      </c>
      <c r="ZA19" s="865"/>
      <c r="ZB19" s="848"/>
      <c r="ZC19" s="848">
        <v>3738335.4899999998</v>
      </c>
      <c r="ZD19" s="879">
        <f t="shared" si="168"/>
        <v>9029560.1999999993</v>
      </c>
      <c r="ZE19" s="859">
        <f>'Проверочная  таблица'!YS19-ZQ19</f>
        <v>0</v>
      </c>
      <c r="ZF19" s="859">
        <f>'Проверочная  таблица'!YT19-ZR19</f>
        <v>0</v>
      </c>
      <c r="ZG19" s="859">
        <f>'Проверочная  таблица'!YU19-ZS19</f>
        <v>5291224.71</v>
      </c>
      <c r="ZH19" s="859">
        <f>'Проверочная  таблица'!YV19-ZT19</f>
        <v>0</v>
      </c>
      <c r="ZI19" s="859">
        <f>'Проверочная  таблица'!YW19-ZU19</f>
        <v>3738335.4899999998</v>
      </c>
      <c r="ZJ19" s="879">
        <f t="shared" si="169"/>
        <v>3738335.4899999998</v>
      </c>
      <c r="ZK19" s="859">
        <f>'Проверочная  таблица'!YY19-ZW19</f>
        <v>0</v>
      </c>
      <c r="ZL19" s="859">
        <f>'Проверочная  таблица'!YZ19-ZX19</f>
        <v>0</v>
      </c>
      <c r="ZM19" s="859">
        <f>'Проверочная  таблица'!ZA19-ZY19</f>
        <v>0</v>
      </c>
      <c r="ZN19" s="859">
        <f>'Проверочная  таблица'!ZB19-ZZ19</f>
        <v>0</v>
      </c>
      <c r="ZO19" s="859">
        <f>'Проверочная  таблица'!ZC19-AAA19</f>
        <v>3738335.4899999998</v>
      </c>
      <c r="ZP19" s="879">
        <f t="shared" si="170"/>
        <v>0</v>
      </c>
      <c r="ZQ19" s="895">
        <f>'[1]Иные межбюджетные трансферты'!W15</f>
        <v>0</v>
      </c>
      <c r="ZR19" s="895">
        <f>'[1]Иные межбюджетные трансферты'!AE15</f>
        <v>0</v>
      </c>
      <c r="ZS19" s="882"/>
      <c r="ZT19" s="883">
        <f>'[1]Иные межбюджетные трансферты'!AY15</f>
        <v>0</v>
      </c>
      <c r="ZU19" s="848"/>
      <c r="ZV19" s="879">
        <f t="shared" si="171"/>
        <v>0</v>
      </c>
      <c r="ZW19" s="865"/>
      <c r="ZX19" s="865">
        <f t="shared" si="248"/>
        <v>0</v>
      </c>
      <c r="ZY19" s="865"/>
      <c r="ZZ19" s="848"/>
      <c r="AAA19" s="848"/>
      <c r="AAB19" s="1050">
        <f>AAD19+'Проверочная  таблица'!AAL19+AAH19+'Проверочная  таблица'!AAP19+AAJ19+'Проверочная  таблица'!AAR19</f>
        <v>0</v>
      </c>
      <c r="AAC19" s="1050">
        <f>AAE19+'Проверочная  таблица'!AAM19+AAI19+'Проверочная  таблица'!AAQ19+AAK19+'Проверочная  таблица'!AAS19</f>
        <v>0</v>
      </c>
      <c r="AAD19" s="897"/>
      <c r="AAE19" s="897"/>
      <c r="AAF19" s="897"/>
      <c r="AAG19" s="897"/>
      <c r="AAH19" s="1373">
        <f t="shared" si="172"/>
        <v>0</v>
      </c>
      <c r="AAI19" s="879">
        <f t="shared" si="172"/>
        <v>0</v>
      </c>
      <c r="AAJ19" s="898"/>
      <c r="AAK19" s="879"/>
      <c r="AAL19" s="897"/>
      <c r="AAM19" s="897"/>
      <c r="AAN19" s="897"/>
      <c r="AAO19" s="897"/>
      <c r="AAP19" s="1373">
        <f t="shared" si="173"/>
        <v>0</v>
      </c>
      <c r="AAQ19" s="879">
        <f t="shared" si="173"/>
        <v>0</v>
      </c>
      <c r="AAR19" s="879"/>
      <c r="AAS19" s="879"/>
      <c r="AAT19" s="1384">
        <f>'Проверочная  таблица'!AAL19+'Проверочная  таблица'!AAN19</f>
        <v>0</v>
      </c>
      <c r="AAU19" s="1384">
        <f>'Проверочная  таблица'!AAM19+'Проверочная  таблица'!AAO19</f>
        <v>0</v>
      </c>
    </row>
    <row r="20" spans="1:723" ht="20.45" customHeight="1" x14ac:dyDescent="0.25">
      <c r="A20" s="899" t="s">
        <v>1289</v>
      </c>
      <c r="B20" s="897">
        <f>D20+AN20+'Проверочная  таблица'!VB20+'Проверочная  таблица'!WJ20</f>
        <v>837208874.96000004</v>
      </c>
      <c r="C20" s="1050">
        <f>E20+'Проверочная  таблица'!VE20+AO20+'Проверочная  таблица'!WK20</f>
        <v>575799512</v>
      </c>
      <c r="D20" s="1371">
        <f t="shared" si="0"/>
        <v>103508448.21000001</v>
      </c>
      <c r="E20" s="897">
        <f t="shared" si="1"/>
        <v>78321488</v>
      </c>
      <c r="F20" s="1376">
        <f>'[1]Дотация  из  ОБ_факт'!M14</f>
        <v>30656877</v>
      </c>
      <c r="G20" s="1385">
        <v>22992705</v>
      </c>
      <c r="H20" s="1376">
        <f>'[1]Дотация  из  ОБ_факт'!G14</f>
        <v>41624014.210000001</v>
      </c>
      <c r="I20" s="1385">
        <v>31642632</v>
      </c>
      <c r="J20" s="1386">
        <f t="shared" si="2"/>
        <v>41624014.210000001</v>
      </c>
      <c r="K20" s="1387">
        <f t="shared" si="2"/>
        <v>31642632</v>
      </c>
      <c r="L20" s="1386">
        <f>'[1]Дотация  из  ОБ_факт'!K14</f>
        <v>0</v>
      </c>
      <c r="M20" s="881"/>
      <c r="N20" s="1376">
        <f>'[1]Дотация  из  ОБ_факт'!Q14</f>
        <v>0</v>
      </c>
      <c r="O20" s="1385"/>
      <c r="P20" s="1399">
        <f>'[1]Дотация  из  ОБ_факт'!S14</f>
        <v>29856982</v>
      </c>
      <c r="Q20" s="1385">
        <v>22315576</v>
      </c>
      <c r="R20" s="1386">
        <f t="shared" si="3"/>
        <v>29856982</v>
      </c>
      <c r="S20" s="1387">
        <f t="shared" si="3"/>
        <v>22315576</v>
      </c>
      <c r="T20" s="1386">
        <f>'[1]Дотация  из  ОБ_факт'!W14</f>
        <v>0</v>
      </c>
      <c r="U20" s="881"/>
      <c r="V20" s="886">
        <f t="shared" si="4"/>
        <v>300000</v>
      </c>
      <c r="W20" s="1388">
        <f>'[1]Дотация  из  ОБ_факт'!AA14</f>
        <v>300000</v>
      </c>
      <c r="X20" s="1389">
        <f>'[1]Дотация  из  ОБ_факт'!AC14</f>
        <v>0</v>
      </c>
      <c r="Y20" s="1389">
        <f>'[1]Дотация  из  ОБ_факт'!AG14</f>
        <v>0</v>
      </c>
      <c r="Z20" s="887">
        <f t="shared" si="5"/>
        <v>300000</v>
      </c>
      <c r="AA20" s="848">
        <f t="shared" si="177"/>
        <v>300000</v>
      </c>
      <c r="AB20" s="848">
        <f t="shared" si="177"/>
        <v>0</v>
      </c>
      <c r="AC20" s="882"/>
      <c r="AD20" s="886">
        <f t="shared" si="6"/>
        <v>1070575</v>
      </c>
      <c r="AE20" s="1388">
        <f>'[1]Дотация  из  ОБ_факт'!Y14</f>
        <v>1070575</v>
      </c>
      <c r="AF20" s="1389">
        <f>'[1]Дотация  из  ОБ_факт'!AE14</f>
        <v>0</v>
      </c>
      <c r="AG20" s="886">
        <f t="shared" si="7"/>
        <v>1070575</v>
      </c>
      <c r="AH20" s="1359">
        <f t="shared" si="178"/>
        <v>1070575</v>
      </c>
      <c r="AI20" s="848">
        <f t="shared" si="179"/>
        <v>0</v>
      </c>
      <c r="AJ20" s="1386">
        <f t="shared" si="8"/>
        <v>1070575</v>
      </c>
      <c r="AK20" s="1387">
        <f t="shared" si="9"/>
        <v>1070575</v>
      </c>
      <c r="AL20" s="1386">
        <f>'[1]Дотация  из  ОБ_факт'!AE14</f>
        <v>0</v>
      </c>
      <c r="AM20" s="884"/>
      <c r="AN20" s="1012">
        <f>'Проверочная  таблица'!UT20+'Проверочная  таблица'!UV20+BL20+BN20+BZ20+CB20+AZ20+BD20+'Проверочная  таблица'!MT20+'Проверочная  таблица'!NJ20+'Проверочная  таблица'!DT20+'Проверочная  таблица'!OB20+DL20+'Проверочная  таблица'!JJ20+'Проверочная  таблица'!JP20+'Проверочная  таблица'!OJ20+'Проверочная  таблица'!OR20+JD20+AP20+AV20+ET20+EZ20+CN20+SP20+DZ20+TD20+PZ20+EF20+EN20+LN20+LV20+SJ20+GN20+RV20+QX20+KH20+KR20+RD20+SB20+CH20+QR20+HD20+FX20+HJ20+HP20+FR20+DB20+PP20+BT20+IH20+IX20+GV20+GD20+IN20</f>
        <v>90740927.629999995</v>
      </c>
      <c r="AO20" s="1013">
        <f>'Проверочная  таблица'!UU20+'Проверочная  таблица'!UW20+BM20+BO20+CA20+CC20+BB20+BF20+'Проверочная  таблица'!NB20+'Проверочная  таблица'!NM20+'Проверочная  таблица'!DW20+'Проверочная  таблица'!OF20+DP20+'Проверочная  таблица'!JM20+'Проверочная  таблица'!JS20+'Проверочная  таблица'!ON20+'Проверочная  таблица'!OV20+JG20+AS20+AX20+EW20+FC20+CU20+SW20+EC20+TK20+QC20+EJ20+EQ20+LR20+LZ20+SM20+GR20+RY20+RA20+KM20+KW20+RG20+SF20+CK20+QU20+HG20+GA20+HM20+HS20+FU20+DE20+PU20+BW20+IK20+JA20+GX20+GG20+IQ20</f>
        <v>48037440.849999994</v>
      </c>
      <c r="AP20" s="1014">
        <f t="shared" si="10"/>
        <v>0</v>
      </c>
      <c r="AQ20" s="885">
        <f>[1]Субсидия_факт!HV16</f>
        <v>0</v>
      </c>
      <c r="AR20" s="866">
        <f>[1]Субсидия_факт!MR16</f>
        <v>0</v>
      </c>
      <c r="AS20" s="1014">
        <f t="shared" si="11"/>
        <v>0</v>
      </c>
      <c r="AT20" s="866"/>
      <c r="AU20" s="885"/>
      <c r="AV20" s="1003">
        <f t="shared" si="12"/>
        <v>0</v>
      </c>
      <c r="AW20" s="866">
        <f>[1]Субсидия_факт!MV16</f>
        <v>0</v>
      </c>
      <c r="AX20" s="1360">
        <f t="shared" si="13"/>
        <v>0</v>
      </c>
      <c r="AY20" s="866"/>
      <c r="AZ20" s="897">
        <f t="shared" si="14"/>
        <v>0</v>
      </c>
      <c r="BA20" s="866">
        <f>[1]Субсидия_факт!KZ16</f>
        <v>0</v>
      </c>
      <c r="BB20" s="1050">
        <f t="shared" si="15"/>
        <v>0</v>
      </c>
      <c r="BC20" s="866"/>
      <c r="BD20" s="897">
        <f t="shared" si="16"/>
        <v>0</v>
      </c>
      <c r="BE20" s="866">
        <f>[1]Субсидия_факт!LB16</f>
        <v>0</v>
      </c>
      <c r="BF20" s="1050">
        <f t="shared" si="17"/>
        <v>0</v>
      </c>
      <c r="BG20" s="866"/>
      <c r="BH20" s="1373">
        <f t="shared" si="18"/>
        <v>0</v>
      </c>
      <c r="BI20" s="879">
        <f t="shared" si="19"/>
        <v>0</v>
      </c>
      <c r="BJ20" s="1390">
        <f t="shared" si="20"/>
        <v>0</v>
      </c>
      <c r="BK20" s="1373">
        <f t="shared" si="21"/>
        <v>0</v>
      </c>
      <c r="BL20" s="897">
        <f>[1]Субсидия_факт!GV16</f>
        <v>0</v>
      </c>
      <c r="BM20" s="886"/>
      <c r="BN20" s="1391">
        <f>[1]Субсидия_факт!GX16</f>
        <v>0</v>
      </c>
      <c r="BO20" s="887"/>
      <c r="BP20" s="1390">
        <f t="shared" si="22"/>
        <v>0</v>
      </c>
      <c r="BQ20" s="1373">
        <f t="shared" si="22"/>
        <v>0</v>
      </c>
      <c r="BR20" s="879">
        <f>[1]Субсидия_факт!GZ16</f>
        <v>0</v>
      </c>
      <c r="BS20" s="881"/>
      <c r="BT20" s="939">
        <f t="shared" si="23"/>
        <v>0</v>
      </c>
      <c r="BU20" s="862">
        <f>[1]Субсидия_факт!HL16</f>
        <v>0</v>
      </c>
      <c r="BV20" s="866">
        <f>[1]Субсидия_факт!HN16</f>
        <v>0</v>
      </c>
      <c r="BW20" s="1014">
        <f t="shared" si="24"/>
        <v>0</v>
      </c>
      <c r="BX20" s="866"/>
      <c r="BY20" s="866"/>
      <c r="BZ20" s="1050">
        <f>[1]Субсидия_факт!HB16</f>
        <v>0</v>
      </c>
      <c r="CA20" s="888"/>
      <c r="CB20" s="1050">
        <f>[1]Субсидия_факт!HD16</f>
        <v>0</v>
      </c>
      <c r="CC20" s="887"/>
      <c r="CD20" s="1367">
        <f t="shared" si="25"/>
        <v>0</v>
      </c>
      <c r="CE20" s="878">
        <f t="shared" si="25"/>
        <v>0</v>
      </c>
      <c r="CF20" s="1368">
        <f>[1]Субсидия_факт!HF16</f>
        <v>0</v>
      </c>
      <c r="CG20" s="849"/>
      <c r="CH20" s="939">
        <f t="shared" si="26"/>
        <v>0</v>
      </c>
      <c r="CI20" s="862">
        <f>[1]Субсидия_факт!HP16</f>
        <v>0</v>
      </c>
      <c r="CJ20" s="866">
        <f>[1]Субсидия_факт!HR16</f>
        <v>0</v>
      </c>
      <c r="CK20" s="1014">
        <f t="shared" si="27"/>
        <v>0</v>
      </c>
      <c r="CL20" s="866"/>
      <c r="CM20" s="866"/>
      <c r="CN20" s="1003">
        <f t="shared" si="28"/>
        <v>0</v>
      </c>
      <c r="CO20" s="859">
        <f>[1]Субсидия_факт!LR16</f>
        <v>0</v>
      </c>
      <c r="CP20" s="858">
        <f>[1]Субсидия_факт!LT16</f>
        <v>0</v>
      </c>
      <c r="CQ20" s="850">
        <f>[1]Субсидия_факт!LV16</f>
        <v>0</v>
      </c>
      <c r="CR20" s="858">
        <f>[1]Субсидия_факт!MB16</f>
        <v>0</v>
      </c>
      <c r="CS20" s="850">
        <f>[1]Субсидия_факт!MH16</f>
        <v>0</v>
      </c>
      <c r="CT20" s="858">
        <f>[1]Субсидия_факт!MJ16</f>
        <v>0</v>
      </c>
      <c r="CU20" s="1003">
        <f t="shared" si="29"/>
        <v>0</v>
      </c>
      <c r="CV20" s="851"/>
      <c r="CW20" s="858"/>
      <c r="CX20" s="850"/>
      <c r="CY20" s="858"/>
      <c r="CZ20" s="850"/>
      <c r="DA20" s="858"/>
      <c r="DB20" s="1013">
        <f t="shared" si="205"/>
        <v>0</v>
      </c>
      <c r="DC20" s="859">
        <f>[1]Субсидия_факт!LX16</f>
        <v>0</v>
      </c>
      <c r="DD20" s="858">
        <f>[1]Субсидия_факт!MD16</f>
        <v>0</v>
      </c>
      <c r="DE20" s="1003">
        <f t="shared" si="31"/>
        <v>0</v>
      </c>
      <c r="DF20" s="859"/>
      <c r="DG20" s="860"/>
      <c r="DH20" s="1367">
        <f t="shared" si="206"/>
        <v>0</v>
      </c>
      <c r="DI20" s="878">
        <f t="shared" si="207"/>
        <v>0</v>
      </c>
      <c r="DJ20" s="1368">
        <f t="shared" si="208"/>
        <v>0</v>
      </c>
      <c r="DK20" s="849">
        <f t="shared" si="209"/>
        <v>0</v>
      </c>
      <c r="DL20" s="1050">
        <f t="shared" si="210"/>
        <v>0</v>
      </c>
      <c r="DM20" s="885">
        <f>[1]Субсидия_факт!R16</f>
        <v>0</v>
      </c>
      <c r="DN20" s="862">
        <f>[1]Субсидия_факт!T16</f>
        <v>0</v>
      </c>
      <c r="DO20" s="866">
        <f>[1]Субсидия_факт!V16</f>
        <v>0</v>
      </c>
      <c r="DP20" s="1050">
        <f t="shared" si="211"/>
        <v>0</v>
      </c>
      <c r="DQ20" s="902"/>
      <c r="DR20" s="902"/>
      <c r="DS20" s="902"/>
      <c r="DT20" s="939">
        <f t="shared" si="32"/>
        <v>0</v>
      </c>
      <c r="DU20" s="862">
        <f>[1]Субсидия_факт!AX16</f>
        <v>0</v>
      </c>
      <c r="DV20" s="863">
        <f>[1]Субсидия_факт!AZ16</f>
        <v>0</v>
      </c>
      <c r="DW20" s="1050">
        <f t="shared" si="33"/>
        <v>0</v>
      </c>
      <c r="DX20" s="885"/>
      <c r="DY20" s="889"/>
      <c r="DZ20" s="897">
        <f t="shared" si="34"/>
        <v>0</v>
      </c>
      <c r="EA20" s="862">
        <f>[1]Субсидия_факт!X16</f>
        <v>0</v>
      </c>
      <c r="EB20" s="863">
        <f>[1]Субсидия_факт!Z16</f>
        <v>0</v>
      </c>
      <c r="EC20" s="1050">
        <f t="shared" si="35"/>
        <v>0</v>
      </c>
      <c r="ED20" s="862"/>
      <c r="EE20" s="863"/>
      <c r="EF20" s="1013">
        <f t="shared" si="212"/>
        <v>0</v>
      </c>
      <c r="EG20" s="859">
        <f>[1]Субсидия_факт!AP16</f>
        <v>0</v>
      </c>
      <c r="EH20" s="859">
        <f>[1]Субсидия_факт!AL16</f>
        <v>0</v>
      </c>
      <c r="EI20" s="860">
        <f>[1]Субсидия_факт!AN16</f>
        <v>0</v>
      </c>
      <c r="EJ20" s="1013">
        <f t="shared" si="36"/>
        <v>0</v>
      </c>
      <c r="EK20" s="859"/>
      <c r="EL20" s="859"/>
      <c r="EM20" s="860"/>
      <c r="EN20" s="1013">
        <f t="shared" si="37"/>
        <v>0</v>
      </c>
      <c r="EO20" s="859">
        <f>[1]Субсидия_факт!HH16</f>
        <v>0</v>
      </c>
      <c r="EP20" s="858">
        <f>[1]Субсидия_факт!HJ16</f>
        <v>0</v>
      </c>
      <c r="EQ20" s="1003">
        <f t="shared" si="38"/>
        <v>0</v>
      </c>
      <c r="ER20" s="859"/>
      <c r="ES20" s="858"/>
      <c r="ET20" s="1013">
        <f t="shared" si="39"/>
        <v>0</v>
      </c>
      <c r="EU20" s="862">
        <f>[1]Субсидия_факт!PK16</f>
        <v>0</v>
      </c>
      <c r="EV20" s="863">
        <f>[1]Субсидия_факт!PQ16</f>
        <v>0</v>
      </c>
      <c r="EW20" s="1003">
        <f t="shared" si="40"/>
        <v>0</v>
      </c>
      <c r="EX20" s="859"/>
      <c r="EY20" s="860"/>
      <c r="EZ20" s="1013">
        <f t="shared" si="41"/>
        <v>768475.59</v>
      </c>
      <c r="FA20" s="859">
        <f>[1]Субсидия_факт!PM16</f>
        <v>200582.08999999997</v>
      </c>
      <c r="FB20" s="858">
        <f>[1]Субсидия_факт!PS16</f>
        <v>567893.5</v>
      </c>
      <c r="FC20" s="1003">
        <f t="shared" si="42"/>
        <v>768475.58</v>
      </c>
      <c r="FD20" s="859">
        <f>FA20</f>
        <v>200582.08999999997</v>
      </c>
      <c r="FE20" s="860">
        <v>567893.49</v>
      </c>
      <c r="FF20" s="1369">
        <f t="shared" si="43"/>
        <v>768475.59</v>
      </c>
      <c r="FG20" s="859">
        <f t="shared" si="44"/>
        <v>200582.08999999997</v>
      </c>
      <c r="FH20" s="858">
        <f t="shared" si="44"/>
        <v>567893.5</v>
      </c>
      <c r="FI20" s="878">
        <f t="shared" si="45"/>
        <v>768475.58</v>
      </c>
      <c r="FJ20" s="859">
        <f t="shared" si="46"/>
        <v>200582.08999999997</v>
      </c>
      <c r="FK20" s="858">
        <f t="shared" si="46"/>
        <v>567893.49</v>
      </c>
      <c r="FL20" s="1369">
        <f t="shared" si="47"/>
        <v>0</v>
      </c>
      <c r="FM20" s="859">
        <f>[1]Субсидия_факт!PO16</f>
        <v>0</v>
      </c>
      <c r="FN20" s="858">
        <f>[1]Субсидия_факт!PU16</f>
        <v>0</v>
      </c>
      <c r="FO20" s="878">
        <f t="shared" si="48"/>
        <v>0</v>
      </c>
      <c r="FP20" s="859"/>
      <c r="FQ20" s="860"/>
      <c r="FR20" s="1013">
        <f t="shared" si="49"/>
        <v>0</v>
      </c>
      <c r="FS20" s="862">
        <f>[1]Субсидия_факт!EP16</f>
        <v>0</v>
      </c>
      <c r="FT20" s="863">
        <f>[1]Субсидия_факт!ER16</f>
        <v>0</v>
      </c>
      <c r="FU20" s="1371">
        <f t="shared" si="50"/>
        <v>0</v>
      </c>
      <c r="FV20" s="862"/>
      <c r="FW20" s="863"/>
      <c r="FX20" s="939">
        <f t="shared" si="51"/>
        <v>0</v>
      </c>
      <c r="FY20" s="862">
        <f>[1]Субсидия_факт!JN16</f>
        <v>0</v>
      </c>
      <c r="FZ20" s="863">
        <f>[1]Субсидия_факт!JP16</f>
        <v>0</v>
      </c>
      <c r="GA20" s="897">
        <f t="shared" si="52"/>
        <v>0</v>
      </c>
      <c r="GB20" s="862"/>
      <c r="GC20" s="863"/>
      <c r="GD20" s="1233">
        <f t="shared" si="53"/>
        <v>0</v>
      </c>
      <c r="GE20" s="859">
        <f>[1]Субсидия_факт!JR16</f>
        <v>0</v>
      </c>
      <c r="GF20" s="860">
        <f>[1]Субсидия_факт!JV16</f>
        <v>0</v>
      </c>
      <c r="GG20" s="1372">
        <f t="shared" si="54"/>
        <v>0</v>
      </c>
      <c r="GH20" s="862"/>
      <c r="GI20" s="889"/>
      <c r="GJ20" s="1373">
        <f t="shared" si="213"/>
        <v>0</v>
      </c>
      <c r="GK20" s="879">
        <f t="shared" si="214"/>
        <v>0</v>
      </c>
      <c r="GL20" s="1390">
        <f t="shared" si="215"/>
        <v>0</v>
      </c>
      <c r="GM20" s="879">
        <f t="shared" si="216"/>
        <v>0</v>
      </c>
      <c r="GN20" s="1371">
        <f t="shared" si="55"/>
        <v>0</v>
      </c>
      <c r="GO20" s="862">
        <f>[1]Субсидия_факт!KL16</f>
        <v>0</v>
      </c>
      <c r="GP20" s="863">
        <f>[1]Субсидия_факт!KN16</f>
        <v>0</v>
      </c>
      <c r="GQ20" s="862">
        <f>[1]Субсидия_факт!KP16</f>
        <v>0</v>
      </c>
      <c r="GR20" s="897">
        <f t="shared" si="56"/>
        <v>0</v>
      </c>
      <c r="GS20" s="862"/>
      <c r="GT20" s="863"/>
      <c r="GU20" s="866"/>
      <c r="GV20" s="1372">
        <f t="shared" si="217"/>
        <v>0</v>
      </c>
      <c r="GW20" s="862">
        <f>[1]Субсидия_факт!KR16</f>
        <v>0</v>
      </c>
      <c r="GX20" s="1372">
        <f t="shared" si="217"/>
        <v>0</v>
      </c>
      <c r="GY20" s="866"/>
      <c r="GZ20" s="1373">
        <f t="shared" si="218"/>
        <v>0</v>
      </c>
      <c r="HA20" s="1373">
        <f t="shared" si="219"/>
        <v>0</v>
      </c>
      <c r="HB20" s="1373">
        <f t="shared" si="220"/>
        <v>0</v>
      </c>
      <c r="HC20" s="1373">
        <f t="shared" si="221"/>
        <v>0</v>
      </c>
      <c r="HD20" s="939">
        <f t="shared" si="57"/>
        <v>0</v>
      </c>
      <c r="HE20" s="862">
        <f>[1]Субсидия_факт!KV16</f>
        <v>0</v>
      </c>
      <c r="HF20" s="863">
        <f>[1]Субсидия_факт!KX16</f>
        <v>0</v>
      </c>
      <c r="HG20" s="1050">
        <f t="shared" si="58"/>
        <v>0</v>
      </c>
      <c r="HH20" s="862"/>
      <c r="HI20" s="863"/>
      <c r="HJ20" s="939">
        <f t="shared" si="59"/>
        <v>0</v>
      </c>
      <c r="HK20" s="862"/>
      <c r="HL20" s="863"/>
      <c r="HM20" s="1050">
        <f t="shared" si="60"/>
        <v>0</v>
      </c>
      <c r="HN20" s="862"/>
      <c r="HO20" s="863"/>
      <c r="HP20" s="939">
        <f t="shared" si="61"/>
        <v>0</v>
      </c>
      <c r="HQ20" s="862">
        <f>[1]Субсидия_факт!FV16</f>
        <v>0</v>
      </c>
      <c r="HR20" s="863">
        <f>[1]Субсидия_факт!FZ16</f>
        <v>0</v>
      </c>
      <c r="HS20" s="1050">
        <f t="shared" si="62"/>
        <v>0</v>
      </c>
      <c r="HT20" s="862"/>
      <c r="HU20" s="863"/>
      <c r="HV20" s="1369">
        <f t="shared" si="63"/>
        <v>0</v>
      </c>
      <c r="HW20" s="859">
        <f t="shared" si="64"/>
        <v>0</v>
      </c>
      <c r="HX20" s="858">
        <f t="shared" si="64"/>
        <v>0</v>
      </c>
      <c r="HY20" s="878">
        <f t="shared" si="65"/>
        <v>0</v>
      </c>
      <c r="HZ20" s="859">
        <f t="shared" si="66"/>
        <v>0</v>
      </c>
      <c r="IA20" s="858">
        <f t="shared" si="66"/>
        <v>0</v>
      </c>
      <c r="IB20" s="1369">
        <f t="shared" si="67"/>
        <v>0</v>
      </c>
      <c r="IC20" s="859">
        <f>[1]Субсидия_факт!FX16</f>
        <v>0</v>
      </c>
      <c r="ID20" s="858">
        <f>[1]Субсидия_факт!GB16</f>
        <v>0</v>
      </c>
      <c r="IE20" s="878">
        <f t="shared" si="68"/>
        <v>0</v>
      </c>
      <c r="IF20" s="859">
        <f t="shared" si="187"/>
        <v>0</v>
      </c>
      <c r="IG20" s="860">
        <f t="shared" si="188"/>
        <v>0</v>
      </c>
      <c r="IH20" s="939">
        <f t="shared" si="69"/>
        <v>0</v>
      </c>
      <c r="II20" s="859">
        <f>[1]Субсидия_факт!ED16</f>
        <v>0</v>
      </c>
      <c r="IJ20" s="860">
        <f>[1]Субсидия_факт!EF16</f>
        <v>0</v>
      </c>
      <c r="IK20" s="1050">
        <f t="shared" si="70"/>
        <v>0</v>
      </c>
      <c r="IL20" s="862"/>
      <c r="IM20" s="863"/>
      <c r="IN20" s="1233">
        <f t="shared" si="71"/>
        <v>0</v>
      </c>
      <c r="IO20" s="859">
        <f>[1]Субсидия_факт!EH16</f>
        <v>0</v>
      </c>
      <c r="IP20" s="860">
        <f>[1]Субсидия_факт!EL16</f>
        <v>0</v>
      </c>
      <c r="IQ20" s="1392">
        <f t="shared" si="72"/>
        <v>0</v>
      </c>
      <c r="IR20" s="862"/>
      <c r="IS20" s="889"/>
      <c r="IT20" s="1373">
        <f t="shared" si="222"/>
        <v>0</v>
      </c>
      <c r="IU20" s="1373">
        <f t="shared" si="223"/>
        <v>0</v>
      </c>
      <c r="IV20" s="1373">
        <f t="shared" si="224"/>
        <v>0</v>
      </c>
      <c r="IW20" s="879">
        <f t="shared" si="225"/>
        <v>0</v>
      </c>
      <c r="IX20" s="1398">
        <f t="shared" si="73"/>
        <v>0</v>
      </c>
      <c r="IY20" s="859">
        <f>[1]Субсидия_факт!BX16</f>
        <v>0</v>
      </c>
      <c r="IZ20" s="860">
        <f>[1]Субсидия_факт!BZ16</f>
        <v>0</v>
      </c>
      <c r="JA20" s="1050">
        <f t="shared" si="74"/>
        <v>0</v>
      </c>
      <c r="JB20" s="862"/>
      <c r="JC20" s="863"/>
      <c r="JD20" s="939">
        <f t="shared" si="75"/>
        <v>0</v>
      </c>
      <c r="JE20" s="862">
        <f>[1]Субсидия_факт!ET16</f>
        <v>0</v>
      </c>
      <c r="JF20" s="863">
        <f>[1]Субсидия_факт!EV16</f>
        <v>0</v>
      </c>
      <c r="JG20" s="1050">
        <f t="shared" si="76"/>
        <v>0</v>
      </c>
      <c r="JH20" s="862"/>
      <c r="JI20" s="863"/>
      <c r="JJ20" s="1003">
        <f t="shared" si="77"/>
        <v>0</v>
      </c>
      <c r="JK20" s="859">
        <f>[1]Субсидия_факт!EX16</f>
        <v>0</v>
      </c>
      <c r="JL20" s="858">
        <f>[1]Субсидия_факт!FD16</f>
        <v>0</v>
      </c>
      <c r="JM20" s="1003">
        <f t="shared" si="78"/>
        <v>0</v>
      </c>
      <c r="JN20" s="859"/>
      <c r="JO20" s="860"/>
      <c r="JP20" s="1003">
        <f t="shared" si="79"/>
        <v>0</v>
      </c>
      <c r="JQ20" s="859">
        <f>[1]Субсидия_факт!EZ16</f>
        <v>0</v>
      </c>
      <c r="JR20" s="860">
        <f>[1]Субсидия_факт!FF16</f>
        <v>0</v>
      </c>
      <c r="JS20" s="1003">
        <f t="shared" si="80"/>
        <v>0</v>
      </c>
      <c r="JT20" s="850"/>
      <c r="JU20" s="864"/>
      <c r="JV20" s="1003">
        <f t="shared" si="81"/>
        <v>-157855.43</v>
      </c>
      <c r="JW20" s="851">
        <f>'Проверочная  таблица'!JQ20-'Проверочная  таблица'!KC20</f>
        <v>-41042.409999999989</v>
      </c>
      <c r="JX20" s="860">
        <f>'Проверочная  таблица'!JR20-'Проверочная  таблица'!KD20</f>
        <v>-116813.02</v>
      </c>
      <c r="JY20" s="1368">
        <f t="shared" si="82"/>
        <v>0</v>
      </c>
      <c r="JZ20" s="850">
        <f>'Проверочная  таблица'!JT20-'Проверочная  таблица'!KF20</f>
        <v>0</v>
      </c>
      <c r="KA20" s="867">
        <f>'Проверочная  таблица'!JU20-'Проверочная  таблица'!KG20</f>
        <v>0</v>
      </c>
      <c r="KB20" s="1003">
        <f t="shared" si="83"/>
        <v>157855.43</v>
      </c>
      <c r="KC20" s="859">
        <f>[1]Субсидия_факт!FB16</f>
        <v>41042.409999999989</v>
      </c>
      <c r="KD20" s="858">
        <f>[1]Субсидия_факт!FH16</f>
        <v>116813.02</v>
      </c>
      <c r="KE20" s="878">
        <f t="shared" si="84"/>
        <v>0</v>
      </c>
      <c r="KF20" s="859"/>
      <c r="KG20" s="860"/>
      <c r="KH20" s="1352">
        <f t="shared" si="226"/>
        <v>1490803.32</v>
      </c>
      <c r="KI20" s="850">
        <f>[1]Субсидия_факт!OD16</f>
        <v>941710</v>
      </c>
      <c r="KJ20" s="860">
        <f>[1]Субсидия_факт!OJ16</f>
        <v>414283.32</v>
      </c>
      <c r="KK20" s="850">
        <f>[1]Субсидия_факт!OR16</f>
        <v>49009.86</v>
      </c>
      <c r="KL20" s="860">
        <f>[1]Субсидия_факт!OT16</f>
        <v>85800.14</v>
      </c>
      <c r="KM20" s="1352">
        <f t="shared" si="85"/>
        <v>0</v>
      </c>
      <c r="KN20" s="850"/>
      <c r="KO20" s="860"/>
      <c r="KP20" s="850"/>
      <c r="KQ20" s="860"/>
      <c r="KR20" s="1352">
        <f t="shared" si="227"/>
        <v>49120</v>
      </c>
      <c r="KS20" s="885">
        <f>[1]Субсидия_факт!OF16</f>
        <v>49120</v>
      </c>
      <c r="KT20" s="863">
        <f>[1]Субсидия_факт!OL16</f>
        <v>0</v>
      </c>
      <c r="KU20" s="885"/>
      <c r="KV20" s="863"/>
      <c r="KW20" s="1352">
        <f t="shared" si="86"/>
        <v>0</v>
      </c>
      <c r="KX20" s="850"/>
      <c r="KY20" s="860"/>
      <c r="KZ20" s="850"/>
      <c r="LA20" s="860"/>
      <c r="LB20" s="1354">
        <f t="shared" si="87"/>
        <v>-36570</v>
      </c>
      <c r="LC20" s="885">
        <f t="shared" si="88"/>
        <v>-36570</v>
      </c>
      <c r="LD20" s="863">
        <f t="shared" si="88"/>
        <v>0</v>
      </c>
      <c r="LE20" s="1354">
        <f t="shared" si="89"/>
        <v>0</v>
      </c>
      <c r="LF20" s="885">
        <f t="shared" si="90"/>
        <v>0</v>
      </c>
      <c r="LG20" s="863">
        <f t="shared" si="90"/>
        <v>0</v>
      </c>
      <c r="LH20" s="1354">
        <f t="shared" si="91"/>
        <v>85690</v>
      </c>
      <c r="LI20" s="859">
        <f>[1]Субсидия_факт!OH16</f>
        <v>85690</v>
      </c>
      <c r="LJ20" s="858">
        <f>[1]Субсидия_факт!ON16</f>
        <v>0</v>
      </c>
      <c r="LK20" s="1354">
        <f t="shared" si="92"/>
        <v>0</v>
      </c>
      <c r="LL20" s="851"/>
      <c r="LM20" s="860"/>
      <c r="LN20" s="1050">
        <f t="shared" si="228"/>
        <v>0</v>
      </c>
      <c r="LO20" s="865">
        <f>[1]Субсидия_факт!DP16</f>
        <v>0</v>
      </c>
      <c r="LP20" s="850">
        <f>[1]Субсидия_факт!CB16</f>
        <v>0</v>
      </c>
      <c r="LQ20" s="860">
        <f>[1]Субсидия_факт!CH16</f>
        <v>0</v>
      </c>
      <c r="LR20" s="1050">
        <f t="shared" si="93"/>
        <v>0</v>
      </c>
      <c r="LS20" s="865"/>
      <c r="LT20" s="850"/>
      <c r="LU20" s="860"/>
      <c r="LV20" s="1050">
        <f t="shared" si="229"/>
        <v>0</v>
      </c>
      <c r="LW20" s="865">
        <f>[1]Субсидия_факт!DR16</f>
        <v>0</v>
      </c>
      <c r="LX20" s="850">
        <f>[1]Субсидия_факт!CD16</f>
        <v>0</v>
      </c>
      <c r="LY20" s="860">
        <f>[1]Субсидия_факт!CJ16</f>
        <v>0</v>
      </c>
      <c r="LZ20" s="1050">
        <f t="shared" si="94"/>
        <v>0</v>
      </c>
      <c r="MA20" s="865"/>
      <c r="MB20" s="850"/>
      <c r="MC20" s="858"/>
      <c r="MD20" s="879">
        <f t="shared" si="95"/>
        <v>0</v>
      </c>
      <c r="ME20" s="862">
        <f>'Проверочная  таблица'!LW20-MM20</f>
        <v>0</v>
      </c>
      <c r="MF20" s="862">
        <f>'Проверочная  таблица'!LX20-MN20</f>
        <v>0</v>
      </c>
      <c r="MG20" s="863">
        <f>'Проверочная  таблица'!LY20-MO20</f>
        <v>0</v>
      </c>
      <c r="MH20" s="879">
        <f t="shared" si="96"/>
        <v>0</v>
      </c>
      <c r="MI20" s="862">
        <f>'Проверочная  таблица'!MA20-MQ20</f>
        <v>0</v>
      </c>
      <c r="MJ20" s="862">
        <f>'Проверочная  таблица'!MB20-MR20</f>
        <v>0</v>
      </c>
      <c r="MK20" s="863">
        <f>'Проверочная  таблица'!MC20-MS20</f>
        <v>0</v>
      </c>
      <c r="ML20" s="879">
        <f t="shared" si="97"/>
        <v>0</v>
      </c>
      <c r="MM20" s="850">
        <f>[1]Субсидия_факт!DT16</f>
        <v>0</v>
      </c>
      <c r="MN20" s="850">
        <f>[1]Субсидия_факт!CF16</f>
        <v>0</v>
      </c>
      <c r="MO20" s="860">
        <f>[1]Субсидия_факт!CL16</f>
        <v>0</v>
      </c>
      <c r="MP20" s="879">
        <f t="shared" si="98"/>
        <v>0</v>
      </c>
      <c r="MQ20" s="850"/>
      <c r="MR20" s="850"/>
      <c r="MS20" s="860"/>
      <c r="MT20" s="1360">
        <f t="shared" si="230"/>
        <v>157855.43</v>
      </c>
      <c r="MU20" s="850">
        <f>[1]Субсидия_факт!CN16</f>
        <v>0</v>
      </c>
      <c r="MV20" s="858">
        <f>[1]Субсидия_факт!CP16</f>
        <v>0</v>
      </c>
      <c r="MW20" s="862">
        <f>[1]Субсидия_факт!CR16</f>
        <v>0</v>
      </c>
      <c r="MX20" s="863">
        <f>[1]Субсидия_факт!CT16</f>
        <v>0</v>
      </c>
      <c r="MY20" s="851">
        <f>[1]Субсидия_факт!DV16</f>
        <v>0</v>
      </c>
      <c r="MZ20" s="859">
        <f>[1]Субсидия_факт!FJ16</f>
        <v>41042.409999999989</v>
      </c>
      <c r="NA20" s="858">
        <f>[1]Субсидия_факт!FP16</f>
        <v>116813.02</v>
      </c>
      <c r="NB20" s="1003">
        <f t="shared" si="99"/>
        <v>157855.43</v>
      </c>
      <c r="NC20" s="850"/>
      <c r="ND20" s="860"/>
      <c r="NE20" s="866"/>
      <c r="NF20" s="890"/>
      <c r="NG20" s="850"/>
      <c r="NH20" s="850">
        <f>MZ20</f>
        <v>41042.409999999989</v>
      </c>
      <c r="NI20" s="860">
        <f>NA20</f>
        <v>116813.02</v>
      </c>
      <c r="NJ20" s="1003">
        <f t="shared" si="231"/>
        <v>0</v>
      </c>
      <c r="NK20" s="859">
        <f>[1]Субсидия_факт!FL16</f>
        <v>0</v>
      </c>
      <c r="NL20" s="858">
        <f>[1]Субсидия_факт!FR16</f>
        <v>0</v>
      </c>
      <c r="NM20" s="1003">
        <f t="shared" si="101"/>
        <v>0</v>
      </c>
      <c r="NN20" s="851"/>
      <c r="NO20" s="860"/>
      <c r="NP20" s="878">
        <f t="shared" si="102"/>
        <v>0</v>
      </c>
      <c r="NQ20" s="859">
        <f>'Проверочная  таблица'!NK20-NW20</f>
        <v>0</v>
      </c>
      <c r="NR20" s="860">
        <f>'Проверочная  таблица'!NL20-NX20</f>
        <v>0</v>
      </c>
      <c r="NS20" s="878">
        <f t="shared" si="103"/>
        <v>0</v>
      </c>
      <c r="NT20" s="850">
        <f>'Проверочная  таблица'!NN20-NZ20</f>
        <v>0</v>
      </c>
      <c r="NU20" s="867">
        <f>'Проверочная  таблица'!NO20-OA20</f>
        <v>0</v>
      </c>
      <c r="NV20" s="878">
        <f t="shared" si="232"/>
        <v>0</v>
      </c>
      <c r="NW20" s="859">
        <f>[1]Субсидия_факт!FN16</f>
        <v>0</v>
      </c>
      <c r="NX20" s="858">
        <f>[1]Субсидия_факт!FT16</f>
        <v>0</v>
      </c>
      <c r="NY20" s="878">
        <f t="shared" si="104"/>
        <v>0</v>
      </c>
      <c r="NZ20" s="850"/>
      <c r="OA20" s="860"/>
      <c r="OB20" s="1012">
        <f t="shared" si="233"/>
        <v>0</v>
      </c>
      <c r="OC20" s="859">
        <f>[1]Субсидия_факт!AR16</f>
        <v>0</v>
      </c>
      <c r="OD20" s="858">
        <f>[1]Субсидия_факт!AT16</f>
        <v>0</v>
      </c>
      <c r="OE20" s="859">
        <f>[1]Субсидия_факт!AV16</f>
        <v>0</v>
      </c>
      <c r="OF20" s="1050">
        <f t="shared" si="105"/>
        <v>0</v>
      </c>
      <c r="OG20" s="866"/>
      <c r="OH20" s="863"/>
      <c r="OI20" s="866"/>
      <c r="OJ20" s="1376">
        <f t="shared" si="106"/>
        <v>18504809.469999999</v>
      </c>
      <c r="OK20" s="859">
        <f>[1]Субсидия_факт!GD16</f>
        <v>0</v>
      </c>
      <c r="OL20" s="858">
        <f>[1]Субсидия_факт!GJ16</f>
        <v>18504809.469999999</v>
      </c>
      <c r="OM20" s="866">
        <f>[1]Субсидия_факт!GP16</f>
        <v>0</v>
      </c>
      <c r="ON20" s="1376">
        <f t="shared" si="107"/>
        <v>0</v>
      </c>
      <c r="OO20" s="851"/>
      <c r="OP20" s="860"/>
      <c r="OQ20" s="850"/>
      <c r="OR20" s="1352">
        <f t="shared" si="234"/>
        <v>18504809.469999999</v>
      </c>
      <c r="OS20" s="859">
        <f>[1]Субсидия_факт!GF16</f>
        <v>0</v>
      </c>
      <c r="OT20" s="858">
        <f>[1]Субсидия_факт!GL16</f>
        <v>0</v>
      </c>
      <c r="OU20" s="850">
        <f>[1]Субсидия_факт!GR16</f>
        <v>18504809.469999999</v>
      </c>
      <c r="OV20" s="1352">
        <f t="shared" si="108"/>
        <v>18504809.469999999</v>
      </c>
      <c r="OW20" s="850"/>
      <c r="OX20" s="867"/>
      <c r="OY20" s="850">
        <v>18504809.469999999</v>
      </c>
      <c r="OZ20" s="1354">
        <f t="shared" si="109"/>
        <v>18504809.469999999</v>
      </c>
      <c r="PA20" s="885">
        <f>'Проверочная  таблица'!OS20-PI20</f>
        <v>0</v>
      </c>
      <c r="PB20" s="863">
        <f>'Проверочная  таблица'!OT20-PJ20</f>
        <v>0</v>
      </c>
      <c r="PC20" s="866">
        <f>'Проверочная  таблица'!OU20-PK20</f>
        <v>18504809.469999999</v>
      </c>
      <c r="PD20" s="1354">
        <f t="shared" si="235"/>
        <v>18504809.469999999</v>
      </c>
      <c r="PE20" s="851">
        <f>'Проверочная  таблица'!OW20-PM20</f>
        <v>0</v>
      </c>
      <c r="PF20" s="860">
        <f>'Проверочная  таблица'!OX20-PN20</f>
        <v>0</v>
      </c>
      <c r="PG20" s="850">
        <f>'Проверочная  таблица'!OY20-PO20</f>
        <v>18504809.469999999</v>
      </c>
      <c r="PH20" s="1354">
        <f t="shared" si="110"/>
        <v>0</v>
      </c>
      <c r="PI20" s="859">
        <f>[1]Субсидия_факт!GH16</f>
        <v>0</v>
      </c>
      <c r="PJ20" s="858">
        <f>[1]Субсидия_факт!GN16</f>
        <v>0</v>
      </c>
      <c r="PK20" s="859">
        <f>[1]Субсидия_факт!GT16</f>
        <v>0</v>
      </c>
      <c r="PL20" s="1354">
        <f t="shared" si="111"/>
        <v>0</v>
      </c>
      <c r="PM20" s="851">
        <f t="shared" si="191"/>
        <v>0</v>
      </c>
      <c r="PN20" s="860">
        <f t="shared" si="192"/>
        <v>0</v>
      </c>
      <c r="PO20" s="859"/>
      <c r="PP20" s="1003">
        <f t="shared" si="193"/>
        <v>0</v>
      </c>
      <c r="PQ20" s="862">
        <f>[1]Субсидия_факт!JB16</f>
        <v>0</v>
      </c>
      <c r="PR20" s="863">
        <f>[1]Субсидия_факт!JH16</f>
        <v>0</v>
      </c>
      <c r="PS20" s="862"/>
      <c r="PT20" s="863"/>
      <c r="PU20" s="1003">
        <f t="shared" si="194"/>
        <v>0</v>
      </c>
      <c r="PV20" s="866"/>
      <c r="PW20" s="890"/>
      <c r="PX20" s="866"/>
      <c r="PY20" s="890"/>
      <c r="PZ20" s="1050">
        <f t="shared" si="112"/>
        <v>0</v>
      </c>
      <c r="QA20" s="862">
        <f>[1]Субсидия_факт!JD16</f>
        <v>0</v>
      </c>
      <c r="QB20" s="863">
        <f>[1]Субсидия_факт!JJ16</f>
        <v>0</v>
      </c>
      <c r="QC20" s="1391">
        <f t="shared" si="113"/>
        <v>0</v>
      </c>
      <c r="QD20" s="866"/>
      <c r="QE20" s="890"/>
      <c r="QF20" s="879">
        <f t="shared" si="236"/>
        <v>0</v>
      </c>
      <c r="QG20" s="866">
        <f t="shared" si="114"/>
        <v>0</v>
      </c>
      <c r="QH20" s="863">
        <f t="shared" si="114"/>
        <v>0</v>
      </c>
      <c r="QI20" s="1373">
        <f t="shared" si="115"/>
        <v>0</v>
      </c>
      <c r="QJ20" s="862">
        <f t="shared" si="116"/>
        <v>0</v>
      </c>
      <c r="QK20" s="863">
        <f t="shared" si="116"/>
        <v>0</v>
      </c>
      <c r="QL20" s="1373">
        <f t="shared" si="117"/>
        <v>0</v>
      </c>
      <c r="QM20" s="862">
        <f>[1]Субсидия_факт!JF16</f>
        <v>0</v>
      </c>
      <c r="QN20" s="863">
        <f>[1]Субсидия_факт!JL16</f>
        <v>0</v>
      </c>
      <c r="QO20" s="879">
        <f t="shared" si="237"/>
        <v>0</v>
      </c>
      <c r="QP20" s="866"/>
      <c r="QQ20" s="890"/>
      <c r="QR20" s="939">
        <f t="shared" si="118"/>
        <v>0</v>
      </c>
      <c r="QS20" s="862">
        <f>[1]Субсидия_факт!CV16</f>
        <v>0</v>
      </c>
      <c r="QT20" s="863">
        <f>[1]Субсидия_факт!CX16</f>
        <v>0</v>
      </c>
      <c r="QU20" s="1050">
        <f t="shared" si="119"/>
        <v>0</v>
      </c>
      <c r="QV20" s="862"/>
      <c r="QW20" s="863"/>
      <c r="QX20" s="897">
        <f t="shared" si="120"/>
        <v>0</v>
      </c>
      <c r="QY20" s="862">
        <f>[1]Субсидия_факт!CZ16</f>
        <v>0</v>
      </c>
      <c r="QZ20" s="863">
        <f>[1]Субсидия_факт!DF16</f>
        <v>0</v>
      </c>
      <c r="RA20" s="1050">
        <f t="shared" si="121"/>
        <v>0</v>
      </c>
      <c r="RB20" s="862"/>
      <c r="RC20" s="863"/>
      <c r="RD20" s="939">
        <f t="shared" si="122"/>
        <v>0</v>
      </c>
      <c r="RE20" s="862">
        <f>[1]Субсидия_факт!DB16</f>
        <v>0</v>
      </c>
      <c r="RF20" s="863">
        <f>[1]Субсидия_факт!DH16</f>
        <v>0</v>
      </c>
      <c r="RG20" s="1050">
        <f t="shared" si="123"/>
        <v>0</v>
      </c>
      <c r="RH20" s="862"/>
      <c r="RI20" s="863"/>
      <c r="RJ20" s="1373">
        <f t="shared" si="124"/>
        <v>0</v>
      </c>
      <c r="RK20" s="862">
        <f t="shared" si="125"/>
        <v>0</v>
      </c>
      <c r="RL20" s="863">
        <f t="shared" si="125"/>
        <v>0</v>
      </c>
      <c r="RM20" s="879">
        <f t="shared" si="126"/>
        <v>0</v>
      </c>
      <c r="RN20" s="862">
        <f t="shared" si="127"/>
        <v>0</v>
      </c>
      <c r="RO20" s="863">
        <f t="shared" si="127"/>
        <v>0</v>
      </c>
      <c r="RP20" s="939">
        <f t="shared" si="128"/>
        <v>0</v>
      </c>
      <c r="RQ20" s="862">
        <f>[1]Субсидия_факт!DD16</f>
        <v>0</v>
      </c>
      <c r="RR20" s="863">
        <f>[1]Субсидия_факт!DJ16</f>
        <v>0</v>
      </c>
      <c r="RS20" s="879">
        <f t="shared" si="129"/>
        <v>0</v>
      </c>
      <c r="RT20" s="862"/>
      <c r="RU20" s="863"/>
      <c r="RV20" s="897">
        <f t="shared" si="130"/>
        <v>0</v>
      </c>
      <c r="RW20" s="862">
        <f>[1]Субсидия_факт!DL16</f>
        <v>0</v>
      </c>
      <c r="RX20" s="863">
        <f>[1]Субсидия_факт!DN16</f>
        <v>0</v>
      </c>
      <c r="RY20" s="1391">
        <f t="shared" si="131"/>
        <v>0</v>
      </c>
      <c r="RZ20" s="885"/>
      <c r="SA20" s="889"/>
      <c r="SB20" s="1050">
        <f t="shared" si="238"/>
        <v>0</v>
      </c>
      <c r="SC20" s="859">
        <f>[1]Субсидия_факт!BJ16</f>
        <v>0</v>
      </c>
      <c r="SD20" s="862">
        <f>[1]Субсидия_факт!BF16</f>
        <v>0</v>
      </c>
      <c r="SE20" s="889">
        <f>[1]Субсидия_факт!BH16</f>
        <v>0</v>
      </c>
      <c r="SF20" s="1050">
        <f t="shared" si="132"/>
        <v>0</v>
      </c>
      <c r="SG20" s="891"/>
      <c r="SH20" s="885"/>
      <c r="SI20" s="889"/>
      <c r="SJ20" s="897">
        <f t="shared" si="133"/>
        <v>0</v>
      </c>
      <c r="SK20" s="862">
        <f>[1]Субсидия_факт!AD16</f>
        <v>0</v>
      </c>
      <c r="SL20" s="863">
        <f>[1]Субсидия_факт!AF16</f>
        <v>0</v>
      </c>
      <c r="SM20" s="1050">
        <f t="shared" si="134"/>
        <v>0</v>
      </c>
      <c r="SN20" s="885"/>
      <c r="SO20" s="889"/>
      <c r="SP20" s="897">
        <f t="shared" si="239"/>
        <v>0</v>
      </c>
      <c r="SQ20" s="862">
        <f>[1]Субсидия_факт!ID16</f>
        <v>0</v>
      </c>
      <c r="SR20" s="863">
        <f>[1]Субсидия_факт!IJ16</f>
        <v>0</v>
      </c>
      <c r="SS20" s="885">
        <f>[1]Субсидия_факт!IP16</f>
        <v>0</v>
      </c>
      <c r="ST20" s="863">
        <f>[1]Субсидия_факт!IV16</f>
        <v>0</v>
      </c>
      <c r="SU20" s="1123">
        <f>[1]Субсидия_факт!JZ16</f>
        <v>0</v>
      </c>
      <c r="SV20" s="889">
        <f>[1]Субсидия_факт!KF16</f>
        <v>0</v>
      </c>
      <c r="SW20" s="1050">
        <f t="shared" si="135"/>
        <v>0</v>
      </c>
      <c r="SX20" s="1244"/>
      <c r="SY20" s="890"/>
      <c r="SZ20" s="1244"/>
      <c r="TA20" s="890"/>
      <c r="TB20" s="1123"/>
      <c r="TC20" s="889"/>
      <c r="TD20" s="897">
        <f t="shared" si="136"/>
        <v>0</v>
      </c>
      <c r="TE20" s="862">
        <f>[1]Субсидия_факт!IF16</f>
        <v>0</v>
      </c>
      <c r="TF20" s="863">
        <f>[1]Субсидия_факт!IL16</f>
        <v>0</v>
      </c>
      <c r="TG20" s="885">
        <f>[1]Субсидия_факт!IR16</f>
        <v>0</v>
      </c>
      <c r="TH20" s="863">
        <f>[1]Субсидия_факт!IX16</f>
        <v>0</v>
      </c>
      <c r="TI20" s="885">
        <f>[1]Субсидия_факт!KB16</f>
        <v>0</v>
      </c>
      <c r="TJ20" s="863">
        <f>[1]Субсидия_факт!KH16</f>
        <v>0</v>
      </c>
      <c r="TK20" s="1050">
        <f t="shared" si="137"/>
        <v>0</v>
      </c>
      <c r="TL20" s="866"/>
      <c r="TM20" s="890"/>
      <c r="TN20" s="1123"/>
      <c r="TO20" s="890"/>
      <c r="TP20" s="866"/>
      <c r="TQ20" s="890"/>
      <c r="TR20" s="879">
        <f t="shared" si="138"/>
        <v>0</v>
      </c>
      <c r="TS20" s="862">
        <f t="shared" si="139"/>
        <v>0</v>
      </c>
      <c r="TT20" s="863">
        <f t="shared" si="139"/>
        <v>0</v>
      </c>
      <c r="TU20" s="862">
        <f t="shared" si="139"/>
        <v>0</v>
      </c>
      <c r="TV20" s="863">
        <f t="shared" si="139"/>
        <v>0</v>
      </c>
      <c r="TW20" s="885">
        <f t="shared" si="139"/>
        <v>0</v>
      </c>
      <c r="TX20" s="863">
        <f t="shared" si="139"/>
        <v>0</v>
      </c>
      <c r="TY20" s="879">
        <f t="shared" si="140"/>
        <v>0</v>
      </c>
      <c r="TZ20" s="862">
        <f t="shared" si="141"/>
        <v>0</v>
      </c>
      <c r="UA20" s="863">
        <f t="shared" si="141"/>
        <v>0</v>
      </c>
      <c r="UB20" s="862">
        <f t="shared" si="141"/>
        <v>0</v>
      </c>
      <c r="UC20" s="863">
        <f t="shared" si="141"/>
        <v>0</v>
      </c>
      <c r="UD20" s="885">
        <f t="shared" si="141"/>
        <v>0</v>
      </c>
      <c r="UE20" s="863">
        <f t="shared" si="141"/>
        <v>0</v>
      </c>
      <c r="UF20" s="1373">
        <f t="shared" si="142"/>
        <v>0</v>
      </c>
      <c r="UG20" s="862">
        <f>[1]Субсидия_факт!IH16</f>
        <v>0</v>
      </c>
      <c r="UH20" s="863">
        <f>[1]Субсидия_факт!IN16</f>
        <v>0</v>
      </c>
      <c r="UI20" s="885">
        <f>[1]Субсидия_факт!IT16</f>
        <v>0</v>
      </c>
      <c r="UJ20" s="863">
        <f>[1]Субсидия_факт!IZ16</f>
        <v>0</v>
      </c>
      <c r="UK20" s="885">
        <f>[1]Субсидия_факт!KD16</f>
        <v>0</v>
      </c>
      <c r="UL20" s="863">
        <f>[1]Субсидия_факт!KJ16</f>
        <v>0</v>
      </c>
      <c r="UM20" s="879">
        <f t="shared" si="143"/>
        <v>0</v>
      </c>
      <c r="UN20" s="1123"/>
      <c r="UO20" s="890"/>
      <c r="UP20" s="1123"/>
      <c r="UQ20" s="890"/>
      <c r="UR20" s="1123"/>
      <c r="US20" s="890"/>
      <c r="UT20" s="1050">
        <f>'Прочая  субсидия_МР  и  ГО'!B16</f>
        <v>50745711.689999998</v>
      </c>
      <c r="UU20" s="1050">
        <f>'Прочая  субсидия_МР  и  ГО'!C16</f>
        <v>28159681.099999998</v>
      </c>
      <c r="UV20" s="1371">
        <f>'Прочая  субсидия_БП'!B16</f>
        <v>519342.66000000003</v>
      </c>
      <c r="UW20" s="897">
        <f>'Прочая  субсидия_БП'!C16</f>
        <v>446619.26999999996</v>
      </c>
      <c r="UX20" s="1395">
        <f>'Прочая  субсидия_БП'!D16</f>
        <v>519342.66000000003</v>
      </c>
      <c r="UY20" s="1386">
        <f>'Прочая  субсидия_БП'!E16</f>
        <v>446619.26999999996</v>
      </c>
      <c r="UZ20" s="1387">
        <f>'Прочая  субсидия_БП'!F16</f>
        <v>0</v>
      </c>
      <c r="VA20" s="1395">
        <f>'Прочая  субсидия_БП'!G16</f>
        <v>0</v>
      </c>
      <c r="VB20" s="897">
        <f t="shared" si="144"/>
        <v>507226143.80999994</v>
      </c>
      <c r="VC20" s="866">
        <f>'Проверочная  таблица'!WE20+'Проверочная  таблица'!VH20+'Проверочная  таблица'!VJ20+VY20</f>
        <v>495251461.68999994</v>
      </c>
      <c r="VD20" s="891">
        <f>'Проверочная  таблица'!WF20+'Проверочная  таблица'!VN20+'Проверочная  таблица'!VT20+'Проверочная  таблица'!VP20+'Проверочная  таблица'!VR20+VV20+VZ20+VL20</f>
        <v>11974682.120000001</v>
      </c>
      <c r="VE20" s="1050">
        <f t="shared" si="145"/>
        <v>404303742.35000002</v>
      </c>
      <c r="VF20" s="866">
        <f>'Проверочная  таблица'!WH20+'Проверочная  таблица'!VI20+'Проверочная  таблица'!VK20+WB20</f>
        <v>395762049.40000004</v>
      </c>
      <c r="VG20" s="891">
        <f>'Проверочная  таблица'!WI20+'Проверочная  таблица'!VO20+'Проверочная  таблица'!VU20+'Проверочная  таблица'!VQ20+'Проверочная  таблица'!VS20+VW20+WC20+VM20</f>
        <v>8541692.9499999993</v>
      </c>
      <c r="VH20" s="1391">
        <f>'Субвенция  на  полномочия'!B16</f>
        <v>470253447.28999996</v>
      </c>
      <c r="VI20" s="1371">
        <f>'Субвенция  на  полномочия'!C16</f>
        <v>379889502.29000002</v>
      </c>
      <c r="VJ20" s="886">
        <f>[1]Субвенция_факт!M15*1000</f>
        <v>19772881</v>
      </c>
      <c r="VK20" s="892">
        <v>12129439</v>
      </c>
      <c r="VL20" s="886">
        <f>[1]Субвенция_факт!AE15*1000</f>
        <v>0</v>
      </c>
      <c r="VM20" s="892"/>
      <c r="VN20" s="886">
        <f>[1]Субвенция_факт!AF15*1000</f>
        <v>2786400</v>
      </c>
      <c r="VO20" s="892">
        <f>ВУС!E69</f>
        <v>1862579.49</v>
      </c>
      <c r="VP20" s="1396">
        <f>[1]Субвенция_факт!AG15*1000</f>
        <v>0</v>
      </c>
      <c r="VQ20" s="893"/>
      <c r="VR20" s="888">
        <f>[1]Субвенция_факт!E15*1000</f>
        <v>0</v>
      </c>
      <c r="VS20" s="893"/>
      <c r="VT20" s="888">
        <f>[1]Субвенция_факт!F15*1000</f>
        <v>0</v>
      </c>
      <c r="VU20" s="893"/>
      <c r="VV20" s="887">
        <f>[1]Субвенция_факт!G15*1000</f>
        <v>0</v>
      </c>
      <c r="VW20" s="892"/>
      <c r="VX20" s="897">
        <f t="shared" si="146"/>
        <v>11155786.65</v>
      </c>
      <c r="VY20" s="862">
        <f>[1]Субвенция_факт!P15*1000</f>
        <v>2900504.5300000003</v>
      </c>
      <c r="VZ20" s="863">
        <f>[1]Субвенция_факт!Q15*1000</f>
        <v>8255282.1200000001</v>
      </c>
      <c r="WA20" s="1050">
        <f t="shared" si="147"/>
        <v>8108108.1099999994</v>
      </c>
      <c r="WB20" s="866">
        <v>2108108.11</v>
      </c>
      <c r="WC20" s="894">
        <v>6000000</v>
      </c>
      <c r="WD20" s="1050">
        <f t="shared" si="148"/>
        <v>3257628.8700000006</v>
      </c>
      <c r="WE20" s="895">
        <f>[1]Субвенция_факт!X15*1000</f>
        <v>2324628.8700000006</v>
      </c>
      <c r="WF20" s="896">
        <f>[1]Субвенция_факт!W15*1000</f>
        <v>933000</v>
      </c>
      <c r="WG20" s="1050">
        <f t="shared" si="149"/>
        <v>2314113.46</v>
      </c>
      <c r="WH20" s="866">
        <v>1635000</v>
      </c>
      <c r="WI20" s="894">
        <v>679113.46</v>
      </c>
      <c r="WJ20" s="897">
        <f t="shared" si="201"/>
        <v>135733355.31</v>
      </c>
      <c r="WK20" s="1050">
        <f t="shared" si="202"/>
        <v>45136840.800000004</v>
      </c>
      <c r="WL20" s="1391">
        <f t="shared" si="240"/>
        <v>0</v>
      </c>
      <c r="WM20" s="895"/>
      <c r="WN20" s="896">
        <f>'[1]Иные межбюджетные трансферты'!I18</f>
        <v>0</v>
      </c>
      <c r="WO20" s="1391">
        <f t="shared" si="241"/>
        <v>0</v>
      </c>
      <c r="WP20" s="895"/>
      <c r="WQ20" s="896"/>
      <c r="WR20" s="1391">
        <f t="shared" si="152"/>
        <v>12155744.510000002</v>
      </c>
      <c r="WS20" s="895">
        <f>'[1]Иные межбюджетные трансферты'!AQ16</f>
        <v>0</v>
      </c>
      <c r="WT20" s="896">
        <f>'[1]Иные межбюджетные трансферты'!AS16</f>
        <v>12155744.510000002</v>
      </c>
      <c r="WU20" s="1391">
        <f t="shared" si="153"/>
        <v>0</v>
      </c>
      <c r="WV20" s="895"/>
      <c r="WW20" s="896"/>
      <c r="WX20" s="1050">
        <f t="shared" si="154"/>
        <v>1348095.69</v>
      </c>
      <c r="WY20" s="895">
        <f>'[1]Иные межбюджетные трансферты'!AM16</f>
        <v>67404.78</v>
      </c>
      <c r="WZ20" s="896">
        <f>'[1]Иные межбюджетные трансферты'!AO16</f>
        <v>1280690.9099999999</v>
      </c>
      <c r="XA20" s="1050">
        <f t="shared" si="155"/>
        <v>1088421.05</v>
      </c>
      <c r="XB20" s="895">
        <v>54421.04</v>
      </c>
      <c r="XC20" s="896">
        <v>1034000.01</v>
      </c>
      <c r="XD20" s="1050">
        <f t="shared" si="156"/>
        <v>32401766</v>
      </c>
      <c r="XE20" s="895">
        <f>'[1]Иные межбюджетные трансферты'!K16</f>
        <v>15003043</v>
      </c>
      <c r="XF20" s="896">
        <f>'[1]Иные межбюджетные трансферты'!M16</f>
        <v>17398723</v>
      </c>
      <c r="XG20" s="1050">
        <f t="shared" si="242"/>
        <v>17398723</v>
      </c>
      <c r="XH20" s="882"/>
      <c r="XI20" s="896">
        <v>17398723</v>
      </c>
      <c r="XJ20" s="1050">
        <f t="shared" si="158"/>
        <v>0</v>
      </c>
      <c r="XK20" s="885"/>
      <c r="XL20" s="1050">
        <f t="shared" si="159"/>
        <v>0</v>
      </c>
      <c r="XM20" s="885"/>
      <c r="XN20" s="897">
        <f t="shared" si="160"/>
        <v>0</v>
      </c>
      <c r="XO20" s="862">
        <f>'[1]Иные межбюджетные трансферты'!O16</f>
        <v>0</v>
      </c>
      <c r="XP20" s="1050">
        <f t="shared" si="161"/>
        <v>0</v>
      </c>
      <c r="XQ20" s="866"/>
      <c r="XR20" s="1390">
        <f t="shared" si="162"/>
        <v>0</v>
      </c>
      <c r="XS20" s="879">
        <f t="shared" si="163"/>
        <v>0</v>
      </c>
      <c r="XT20" s="1390">
        <f t="shared" si="164"/>
        <v>0</v>
      </c>
      <c r="XU20" s="879">
        <f t="shared" si="165"/>
        <v>0</v>
      </c>
      <c r="XV20" s="1050">
        <f t="shared" si="243"/>
        <v>52161004.340000004</v>
      </c>
      <c r="XW20" s="883">
        <f>'[1]Иные межбюджетные трансферты'!E16</f>
        <v>0</v>
      </c>
      <c r="XX20" s="895">
        <f>'[1]Иные межбюджетные трансферты'!G16</f>
        <v>18869680</v>
      </c>
      <c r="XY20" s="882">
        <f>'[1]Иные межбюджетные трансферты'!S16</f>
        <v>0</v>
      </c>
      <c r="XZ20" s="883">
        <f>'[1]Иные межбюджетные трансферты'!Y16</f>
        <v>0</v>
      </c>
      <c r="YA20" s="882">
        <f>'[1]Иные межбюджетные трансферты'!AA16</f>
        <v>0</v>
      </c>
      <c r="YB20" s="1275">
        <f>'[1]Иные межбюджетные трансферты'!AG16</f>
        <v>18030732.199999999</v>
      </c>
      <c r="YC20" s="882">
        <f>'[1]Иные межбюджетные трансферты'!AU16</f>
        <v>0</v>
      </c>
      <c r="YD20" s="862">
        <f>'[1]Иные межбюджетные трансферты'!BA16</f>
        <v>3076110.1500000004</v>
      </c>
      <c r="YE20" s="882">
        <f>'[1]Иные межбюджетные трансферты'!BC16</f>
        <v>4748116.45</v>
      </c>
      <c r="YF20" s="1275">
        <f>'[1]Иные межбюджетные трансферты'!BE16</f>
        <v>7436365.540000001</v>
      </c>
      <c r="YG20" s="1050">
        <f t="shared" si="244"/>
        <v>10378479.939999999</v>
      </c>
      <c r="YH20" s="882"/>
      <c r="YI20" s="882"/>
      <c r="YJ20" s="851"/>
      <c r="YK20" s="882"/>
      <c r="YL20" s="848">
        <f t="shared" si="245"/>
        <v>0</v>
      </c>
      <c r="YM20" s="848">
        <v>2942114.4</v>
      </c>
      <c r="YN20" s="848"/>
      <c r="YO20" s="848"/>
      <c r="YP20" s="848"/>
      <c r="YQ20" s="848">
        <v>7436365.54</v>
      </c>
      <c r="YR20" s="1050">
        <f t="shared" si="166"/>
        <v>37666744.770000003</v>
      </c>
      <c r="YS20" s="895">
        <f>'[1]Иные межбюджетные трансферты'!U16</f>
        <v>1034493.8099999999</v>
      </c>
      <c r="YT20" s="882">
        <f>'[1]Иные межбюджетные трансферты'!AC16</f>
        <v>0</v>
      </c>
      <c r="YU20" s="1275">
        <f>'[1]Иные межбюджетные трансферты'!AI16</f>
        <v>5848662</v>
      </c>
      <c r="YV20" s="883">
        <f>'[1]Иные межбюджетные трансферты'!AW16</f>
        <v>26035472.510000002</v>
      </c>
      <c r="YW20" s="848">
        <f>'[1]Иные межбюджетные трансферты'!BG16</f>
        <v>4748116.45</v>
      </c>
      <c r="YX20" s="1050">
        <f t="shared" si="167"/>
        <v>16271216.810000002</v>
      </c>
      <c r="YY20" s="865">
        <v>1034493.81</v>
      </c>
      <c r="YZ20" s="865">
        <f t="shared" si="247"/>
        <v>0</v>
      </c>
      <c r="ZA20" s="865"/>
      <c r="ZB20" s="848">
        <v>10488606.550000001</v>
      </c>
      <c r="ZC20" s="848">
        <v>4748116.45</v>
      </c>
      <c r="ZD20" s="879">
        <f t="shared" si="168"/>
        <v>37666744.770000003</v>
      </c>
      <c r="ZE20" s="859">
        <f>'Проверочная  таблица'!YS20-ZQ20</f>
        <v>1034493.8099999999</v>
      </c>
      <c r="ZF20" s="859">
        <f>'Проверочная  таблица'!YT20-ZR20</f>
        <v>0</v>
      </c>
      <c r="ZG20" s="859">
        <f>'Проверочная  таблица'!YU20-ZS20</f>
        <v>5848662</v>
      </c>
      <c r="ZH20" s="859">
        <f>'Проверочная  таблица'!YV20-ZT20</f>
        <v>26035472.510000002</v>
      </c>
      <c r="ZI20" s="859">
        <f>'Проверочная  таблица'!YW20-ZU20</f>
        <v>4748116.45</v>
      </c>
      <c r="ZJ20" s="879">
        <f t="shared" si="169"/>
        <v>16271216.810000002</v>
      </c>
      <c r="ZK20" s="859">
        <f>'Проверочная  таблица'!YY20-ZW20</f>
        <v>1034493.81</v>
      </c>
      <c r="ZL20" s="859">
        <f>'Проверочная  таблица'!YZ20-ZX20</f>
        <v>0</v>
      </c>
      <c r="ZM20" s="859">
        <f>'Проверочная  таблица'!ZA20-ZY20</f>
        <v>0</v>
      </c>
      <c r="ZN20" s="859">
        <f>'Проверочная  таблица'!ZB20-ZZ20</f>
        <v>10488606.550000001</v>
      </c>
      <c r="ZO20" s="859">
        <f>'Проверочная  таблица'!ZC20-AAA20</f>
        <v>4748116.45</v>
      </c>
      <c r="ZP20" s="879">
        <f t="shared" si="170"/>
        <v>0</v>
      </c>
      <c r="ZQ20" s="895">
        <f>'[1]Иные межбюджетные трансферты'!W16</f>
        <v>0</v>
      </c>
      <c r="ZR20" s="895">
        <f>'[1]Иные межбюджетные трансферты'!AE16</f>
        <v>0</v>
      </c>
      <c r="ZS20" s="882"/>
      <c r="ZT20" s="883">
        <f>'[1]Иные межбюджетные трансферты'!AY16</f>
        <v>0</v>
      </c>
      <c r="ZU20" s="848"/>
      <c r="ZV20" s="879">
        <f t="shared" si="171"/>
        <v>0</v>
      </c>
      <c r="ZW20" s="865"/>
      <c r="ZX20" s="865">
        <f t="shared" si="248"/>
        <v>0</v>
      </c>
      <c r="ZY20" s="865"/>
      <c r="ZZ20" s="848"/>
      <c r="AAA20" s="848"/>
      <c r="AAB20" s="1050">
        <f>AAD20+'Проверочная  таблица'!AAL20+AAH20+'Проверочная  таблица'!AAP20+AAJ20+'Проверочная  таблица'!AAR20</f>
        <v>0</v>
      </c>
      <c r="AAC20" s="1050">
        <f>AAE20+'Проверочная  таблица'!AAM20+AAI20+'Проверочная  таблица'!AAQ20+AAK20+'Проверочная  таблица'!AAS20</f>
        <v>0</v>
      </c>
      <c r="AAD20" s="897"/>
      <c r="AAE20" s="897"/>
      <c r="AAF20" s="897"/>
      <c r="AAG20" s="897"/>
      <c r="AAH20" s="1373">
        <f t="shared" si="172"/>
        <v>0</v>
      </c>
      <c r="AAI20" s="879">
        <f t="shared" si="172"/>
        <v>0</v>
      </c>
      <c r="AAJ20" s="898"/>
      <c r="AAK20" s="879"/>
      <c r="AAL20" s="897"/>
      <c r="AAM20" s="897"/>
      <c r="AAN20" s="897"/>
      <c r="AAO20" s="897"/>
      <c r="AAP20" s="1373">
        <f t="shared" si="173"/>
        <v>0</v>
      </c>
      <c r="AAQ20" s="879">
        <f t="shared" si="173"/>
        <v>0</v>
      </c>
      <c r="AAR20" s="879"/>
      <c r="AAS20" s="879"/>
      <c r="AAT20" s="1384">
        <f>'Проверочная  таблица'!AAL20+'Проверочная  таблица'!AAN20</f>
        <v>0</v>
      </c>
      <c r="AAU20" s="1384">
        <f>'Проверочная  таблица'!AAM20+'Проверочная  таблица'!AAO20</f>
        <v>0</v>
      </c>
    </row>
    <row r="21" spans="1:723" ht="20.45" customHeight="1" x14ac:dyDescent="0.25">
      <c r="A21" s="880" t="s">
        <v>1290</v>
      </c>
      <c r="B21" s="897">
        <f>D21+AN21+'Проверочная  таблица'!VB21+'Проверочная  таблица'!WJ21</f>
        <v>1723283994.8400002</v>
      </c>
      <c r="C21" s="1050">
        <f>E21+'Проверочная  таблица'!VE21+AO21+'Проверочная  таблица'!WK21</f>
        <v>874637105.09000003</v>
      </c>
      <c r="D21" s="1371">
        <f t="shared" si="0"/>
        <v>257956919.19</v>
      </c>
      <c r="E21" s="897">
        <f t="shared" si="1"/>
        <v>209916895</v>
      </c>
      <c r="F21" s="1376">
        <f>'[1]Дотация  из  ОБ_факт'!M15</f>
        <v>59630205</v>
      </c>
      <c r="G21" s="1385">
        <v>44722656</v>
      </c>
      <c r="H21" s="1376">
        <f>'[1]Дотация  из  ОБ_факт'!G15</f>
        <v>53609761.189999998</v>
      </c>
      <c r="I21" s="1385">
        <v>40070798</v>
      </c>
      <c r="J21" s="1386">
        <f t="shared" si="2"/>
        <v>33486094.23</v>
      </c>
      <c r="K21" s="1387">
        <f t="shared" si="2"/>
        <v>24978048</v>
      </c>
      <c r="L21" s="1386">
        <f>'[1]Дотация  из  ОБ_факт'!K15</f>
        <v>20123666.959999997</v>
      </c>
      <c r="M21" s="881">
        <v>15092750</v>
      </c>
      <c r="N21" s="1376">
        <f>'[1]Дотация  из  ОБ_факт'!Q15</f>
        <v>65200000</v>
      </c>
      <c r="O21" s="1385">
        <v>65200000</v>
      </c>
      <c r="P21" s="1399">
        <f>'[1]Дотация  из  ОБ_факт'!S15</f>
        <v>77516953</v>
      </c>
      <c r="Q21" s="1405">
        <v>57923441</v>
      </c>
      <c r="R21" s="1386">
        <f t="shared" si="3"/>
        <v>59117562</v>
      </c>
      <c r="S21" s="1387">
        <f t="shared" si="3"/>
        <v>44123898</v>
      </c>
      <c r="T21" s="1386">
        <f>'[1]Дотация  из  ОБ_факт'!W15</f>
        <v>18399391</v>
      </c>
      <c r="U21" s="881">
        <v>13799543</v>
      </c>
      <c r="V21" s="886">
        <f t="shared" si="4"/>
        <v>500000</v>
      </c>
      <c r="W21" s="1388">
        <f>'[1]Дотация  из  ОБ_факт'!AA15</f>
        <v>0</v>
      </c>
      <c r="X21" s="1389">
        <f>'[1]Дотация  из  ОБ_факт'!AC15</f>
        <v>500000</v>
      </c>
      <c r="Y21" s="1389">
        <f>'[1]Дотация  из  ОБ_факт'!AG15</f>
        <v>0</v>
      </c>
      <c r="Z21" s="887">
        <f t="shared" si="5"/>
        <v>500000</v>
      </c>
      <c r="AA21" s="848">
        <f t="shared" si="177"/>
        <v>0</v>
      </c>
      <c r="AB21" s="848">
        <f t="shared" si="177"/>
        <v>500000</v>
      </c>
      <c r="AC21" s="882"/>
      <c r="AD21" s="886">
        <f t="shared" si="6"/>
        <v>1500000</v>
      </c>
      <c r="AE21" s="1388">
        <f>'[1]Дотация  из  ОБ_факт'!Y15</f>
        <v>0</v>
      </c>
      <c r="AF21" s="1389">
        <f>'[1]Дотация  из  ОБ_факт'!AE15</f>
        <v>1500000</v>
      </c>
      <c r="AG21" s="886">
        <f t="shared" si="7"/>
        <v>1500000</v>
      </c>
      <c r="AH21" s="1359">
        <f t="shared" si="178"/>
        <v>0</v>
      </c>
      <c r="AI21" s="848">
        <f t="shared" si="179"/>
        <v>1500000</v>
      </c>
      <c r="AJ21" s="1386">
        <f t="shared" si="8"/>
        <v>0</v>
      </c>
      <c r="AK21" s="1387">
        <f t="shared" si="9"/>
        <v>0</v>
      </c>
      <c r="AL21" s="1386">
        <f>'[1]Дотация  из  ОБ_факт'!AE15</f>
        <v>1500000</v>
      </c>
      <c r="AM21" s="884">
        <f>AL21</f>
        <v>1500000</v>
      </c>
      <c r="AN21" s="1012">
        <f>'Проверочная  таблица'!UT21+'Проверочная  таблица'!UV21+BL21+BN21+BZ21+CB21+AZ21+BD21+'Проверочная  таблица'!MT21+'Проверочная  таблица'!NJ21+'Проверочная  таблица'!DT21+'Проверочная  таблица'!OB21+DL21+'Проверочная  таблица'!JJ21+'Проверочная  таблица'!JP21+'Проверочная  таблица'!OJ21+'Проверочная  таблица'!OR21+JD21+AP21+AV21+ET21+EZ21+CN21+SP21+DZ21+TD21+PZ21+EF21+EN21+LN21+LV21+SJ21+GN21+RV21+QX21+KH21+KR21+RD21+SB21+CH21+QR21+HD21+FX21+HJ21+HP21+FR21+DB21+PP21+BT21+IH21+IX21+GV21+GD21+IN21</f>
        <v>894440291.06000018</v>
      </c>
      <c r="AO21" s="1013">
        <f>'Проверочная  таблица'!UU21+'Проверочная  таблица'!UW21+BM21+BO21+CA21+CC21+BB21+BF21+'Проверочная  таблица'!NB21+'Проверочная  таблица'!NM21+'Проверочная  таблица'!DW21+'Проверочная  таблица'!OF21+DP21+'Проверочная  таблица'!JM21+'Проверочная  таблица'!JS21+'Проверочная  таблица'!ON21+'Проверочная  таблица'!OV21+JG21+AS21+AX21+EW21+FC21+CU21+SW21+EC21+TK21+QC21+EJ21+EQ21+LR21+LZ21+SM21+GR21+RY21+RA21+KM21+KW21+RG21+SF21+CK21+QU21+HG21+GA21+HM21+HS21+FU21+DE21+PU21+BW21+IK21+JA21+GX21+GG21+IQ21</f>
        <v>266836601.05999997</v>
      </c>
      <c r="AP21" s="1050">
        <f t="shared" si="10"/>
        <v>45439098.659999996</v>
      </c>
      <c r="AQ21" s="885">
        <f>[1]Субсидия_факт!HV17</f>
        <v>45439098.659999996</v>
      </c>
      <c r="AR21" s="866">
        <f>[1]Субсидия_факт!MR17</f>
        <v>0</v>
      </c>
      <c r="AS21" s="1050">
        <f t="shared" si="11"/>
        <v>32841862.23</v>
      </c>
      <c r="AT21" s="866">
        <v>32841862.23</v>
      </c>
      <c r="AU21" s="885"/>
      <c r="AV21" s="1003">
        <f t="shared" si="12"/>
        <v>0</v>
      </c>
      <c r="AW21" s="866">
        <f>[1]Субсидия_факт!MV17</f>
        <v>0</v>
      </c>
      <c r="AX21" s="1360">
        <f t="shared" si="13"/>
        <v>0</v>
      </c>
      <c r="AY21" s="866"/>
      <c r="AZ21" s="897">
        <f t="shared" si="14"/>
        <v>0</v>
      </c>
      <c r="BA21" s="866">
        <f>[1]Субсидия_факт!KZ17</f>
        <v>0</v>
      </c>
      <c r="BB21" s="1050">
        <f t="shared" si="15"/>
        <v>0</v>
      </c>
      <c r="BC21" s="866"/>
      <c r="BD21" s="897">
        <f t="shared" si="16"/>
        <v>88076907.099999994</v>
      </c>
      <c r="BE21" s="866">
        <f>[1]Субсидия_факт!LB17</f>
        <v>88076907.099999994</v>
      </c>
      <c r="BF21" s="1050">
        <f t="shared" si="17"/>
        <v>35351220.719999999</v>
      </c>
      <c r="BG21" s="866">
        <v>35351220.719999999</v>
      </c>
      <c r="BH21" s="1029">
        <f t="shared" si="18"/>
        <v>0</v>
      </c>
      <c r="BI21" s="1016">
        <f t="shared" si="19"/>
        <v>0</v>
      </c>
      <c r="BJ21" s="1027">
        <f t="shared" si="20"/>
        <v>88076907.099999994</v>
      </c>
      <c r="BK21" s="1029">
        <f t="shared" si="21"/>
        <v>35351220.719999999</v>
      </c>
      <c r="BL21" s="897">
        <f>[1]Субсидия_факт!GV17</f>
        <v>0</v>
      </c>
      <c r="BM21" s="886"/>
      <c r="BN21" s="1391">
        <f>[1]Субсидия_факт!GX17</f>
        <v>0</v>
      </c>
      <c r="BO21" s="887"/>
      <c r="BP21" s="1390">
        <f t="shared" si="22"/>
        <v>0</v>
      </c>
      <c r="BQ21" s="1373">
        <f t="shared" si="22"/>
        <v>0</v>
      </c>
      <c r="BR21" s="879">
        <f>[1]Субсидия_факт!GZ17</f>
        <v>0</v>
      </c>
      <c r="BS21" s="881"/>
      <c r="BT21" s="897">
        <f t="shared" si="23"/>
        <v>104724050.66</v>
      </c>
      <c r="BU21" s="862">
        <f>[1]Субсидия_факт!HL17</f>
        <v>35842050.659999996</v>
      </c>
      <c r="BV21" s="866">
        <f>[1]Субсидия_факт!HN17</f>
        <v>68882000</v>
      </c>
      <c r="BW21" s="1050">
        <f t="shared" si="24"/>
        <v>12283120.75</v>
      </c>
      <c r="BX21" s="866"/>
      <c r="BY21" s="866">
        <v>12283120.75</v>
      </c>
      <c r="BZ21" s="1050">
        <f>[1]Субсидия_факт!HB17</f>
        <v>0</v>
      </c>
      <c r="CA21" s="888"/>
      <c r="CB21" s="1050">
        <f>[1]Субсидия_факт!HD17</f>
        <v>0</v>
      </c>
      <c r="CC21" s="887"/>
      <c r="CD21" s="1367">
        <f t="shared" si="25"/>
        <v>0</v>
      </c>
      <c r="CE21" s="878">
        <f t="shared" si="25"/>
        <v>0</v>
      </c>
      <c r="CF21" s="1368">
        <f>[1]Субсидия_факт!HF17</f>
        <v>0</v>
      </c>
      <c r="CG21" s="849"/>
      <c r="CH21" s="897">
        <f t="shared" si="26"/>
        <v>44001925.75</v>
      </c>
      <c r="CI21" s="862">
        <f>[1]Субсидия_факт!HP17</f>
        <v>0</v>
      </c>
      <c r="CJ21" s="866">
        <f>[1]Субсидия_факт!HR17</f>
        <v>44001925.75</v>
      </c>
      <c r="CK21" s="1050">
        <f t="shared" si="27"/>
        <v>8456056.0099999998</v>
      </c>
      <c r="CL21" s="866"/>
      <c r="CM21" s="866">
        <v>8456056.0099999998</v>
      </c>
      <c r="CN21" s="1003">
        <f t="shared" si="28"/>
        <v>0</v>
      </c>
      <c r="CO21" s="859">
        <f>[1]Субсидия_факт!LR17</f>
        <v>0</v>
      </c>
      <c r="CP21" s="858">
        <f>[1]Субсидия_факт!LT17</f>
        <v>0</v>
      </c>
      <c r="CQ21" s="850">
        <f>[1]Субсидия_факт!LV17</f>
        <v>0</v>
      </c>
      <c r="CR21" s="858">
        <f>[1]Субсидия_факт!MB17</f>
        <v>0</v>
      </c>
      <c r="CS21" s="850">
        <f>[1]Субсидия_факт!MH17</f>
        <v>0</v>
      </c>
      <c r="CT21" s="858">
        <f>[1]Субсидия_факт!MJ17</f>
        <v>0</v>
      </c>
      <c r="CU21" s="1003">
        <f t="shared" si="29"/>
        <v>0</v>
      </c>
      <c r="CV21" s="851"/>
      <c r="CW21" s="858"/>
      <c r="CX21" s="850"/>
      <c r="CY21" s="858"/>
      <c r="CZ21" s="850"/>
      <c r="DA21" s="858"/>
      <c r="DB21" s="1013">
        <f t="shared" si="205"/>
        <v>0</v>
      </c>
      <c r="DC21" s="859">
        <f>[1]Субсидия_факт!LX17</f>
        <v>0</v>
      </c>
      <c r="DD21" s="858">
        <f>[1]Субсидия_факт!MD17</f>
        <v>0</v>
      </c>
      <c r="DE21" s="1003">
        <f t="shared" si="31"/>
        <v>0</v>
      </c>
      <c r="DF21" s="859"/>
      <c r="DG21" s="860"/>
      <c r="DH21" s="1367">
        <f t="shared" si="206"/>
        <v>0</v>
      </c>
      <c r="DI21" s="878">
        <f t="shared" si="207"/>
        <v>0</v>
      </c>
      <c r="DJ21" s="1368">
        <f t="shared" si="208"/>
        <v>0</v>
      </c>
      <c r="DK21" s="849">
        <f t="shared" si="209"/>
        <v>0</v>
      </c>
      <c r="DL21" s="1050">
        <f t="shared" si="210"/>
        <v>0</v>
      </c>
      <c r="DM21" s="885">
        <f>[1]Субсидия_факт!R17</f>
        <v>0</v>
      </c>
      <c r="DN21" s="862">
        <f>[1]Субсидия_факт!T17</f>
        <v>0</v>
      </c>
      <c r="DO21" s="866">
        <f>[1]Субсидия_факт!V17</f>
        <v>0</v>
      </c>
      <c r="DP21" s="1050">
        <f t="shared" si="211"/>
        <v>0</v>
      </c>
      <c r="DQ21" s="866"/>
      <c r="DR21" s="866"/>
      <c r="DS21" s="866"/>
      <c r="DT21" s="897">
        <f t="shared" si="32"/>
        <v>0</v>
      </c>
      <c r="DU21" s="862">
        <f>[1]Субсидия_факт!AX17</f>
        <v>0</v>
      </c>
      <c r="DV21" s="863">
        <f>[1]Субсидия_факт!AZ17</f>
        <v>0</v>
      </c>
      <c r="DW21" s="1050">
        <f t="shared" si="33"/>
        <v>0</v>
      </c>
      <c r="DX21" s="885"/>
      <c r="DY21" s="889"/>
      <c r="DZ21" s="897">
        <f t="shared" si="34"/>
        <v>0</v>
      </c>
      <c r="EA21" s="862">
        <f>[1]Субсидия_факт!X17</f>
        <v>0</v>
      </c>
      <c r="EB21" s="863">
        <f>[1]Субсидия_факт!Z17</f>
        <v>0</v>
      </c>
      <c r="EC21" s="1050">
        <f t="shared" si="35"/>
        <v>0</v>
      </c>
      <c r="ED21" s="862"/>
      <c r="EE21" s="863"/>
      <c r="EF21" s="1013">
        <f t="shared" si="212"/>
        <v>0</v>
      </c>
      <c r="EG21" s="859">
        <f>[1]Субсидия_факт!AP17</f>
        <v>0</v>
      </c>
      <c r="EH21" s="859">
        <f>[1]Субсидия_факт!AL17</f>
        <v>0</v>
      </c>
      <c r="EI21" s="860">
        <f>[1]Субсидия_факт!AN17</f>
        <v>0</v>
      </c>
      <c r="EJ21" s="1013">
        <f t="shared" si="36"/>
        <v>0</v>
      </c>
      <c r="EK21" s="859"/>
      <c r="EL21" s="859"/>
      <c r="EM21" s="860"/>
      <c r="EN21" s="1013">
        <f t="shared" si="37"/>
        <v>82494836.710000008</v>
      </c>
      <c r="EO21" s="859">
        <f>[1]Субсидия_факт!HH17</f>
        <v>0</v>
      </c>
      <c r="EP21" s="858">
        <f>[1]Субсидия_факт!HJ17</f>
        <v>82494836.710000008</v>
      </c>
      <c r="EQ21" s="1003">
        <f t="shared" si="38"/>
        <v>0</v>
      </c>
      <c r="ER21" s="859"/>
      <c r="ES21" s="858"/>
      <c r="ET21" s="1013">
        <f t="shared" si="39"/>
        <v>0</v>
      </c>
      <c r="EU21" s="862">
        <f>[1]Субсидия_факт!PK17</f>
        <v>0</v>
      </c>
      <c r="EV21" s="863">
        <f>[1]Субсидия_факт!PQ17</f>
        <v>0</v>
      </c>
      <c r="EW21" s="1003">
        <f t="shared" si="40"/>
        <v>0</v>
      </c>
      <c r="EX21" s="859"/>
      <c r="EY21" s="860"/>
      <c r="EZ21" s="1013">
        <f t="shared" si="41"/>
        <v>0</v>
      </c>
      <c r="FA21" s="859">
        <f>[1]Субсидия_факт!PM17</f>
        <v>0</v>
      </c>
      <c r="FB21" s="858">
        <f>[1]Субсидия_факт!PS17</f>
        <v>0</v>
      </c>
      <c r="FC21" s="1003">
        <f t="shared" si="42"/>
        <v>0</v>
      </c>
      <c r="FD21" s="859"/>
      <c r="FE21" s="860"/>
      <c r="FF21" s="1369">
        <f t="shared" si="43"/>
        <v>0</v>
      </c>
      <c r="FG21" s="859">
        <f t="shared" si="44"/>
        <v>0</v>
      </c>
      <c r="FH21" s="858">
        <f t="shared" si="44"/>
        <v>0</v>
      </c>
      <c r="FI21" s="878">
        <f t="shared" si="45"/>
        <v>0</v>
      </c>
      <c r="FJ21" s="859">
        <f t="shared" si="46"/>
        <v>0</v>
      </c>
      <c r="FK21" s="858">
        <f t="shared" si="46"/>
        <v>0</v>
      </c>
      <c r="FL21" s="1369">
        <f t="shared" si="47"/>
        <v>0</v>
      </c>
      <c r="FM21" s="859">
        <f>[1]Субсидия_факт!PO17</f>
        <v>0</v>
      </c>
      <c r="FN21" s="858">
        <f>[1]Субсидия_факт!PU17</f>
        <v>0</v>
      </c>
      <c r="FO21" s="878">
        <f t="shared" si="48"/>
        <v>0</v>
      </c>
      <c r="FP21" s="859"/>
      <c r="FQ21" s="860"/>
      <c r="FR21" s="1013">
        <f t="shared" si="49"/>
        <v>0</v>
      </c>
      <c r="FS21" s="862">
        <f>[1]Субсидия_факт!EP17</f>
        <v>0</v>
      </c>
      <c r="FT21" s="863">
        <f>[1]Субсидия_факт!ER17</f>
        <v>0</v>
      </c>
      <c r="FU21" s="1371">
        <f t="shared" si="50"/>
        <v>0</v>
      </c>
      <c r="FV21" s="862"/>
      <c r="FW21" s="863"/>
      <c r="FX21" s="897">
        <f t="shared" si="51"/>
        <v>3262426.3200000003</v>
      </c>
      <c r="FY21" s="862">
        <f>[1]Субсидия_факт!JN17</f>
        <v>3262426.3200000003</v>
      </c>
      <c r="FZ21" s="863">
        <f>[1]Субсидия_факт!JP17</f>
        <v>0</v>
      </c>
      <c r="GA21" s="897">
        <f t="shared" si="52"/>
        <v>0</v>
      </c>
      <c r="GB21" s="862"/>
      <c r="GC21" s="863"/>
      <c r="GD21" s="1372">
        <f t="shared" si="53"/>
        <v>0</v>
      </c>
      <c r="GE21" s="859">
        <f>[1]Субсидия_факт!JR17</f>
        <v>0</v>
      </c>
      <c r="GF21" s="860">
        <f>[1]Субсидия_факт!JV17</f>
        <v>0</v>
      </c>
      <c r="GG21" s="1372">
        <f t="shared" si="54"/>
        <v>0</v>
      </c>
      <c r="GH21" s="862"/>
      <c r="GI21" s="889"/>
      <c r="GJ21" s="1373">
        <f t="shared" si="213"/>
        <v>0</v>
      </c>
      <c r="GK21" s="879">
        <f t="shared" si="214"/>
        <v>0</v>
      </c>
      <c r="GL21" s="1390">
        <f t="shared" si="215"/>
        <v>0</v>
      </c>
      <c r="GM21" s="879">
        <f t="shared" si="216"/>
        <v>0</v>
      </c>
      <c r="GN21" s="1371">
        <f t="shared" si="55"/>
        <v>88076907.099999994</v>
      </c>
      <c r="GO21" s="862">
        <f>[1]Субсидия_факт!KL17</f>
        <v>0</v>
      </c>
      <c r="GP21" s="863">
        <f>[1]Субсидия_факт!KN17</f>
        <v>0</v>
      </c>
      <c r="GQ21" s="862">
        <f>[1]Субсидия_факт!KP17</f>
        <v>88076907.099999994</v>
      </c>
      <c r="GR21" s="897">
        <f t="shared" si="56"/>
        <v>0</v>
      </c>
      <c r="GS21" s="862"/>
      <c r="GT21" s="863"/>
      <c r="GU21" s="866"/>
      <c r="GV21" s="1372">
        <f t="shared" si="217"/>
        <v>0</v>
      </c>
      <c r="GW21" s="862">
        <f>[1]Субсидия_факт!KR17</f>
        <v>0</v>
      </c>
      <c r="GX21" s="1372">
        <f t="shared" si="217"/>
        <v>0</v>
      </c>
      <c r="GY21" s="866"/>
      <c r="GZ21" s="1373">
        <f t="shared" si="218"/>
        <v>0</v>
      </c>
      <c r="HA21" s="1373">
        <f t="shared" si="219"/>
        <v>0</v>
      </c>
      <c r="HB21" s="1373">
        <f t="shared" si="220"/>
        <v>0</v>
      </c>
      <c r="HC21" s="1373">
        <f t="shared" si="221"/>
        <v>0</v>
      </c>
      <c r="HD21" s="897">
        <f t="shared" si="57"/>
        <v>4638166.1499999976</v>
      </c>
      <c r="HE21" s="862">
        <f>[1]Субсидия_факт!KV17</f>
        <v>4638166.1499999976</v>
      </c>
      <c r="HF21" s="863">
        <f>[1]Субсидия_факт!KX17</f>
        <v>0</v>
      </c>
      <c r="HG21" s="1050">
        <f t="shared" si="58"/>
        <v>0</v>
      </c>
      <c r="HH21" s="862"/>
      <c r="HI21" s="863"/>
      <c r="HJ21" s="897">
        <f t="shared" si="59"/>
        <v>0</v>
      </c>
      <c r="HK21" s="862"/>
      <c r="HL21" s="863"/>
      <c r="HM21" s="1050">
        <f t="shared" si="60"/>
        <v>0</v>
      </c>
      <c r="HN21" s="862"/>
      <c r="HO21" s="863"/>
      <c r="HP21" s="897">
        <f t="shared" si="61"/>
        <v>821052.83999999985</v>
      </c>
      <c r="HQ21" s="862">
        <f>[1]Субсидия_факт!FV17</f>
        <v>0</v>
      </c>
      <c r="HR21" s="863">
        <f>[1]Субсидия_факт!FZ17</f>
        <v>821052.83999999985</v>
      </c>
      <c r="HS21" s="1050">
        <f t="shared" si="62"/>
        <v>0</v>
      </c>
      <c r="HT21" s="862"/>
      <c r="HU21" s="863"/>
      <c r="HV21" s="1369">
        <f t="shared" si="63"/>
        <v>0</v>
      </c>
      <c r="HW21" s="859">
        <f t="shared" si="64"/>
        <v>-821052.83999999985</v>
      </c>
      <c r="HX21" s="858">
        <f t="shared" si="64"/>
        <v>821052.83999999985</v>
      </c>
      <c r="HY21" s="878">
        <f t="shared" si="65"/>
        <v>0</v>
      </c>
      <c r="HZ21" s="859">
        <f t="shared" si="66"/>
        <v>0</v>
      </c>
      <c r="IA21" s="858">
        <f t="shared" si="66"/>
        <v>0</v>
      </c>
      <c r="IB21" s="1369">
        <f t="shared" si="67"/>
        <v>821052.83999999985</v>
      </c>
      <c r="IC21" s="859">
        <f>[1]Субсидия_факт!FX17</f>
        <v>821052.83999999985</v>
      </c>
      <c r="ID21" s="858">
        <f>[1]Субсидия_факт!GB17</f>
        <v>0</v>
      </c>
      <c r="IE21" s="878">
        <f t="shared" si="68"/>
        <v>0</v>
      </c>
      <c r="IF21" s="859">
        <f t="shared" si="187"/>
        <v>0</v>
      </c>
      <c r="IG21" s="860">
        <f t="shared" si="188"/>
        <v>0</v>
      </c>
      <c r="IH21" s="897">
        <f t="shared" si="69"/>
        <v>0</v>
      </c>
      <c r="II21" s="859">
        <f>[1]Субсидия_факт!ED17</f>
        <v>0</v>
      </c>
      <c r="IJ21" s="860">
        <f>[1]Субсидия_факт!EF17</f>
        <v>0</v>
      </c>
      <c r="IK21" s="1050">
        <f t="shared" si="70"/>
        <v>0</v>
      </c>
      <c r="IL21" s="862"/>
      <c r="IM21" s="863"/>
      <c r="IN21" s="1372">
        <f t="shared" si="71"/>
        <v>0</v>
      </c>
      <c r="IO21" s="859">
        <f>[1]Субсидия_факт!EH17</f>
        <v>0</v>
      </c>
      <c r="IP21" s="860">
        <f>[1]Субсидия_факт!EL17</f>
        <v>0</v>
      </c>
      <c r="IQ21" s="1392">
        <f t="shared" si="72"/>
        <v>0</v>
      </c>
      <c r="IR21" s="862"/>
      <c r="IS21" s="889"/>
      <c r="IT21" s="1373">
        <f t="shared" si="222"/>
        <v>0</v>
      </c>
      <c r="IU21" s="1373">
        <f t="shared" si="223"/>
        <v>0</v>
      </c>
      <c r="IV21" s="1373">
        <f t="shared" si="224"/>
        <v>0</v>
      </c>
      <c r="IW21" s="879">
        <f t="shared" si="225"/>
        <v>0</v>
      </c>
      <c r="IX21" s="1371">
        <f t="shared" si="73"/>
        <v>0</v>
      </c>
      <c r="IY21" s="859">
        <f>[1]Субсидия_факт!BX17</f>
        <v>0</v>
      </c>
      <c r="IZ21" s="860">
        <f>[1]Субсидия_факт!BZ17</f>
        <v>0</v>
      </c>
      <c r="JA21" s="1050">
        <f t="shared" si="74"/>
        <v>0</v>
      </c>
      <c r="JB21" s="862"/>
      <c r="JC21" s="863"/>
      <c r="JD21" s="897">
        <f t="shared" si="75"/>
        <v>0</v>
      </c>
      <c r="JE21" s="862">
        <f>[1]Субсидия_факт!ET17</f>
        <v>0</v>
      </c>
      <c r="JF21" s="863">
        <f>[1]Субсидия_факт!EV17</f>
        <v>0</v>
      </c>
      <c r="JG21" s="1050">
        <f t="shared" si="76"/>
        <v>0</v>
      </c>
      <c r="JH21" s="862"/>
      <c r="JI21" s="863"/>
      <c r="JJ21" s="1003">
        <f t="shared" si="77"/>
        <v>11771.349999999991</v>
      </c>
      <c r="JK21" s="859">
        <f>[1]Субсидия_факт!EX17</f>
        <v>0</v>
      </c>
      <c r="JL21" s="858">
        <f>[1]Субсидия_факт!FD17</f>
        <v>11771.349999999991</v>
      </c>
      <c r="JM21" s="1003">
        <f t="shared" si="78"/>
        <v>0</v>
      </c>
      <c r="JN21" s="859"/>
      <c r="JO21" s="860"/>
      <c r="JP21" s="1003">
        <f t="shared" si="79"/>
        <v>11771.349999999991</v>
      </c>
      <c r="JQ21" s="859">
        <f>[1]Субсидия_факт!EZ17</f>
        <v>0</v>
      </c>
      <c r="JR21" s="860">
        <f>[1]Субсидия_факт!FF17</f>
        <v>11771.349999999991</v>
      </c>
      <c r="JS21" s="1003">
        <f t="shared" si="80"/>
        <v>0</v>
      </c>
      <c r="JT21" s="850"/>
      <c r="JU21" s="864"/>
      <c r="JV21" s="1003">
        <f t="shared" si="81"/>
        <v>-117556.50000000001</v>
      </c>
      <c r="JW21" s="851">
        <f>'Проверочная  таблица'!JQ21-'Проверочная  таблица'!KC21</f>
        <v>-33625.240000000005</v>
      </c>
      <c r="JX21" s="860">
        <f>'Проверочная  таблица'!JR21-'Проверочная  таблица'!KD21</f>
        <v>-83931.260000000009</v>
      </c>
      <c r="JY21" s="1368">
        <f t="shared" si="82"/>
        <v>0</v>
      </c>
      <c r="JZ21" s="850">
        <f>'Проверочная  таблица'!JT21-'Проверочная  таблица'!KF21</f>
        <v>0</v>
      </c>
      <c r="KA21" s="867">
        <f>'Проверочная  таблица'!JU21-'Проверочная  таблица'!KG21</f>
        <v>0</v>
      </c>
      <c r="KB21" s="1003">
        <f t="shared" si="83"/>
        <v>129327.85</v>
      </c>
      <c r="KC21" s="859">
        <f>[1]Субсидия_факт!FB17</f>
        <v>33625.240000000005</v>
      </c>
      <c r="KD21" s="858">
        <f>[1]Субсидия_факт!FH17</f>
        <v>95702.61</v>
      </c>
      <c r="KE21" s="878">
        <f t="shared" si="84"/>
        <v>0</v>
      </c>
      <c r="KF21" s="859"/>
      <c r="KG21" s="860"/>
      <c r="KH21" s="1352">
        <f t="shared" si="226"/>
        <v>1632754.67</v>
      </c>
      <c r="KI21" s="850">
        <f>[1]Субсидия_факт!OD17</f>
        <v>1430080</v>
      </c>
      <c r="KJ21" s="860">
        <f>[1]Субсидия_факт!OJ17</f>
        <v>46224.67</v>
      </c>
      <c r="KK21" s="850">
        <f>[1]Субсидия_факт!OR17</f>
        <v>56877.03</v>
      </c>
      <c r="KL21" s="860">
        <f>[1]Субсидия_факт!OT17</f>
        <v>99572.97</v>
      </c>
      <c r="KM21" s="1352">
        <f t="shared" si="85"/>
        <v>0</v>
      </c>
      <c r="KN21" s="850"/>
      <c r="KO21" s="860"/>
      <c r="KP21" s="850"/>
      <c r="KQ21" s="860"/>
      <c r="KR21" s="1352">
        <f t="shared" si="227"/>
        <v>57390</v>
      </c>
      <c r="KS21" s="885">
        <f>[1]Субсидия_факт!OF17</f>
        <v>57390</v>
      </c>
      <c r="KT21" s="863">
        <f>[1]Субсидия_факт!OL17</f>
        <v>0</v>
      </c>
      <c r="KU21" s="885"/>
      <c r="KV21" s="863"/>
      <c r="KW21" s="1352">
        <f t="shared" si="86"/>
        <v>0</v>
      </c>
      <c r="KX21" s="850"/>
      <c r="KY21" s="860"/>
      <c r="KZ21" s="850"/>
      <c r="LA21" s="860"/>
      <c r="LB21" s="1354">
        <f t="shared" si="87"/>
        <v>-41670</v>
      </c>
      <c r="LC21" s="885">
        <f t="shared" si="88"/>
        <v>-41670</v>
      </c>
      <c r="LD21" s="863">
        <f t="shared" si="88"/>
        <v>0</v>
      </c>
      <c r="LE21" s="1354">
        <f t="shared" si="89"/>
        <v>0</v>
      </c>
      <c r="LF21" s="885">
        <f t="shared" si="90"/>
        <v>0</v>
      </c>
      <c r="LG21" s="863">
        <f t="shared" si="90"/>
        <v>0</v>
      </c>
      <c r="LH21" s="1354">
        <f t="shared" si="91"/>
        <v>99060</v>
      </c>
      <c r="LI21" s="859">
        <f>[1]Субсидия_факт!OH17</f>
        <v>99060</v>
      </c>
      <c r="LJ21" s="858">
        <f>[1]Субсидия_факт!ON17</f>
        <v>0</v>
      </c>
      <c r="LK21" s="1354">
        <f t="shared" si="92"/>
        <v>0</v>
      </c>
      <c r="LL21" s="851"/>
      <c r="LM21" s="860"/>
      <c r="LN21" s="1050">
        <f t="shared" si="228"/>
        <v>0</v>
      </c>
      <c r="LO21" s="865">
        <f>[1]Субсидия_факт!DP17</f>
        <v>0</v>
      </c>
      <c r="LP21" s="850">
        <f>[1]Субсидия_факт!CB17</f>
        <v>0</v>
      </c>
      <c r="LQ21" s="860">
        <f>[1]Субсидия_факт!CH17</f>
        <v>0</v>
      </c>
      <c r="LR21" s="1050">
        <f t="shared" si="93"/>
        <v>0</v>
      </c>
      <c r="LS21" s="865"/>
      <c r="LT21" s="850"/>
      <c r="LU21" s="860"/>
      <c r="LV21" s="1050">
        <f t="shared" si="229"/>
        <v>0</v>
      </c>
      <c r="LW21" s="865">
        <f>[1]Субсидия_факт!DR17</f>
        <v>0</v>
      </c>
      <c r="LX21" s="850">
        <f>[1]Субсидия_факт!CD17</f>
        <v>0</v>
      </c>
      <c r="LY21" s="860">
        <f>[1]Субсидия_факт!CJ17</f>
        <v>0</v>
      </c>
      <c r="LZ21" s="1050">
        <f t="shared" si="94"/>
        <v>0</v>
      </c>
      <c r="MA21" s="865"/>
      <c r="MB21" s="850"/>
      <c r="MC21" s="858"/>
      <c r="MD21" s="879">
        <f t="shared" si="95"/>
        <v>0</v>
      </c>
      <c r="ME21" s="862">
        <f>'Проверочная  таблица'!LW21-MM21</f>
        <v>0</v>
      </c>
      <c r="MF21" s="862">
        <f>'Проверочная  таблица'!LX21-MN21</f>
        <v>0</v>
      </c>
      <c r="MG21" s="863">
        <f>'Проверочная  таблица'!LY21-MO21</f>
        <v>0</v>
      </c>
      <c r="MH21" s="879">
        <f t="shared" si="96"/>
        <v>0</v>
      </c>
      <c r="MI21" s="862">
        <f>'Проверочная  таблица'!MA21-MQ21</f>
        <v>0</v>
      </c>
      <c r="MJ21" s="862">
        <f>'Проверочная  таблица'!MB21-MR21</f>
        <v>0</v>
      </c>
      <c r="MK21" s="863">
        <f>'Проверочная  таблица'!MC21-MS21</f>
        <v>0</v>
      </c>
      <c r="ML21" s="879">
        <f t="shared" si="97"/>
        <v>0</v>
      </c>
      <c r="MM21" s="850">
        <f>[1]Субсидия_факт!DT17</f>
        <v>0</v>
      </c>
      <c r="MN21" s="850">
        <f>[1]Субсидия_факт!CF17</f>
        <v>0</v>
      </c>
      <c r="MO21" s="860">
        <f>[1]Субсидия_факт!CL17</f>
        <v>0</v>
      </c>
      <c r="MP21" s="879">
        <f t="shared" si="98"/>
        <v>0</v>
      </c>
      <c r="MQ21" s="850"/>
      <c r="MR21" s="850"/>
      <c r="MS21" s="860"/>
      <c r="MT21" s="1360">
        <f t="shared" si="230"/>
        <v>129327.85</v>
      </c>
      <c r="MU21" s="850">
        <f>[1]Субсидия_факт!CN17</f>
        <v>0</v>
      </c>
      <c r="MV21" s="858">
        <f>[1]Субсидия_факт!CP17</f>
        <v>0</v>
      </c>
      <c r="MW21" s="862">
        <f>[1]Субсидия_факт!CR17</f>
        <v>0</v>
      </c>
      <c r="MX21" s="863">
        <f>[1]Субсидия_факт!CT17</f>
        <v>0</v>
      </c>
      <c r="MY21" s="851">
        <f>[1]Субсидия_факт!DV17</f>
        <v>0</v>
      </c>
      <c r="MZ21" s="859">
        <f>[1]Субсидия_факт!FJ17</f>
        <v>33625.240000000005</v>
      </c>
      <c r="NA21" s="858">
        <f>[1]Субсидия_факт!FP17</f>
        <v>95702.61</v>
      </c>
      <c r="NB21" s="1003">
        <f t="shared" si="99"/>
        <v>129327.85</v>
      </c>
      <c r="NC21" s="850"/>
      <c r="ND21" s="860"/>
      <c r="NE21" s="866"/>
      <c r="NF21" s="890"/>
      <c r="NG21" s="850"/>
      <c r="NH21" s="850">
        <f t="shared" ref="NH21:NI24" si="250">MZ21</f>
        <v>33625.240000000005</v>
      </c>
      <c r="NI21" s="860">
        <f t="shared" si="250"/>
        <v>95702.61</v>
      </c>
      <c r="NJ21" s="1003">
        <f t="shared" si="231"/>
        <v>45274.409999999989</v>
      </c>
      <c r="NK21" s="859">
        <f>[1]Субсидия_факт!FL17</f>
        <v>11771.349999999991</v>
      </c>
      <c r="NL21" s="858">
        <f>[1]Субсидия_факт!FR17</f>
        <v>33503.06</v>
      </c>
      <c r="NM21" s="1003">
        <f t="shared" si="101"/>
        <v>45274.409999999989</v>
      </c>
      <c r="NN21" s="851">
        <f>NK21</f>
        <v>11771.349999999991</v>
      </c>
      <c r="NO21" s="860">
        <f>NL21</f>
        <v>33503.06</v>
      </c>
      <c r="NP21" s="878">
        <f t="shared" si="102"/>
        <v>0</v>
      </c>
      <c r="NQ21" s="859">
        <f>'Проверочная  таблица'!NK21-NW21</f>
        <v>0</v>
      </c>
      <c r="NR21" s="860">
        <f>'Проверочная  таблица'!NL21-NX21</f>
        <v>0</v>
      </c>
      <c r="NS21" s="878">
        <f t="shared" si="103"/>
        <v>0</v>
      </c>
      <c r="NT21" s="850">
        <f>'Проверочная  таблица'!NN21-NZ21</f>
        <v>0</v>
      </c>
      <c r="NU21" s="867">
        <f>'Проверочная  таблица'!NO21-OA21</f>
        <v>0</v>
      </c>
      <c r="NV21" s="878">
        <f t="shared" si="232"/>
        <v>45274.409999999989</v>
      </c>
      <c r="NW21" s="859">
        <f>[1]Субсидия_факт!FN17</f>
        <v>11771.349999999991</v>
      </c>
      <c r="NX21" s="858">
        <f>[1]Субсидия_факт!FT17</f>
        <v>33503.06</v>
      </c>
      <c r="NY21" s="878">
        <f t="shared" si="104"/>
        <v>45274.409999999989</v>
      </c>
      <c r="NZ21" s="850">
        <f>NN21</f>
        <v>11771.349999999991</v>
      </c>
      <c r="OA21" s="860">
        <f>NO21</f>
        <v>33503.06</v>
      </c>
      <c r="OB21" s="1012">
        <f t="shared" si="233"/>
        <v>0</v>
      </c>
      <c r="OC21" s="859">
        <f>[1]Субсидия_факт!AR17</f>
        <v>0</v>
      </c>
      <c r="OD21" s="858">
        <f>[1]Субсидия_факт!AT17</f>
        <v>0</v>
      </c>
      <c r="OE21" s="859">
        <f>[1]Субсидия_факт!AV17</f>
        <v>0</v>
      </c>
      <c r="OF21" s="1050">
        <f t="shared" si="105"/>
        <v>0</v>
      </c>
      <c r="OG21" s="866"/>
      <c r="OH21" s="863"/>
      <c r="OI21" s="866"/>
      <c r="OJ21" s="1376">
        <f t="shared" si="106"/>
        <v>15600000</v>
      </c>
      <c r="OK21" s="859">
        <f>[1]Субсидия_факт!GD17</f>
        <v>15600000</v>
      </c>
      <c r="OL21" s="858">
        <f>[1]Субсидия_факт!GJ17</f>
        <v>0</v>
      </c>
      <c r="OM21" s="866">
        <f>[1]Субсидия_факт!GP17</f>
        <v>0</v>
      </c>
      <c r="ON21" s="1376">
        <f t="shared" si="107"/>
        <v>0</v>
      </c>
      <c r="OO21" s="851"/>
      <c r="OP21" s="860"/>
      <c r="OQ21" s="850"/>
      <c r="OR21" s="1352">
        <f t="shared" si="234"/>
        <v>16421052.84</v>
      </c>
      <c r="OS21" s="859">
        <f>[1]Субсидия_факт!GF17</f>
        <v>821052.83999999985</v>
      </c>
      <c r="OT21" s="858">
        <f>[1]Субсидия_факт!GL17</f>
        <v>15600000</v>
      </c>
      <c r="OU21" s="850">
        <f>[1]Субсидия_факт!GR17</f>
        <v>0</v>
      </c>
      <c r="OV21" s="1352">
        <f t="shared" si="108"/>
        <v>16043553.549999999</v>
      </c>
      <c r="OW21" s="850">
        <v>802177.87</v>
      </c>
      <c r="OX21" s="867">
        <v>15241375.68</v>
      </c>
      <c r="OY21" s="850">
        <v>0</v>
      </c>
      <c r="OZ21" s="1354">
        <f t="shared" si="109"/>
        <v>0</v>
      </c>
      <c r="PA21" s="885">
        <f>'Проверочная  таблица'!OS21-PI21</f>
        <v>0</v>
      </c>
      <c r="PB21" s="863">
        <f>'Проверочная  таблица'!OT21-PJ21</f>
        <v>0</v>
      </c>
      <c r="PC21" s="866">
        <f>'Проверочная  таблица'!OU21-PK21</f>
        <v>0</v>
      </c>
      <c r="PD21" s="1354">
        <f t="shared" si="235"/>
        <v>0</v>
      </c>
      <c r="PE21" s="851">
        <f>'Проверочная  таблица'!OW21-PM21</f>
        <v>0</v>
      </c>
      <c r="PF21" s="860">
        <f>'Проверочная  таблица'!OX21-PN21</f>
        <v>0</v>
      </c>
      <c r="PG21" s="850">
        <f>'Проверочная  таблица'!OY21-PO21</f>
        <v>0</v>
      </c>
      <c r="PH21" s="1354">
        <f t="shared" si="110"/>
        <v>16421052.84</v>
      </c>
      <c r="PI21" s="859">
        <f>[1]Субсидия_факт!GH17</f>
        <v>821052.83999999985</v>
      </c>
      <c r="PJ21" s="858">
        <f>[1]Субсидия_факт!GN17</f>
        <v>15600000</v>
      </c>
      <c r="PK21" s="859">
        <f>[1]Субсидия_факт!GT17</f>
        <v>0</v>
      </c>
      <c r="PL21" s="1354">
        <f t="shared" si="111"/>
        <v>16043553.549999999</v>
      </c>
      <c r="PM21" s="851">
        <f t="shared" si="191"/>
        <v>802177.87</v>
      </c>
      <c r="PN21" s="860">
        <f t="shared" si="192"/>
        <v>15241375.68</v>
      </c>
      <c r="PO21" s="859"/>
      <c r="PP21" s="1003">
        <f t="shared" si="193"/>
        <v>0</v>
      </c>
      <c r="PQ21" s="862">
        <f>[1]Субсидия_факт!JB17</f>
        <v>0</v>
      </c>
      <c r="PR21" s="863">
        <f>[1]Субсидия_факт!JH17</f>
        <v>0</v>
      </c>
      <c r="PS21" s="862"/>
      <c r="PT21" s="863"/>
      <c r="PU21" s="1003">
        <f t="shared" si="194"/>
        <v>0</v>
      </c>
      <c r="PV21" s="866"/>
      <c r="PW21" s="890"/>
      <c r="PX21" s="866"/>
      <c r="PY21" s="890"/>
      <c r="PZ21" s="1050">
        <f t="shared" si="112"/>
        <v>0</v>
      </c>
      <c r="QA21" s="862">
        <f>[1]Субсидия_факт!JD17</f>
        <v>0</v>
      </c>
      <c r="QB21" s="863">
        <f>[1]Субсидия_факт!JJ17</f>
        <v>0</v>
      </c>
      <c r="QC21" s="1391">
        <f t="shared" si="113"/>
        <v>0</v>
      </c>
      <c r="QD21" s="866"/>
      <c r="QE21" s="890"/>
      <c r="QF21" s="1016">
        <f t="shared" si="236"/>
        <v>0</v>
      </c>
      <c r="QG21" s="866">
        <f t="shared" si="114"/>
        <v>0</v>
      </c>
      <c r="QH21" s="863">
        <f t="shared" si="114"/>
        <v>0</v>
      </c>
      <c r="QI21" s="1373">
        <f t="shared" si="115"/>
        <v>0</v>
      </c>
      <c r="QJ21" s="862">
        <f t="shared" si="116"/>
        <v>0</v>
      </c>
      <c r="QK21" s="863">
        <f t="shared" si="116"/>
        <v>0</v>
      </c>
      <c r="QL21" s="1373">
        <f t="shared" si="117"/>
        <v>0</v>
      </c>
      <c r="QM21" s="862">
        <f>[1]Субсидия_факт!JF17</f>
        <v>0</v>
      </c>
      <c r="QN21" s="863">
        <f>[1]Субсидия_факт!JL17</f>
        <v>0</v>
      </c>
      <c r="QO21" s="1016">
        <f t="shared" si="237"/>
        <v>0</v>
      </c>
      <c r="QP21" s="866"/>
      <c r="QQ21" s="890"/>
      <c r="QR21" s="897">
        <f t="shared" si="118"/>
        <v>0</v>
      </c>
      <c r="QS21" s="862">
        <f>[1]Субсидия_факт!CV17</f>
        <v>0</v>
      </c>
      <c r="QT21" s="863">
        <f>[1]Субсидия_факт!CX17</f>
        <v>0</v>
      </c>
      <c r="QU21" s="1050">
        <f t="shared" si="119"/>
        <v>0</v>
      </c>
      <c r="QV21" s="862"/>
      <c r="QW21" s="863"/>
      <c r="QX21" s="897">
        <f t="shared" si="120"/>
        <v>0</v>
      </c>
      <c r="QY21" s="862">
        <f>[1]Субсидия_факт!CZ17</f>
        <v>0</v>
      </c>
      <c r="QZ21" s="863">
        <f>[1]Субсидия_факт!DF17</f>
        <v>0</v>
      </c>
      <c r="RA21" s="1050">
        <f t="shared" si="121"/>
        <v>0</v>
      </c>
      <c r="RB21" s="862"/>
      <c r="RC21" s="863"/>
      <c r="RD21" s="897">
        <f t="shared" si="122"/>
        <v>0</v>
      </c>
      <c r="RE21" s="862">
        <f>[1]Субсидия_факт!DB17</f>
        <v>0</v>
      </c>
      <c r="RF21" s="863">
        <f>[1]Субсидия_факт!DH17</f>
        <v>0</v>
      </c>
      <c r="RG21" s="1050">
        <f t="shared" si="123"/>
        <v>0</v>
      </c>
      <c r="RH21" s="862"/>
      <c r="RI21" s="863"/>
      <c r="RJ21" s="1373">
        <f t="shared" si="124"/>
        <v>0</v>
      </c>
      <c r="RK21" s="862">
        <f t="shared" si="125"/>
        <v>0</v>
      </c>
      <c r="RL21" s="863">
        <f t="shared" si="125"/>
        <v>0</v>
      </c>
      <c r="RM21" s="879">
        <f t="shared" si="126"/>
        <v>0</v>
      </c>
      <c r="RN21" s="862">
        <f t="shared" si="127"/>
        <v>0</v>
      </c>
      <c r="RO21" s="863">
        <f t="shared" si="127"/>
        <v>0</v>
      </c>
      <c r="RP21" s="897">
        <f t="shared" si="128"/>
        <v>0</v>
      </c>
      <c r="RQ21" s="862">
        <f>[1]Субсидия_факт!DD17</f>
        <v>0</v>
      </c>
      <c r="RR21" s="863">
        <f>[1]Субсидия_факт!DJ17</f>
        <v>0</v>
      </c>
      <c r="RS21" s="879">
        <f t="shared" si="129"/>
        <v>0</v>
      </c>
      <c r="RT21" s="862"/>
      <c r="RU21" s="863"/>
      <c r="RV21" s="897">
        <f t="shared" si="130"/>
        <v>0</v>
      </c>
      <c r="RW21" s="862">
        <f>[1]Субсидия_факт!DL17</f>
        <v>0</v>
      </c>
      <c r="RX21" s="863">
        <f>[1]Субсидия_факт!DN17</f>
        <v>0</v>
      </c>
      <c r="RY21" s="1391">
        <f t="shared" si="131"/>
        <v>0</v>
      </c>
      <c r="RZ21" s="885"/>
      <c r="SA21" s="889"/>
      <c r="SB21" s="1050">
        <f t="shared" si="238"/>
        <v>121646756.76000001</v>
      </c>
      <c r="SC21" s="859">
        <f>[1]Субсидия_факт!BJ17</f>
        <v>20000000</v>
      </c>
      <c r="SD21" s="862">
        <f>[1]Субсидия_факт!BF17</f>
        <v>26428156.760000005</v>
      </c>
      <c r="SE21" s="889">
        <f>[1]Субсидия_факт!BH17</f>
        <v>75218600</v>
      </c>
      <c r="SF21" s="1050">
        <f t="shared" si="132"/>
        <v>9810526.8499999996</v>
      </c>
      <c r="SG21" s="891"/>
      <c r="SH21" s="885">
        <v>2550736.98</v>
      </c>
      <c r="SI21" s="889">
        <v>7259789.8700000001</v>
      </c>
      <c r="SJ21" s="897">
        <f t="shared" si="133"/>
        <v>0</v>
      </c>
      <c r="SK21" s="862">
        <f>[1]Субсидия_факт!AD17</f>
        <v>0</v>
      </c>
      <c r="SL21" s="863">
        <f>[1]Субсидия_факт!AF17</f>
        <v>0</v>
      </c>
      <c r="SM21" s="1050">
        <f t="shared" si="134"/>
        <v>0</v>
      </c>
      <c r="SN21" s="885"/>
      <c r="SO21" s="889"/>
      <c r="SP21" s="897">
        <f t="shared" si="239"/>
        <v>58143720.340000004</v>
      </c>
      <c r="SQ21" s="862">
        <f>[1]Субсидия_факт!ID17</f>
        <v>0</v>
      </c>
      <c r="SR21" s="863">
        <f>[1]Субсидия_факт!IJ17</f>
        <v>0</v>
      </c>
      <c r="SS21" s="885">
        <f>[1]Субсидия_факт!IP17</f>
        <v>0</v>
      </c>
      <c r="ST21" s="863">
        <f>[1]Субсидия_факт!IV17</f>
        <v>0</v>
      </c>
      <c r="SU21" s="1123">
        <f>[1]Субсидия_факт!JZ17</f>
        <v>2907186.02</v>
      </c>
      <c r="SV21" s="889">
        <f>[1]Субсидия_факт!KF17</f>
        <v>55236534.32</v>
      </c>
      <c r="SW21" s="1050">
        <f t="shared" si="135"/>
        <v>36193719.210000001</v>
      </c>
      <c r="SX21" s="1244"/>
      <c r="SY21" s="890"/>
      <c r="SZ21" s="1244"/>
      <c r="TA21" s="890"/>
      <c r="TB21" s="1123">
        <v>1809685.96</v>
      </c>
      <c r="TC21" s="889">
        <v>34384033.25</v>
      </c>
      <c r="TD21" s="939">
        <f t="shared" si="136"/>
        <v>0</v>
      </c>
      <c r="TE21" s="923">
        <f>[1]Субсидия_факт!IF17</f>
        <v>0</v>
      </c>
      <c r="TF21" s="924">
        <f>[1]Субсидия_факт!IL17</f>
        <v>0</v>
      </c>
      <c r="TG21" s="885">
        <f>[1]Субсидия_факт!IR17</f>
        <v>0</v>
      </c>
      <c r="TH21" s="863">
        <f>[1]Субсидия_факт!IX17</f>
        <v>0</v>
      </c>
      <c r="TI21" s="885">
        <f>[1]Субсидия_факт!KB17</f>
        <v>0</v>
      </c>
      <c r="TJ21" s="863">
        <f>[1]Субсидия_факт!KH17</f>
        <v>0</v>
      </c>
      <c r="TK21" s="1050">
        <f t="shared" si="137"/>
        <v>0</v>
      </c>
      <c r="TL21" s="866"/>
      <c r="TM21" s="890"/>
      <c r="TN21" s="1123"/>
      <c r="TO21" s="890"/>
      <c r="TP21" s="866"/>
      <c r="TQ21" s="890"/>
      <c r="TR21" s="879">
        <f t="shared" si="138"/>
        <v>0</v>
      </c>
      <c r="TS21" s="862">
        <f t="shared" si="139"/>
        <v>0</v>
      </c>
      <c r="TT21" s="863">
        <f t="shared" si="139"/>
        <v>0</v>
      </c>
      <c r="TU21" s="862">
        <f t="shared" si="139"/>
        <v>0</v>
      </c>
      <c r="TV21" s="863">
        <f t="shared" si="139"/>
        <v>0</v>
      </c>
      <c r="TW21" s="885">
        <f t="shared" si="139"/>
        <v>0</v>
      </c>
      <c r="TX21" s="863">
        <f t="shared" si="139"/>
        <v>0</v>
      </c>
      <c r="TY21" s="879">
        <f t="shared" si="140"/>
        <v>0</v>
      </c>
      <c r="TZ21" s="862">
        <f t="shared" si="141"/>
        <v>0</v>
      </c>
      <c r="UA21" s="863">
        <f t="shared" si="141"/>
        <v>0</v>
      </c>
      <c r="UB21" s="862">
        <f t="shared" si="141"/>
        <v>0</v>
      </c>
      <c r="UC21" s="863">
        <f t="shared" si="141"/>
        <v>0</v>
      </c>
      <c r="UD21" s="885">
        <f t="shared" si="141"/>
        <v>0</v>
      </c>
      <c r="UE21" s="863">
        <f t="shared" si="141"/>
        <v>0</v>
      </c>
      <c r="UF21" s="879">
        <f t="shared" si="142"/>
        <v>0</v>
      </c>
      <c r="UG21" s="862">
        <f>[1]Субсидия_факт!IH17</f>
        <v>0</v>
      </c>
      <c r="UH21" s="863">
        <f>[1]Субсидия_факт!IN17</f>
        <v>0</v>
      </c>
      <c r="UI21" s="885">
        <f>[1]Субсидия_факт!IT17</f>
        <v>0</v>
      </c>
      <c r="UJ21" s="863">
        <f>[1]Субсидия_факт!IZ17</f>
        <v>0</v>
      </c>
      <c r="UK21" s="885">
        <f>[1]Субсидия_факт!KD17</f>
        <v>0</v>
      </c>
      <c r="UL21" s="863">
        <f>[1]Субсидия_факт!KJ17</f>
        <v>0</v>
      </c>
      <c r="UM21" s="879">
        <f t="shared" si="143"/>
        <v>0</v>
      </c>
      <c r="UN21" s="1123"/>
      <c r="UO21" s="890"/>
      <c r="UP21" s="1123"/>
      <c r="UQ21" s="890"/>
      <c r="UR21" s="1123"/>
      <c r="US21" s="890"/>
      <c r="UT21" s="1050">
        <f>'Прочая  субсидия_МР  и  ГО'!B17</f>
        <v>207143828.62</v>
      </c>
      <c r="UU21" s="1050">
        <f>'Прочая  субсидия_МР  и  ГО'!C17</f>
        <v>110825632.87</v>
      </c>
      <c r="UV21" s="1371">
        <f>'Прочая  субсидия_БП'!B17</f>
        <v>12061271.58</v>
      </c>
      <c r="UW21" s="897">
        <f>'Прочая  субсидия_БП'!C17</f>
        <v>4856306.6100000003</v>
      </c>
      <c r="UX21" s="1395">
        <f>'Прочая  субсидия_БП'!D17</f>
        <v>236608.62</v>
      </c>
      <c r="UY21" s="1386">
        <f>'Прочая  субсидия_БП'!E17</f>
        <v>169318.28</v>
      </c>
      <c r="UZ21" s="1387">
        <f>'Прочая  субсидия_БП'!F17</f>
        <v>11824662.960000001</v>
      </c>
      <c r="VA21" s="1395">
        <f>'Прочая  субсидия_БП'!G17</f>
        <v>4686988.33</v>
      </c>
      <c r="VB21" s="897">
        <f t="shared" si="144"/>
        <v>410973008.75999999</v>
      </c>
      <c r="VC21" s="866">
        <f>'Проверочная  таблица'!WE21+'Проверочная  таблица'!VH21+'Проверочная  таблица'!VJ21+VY21</f>
        <v>398625414.24000001</v>
      </c>
      <c r="VD21" s="891">
        <f>'Проверочная  таблица'!WF21+'Проверочная  таблица'!VN21+'Проверочная  таблица'!VT21+'Проверочная  таблица'!VP21+'Проверочная  таблица'!VR21+VV21+VZ21+VL21</f>
        <v>12347594.52</v>
      </c>
      <c r="VE21" s="1050">
        <f t="shared" si="145"/>
        <v>310470876.88000005</v>
      </c>
      <c r="VF21" s="866">
        <f>'Проверочная  таблица'!WH21+'Проверочная  таблица'!VI21+'Проверочная  таблица'!VK21+WB21</f>
        <v>300917985.68000007</v>
      </c>
      <c r="VG21" s="891">
        <f>'Проверочная  таблица'!WI21+'Проверочная  таблица'!VO21+'Проверочная  таблица'!VU21+'Проверочная  таблица'!VQ21+'Проверочная  таблица'!VS21+VW21+WC21+VM21</f>
        <v>9552891.1999999993</v>
      </c>
      <c r="VH21" s="1391">
        <f>'Субвенция  на  полномочия'!B17</f>
        <v>379520960.62</v>
      </c>
      <c r="VI21" s="1371">
        <f>'Субвенция  на  полномочия'!C17</f>
        <v>286595767.52000004</v>
      </c>
      <c r="VJ21" s="886">
        <f>[1]Субвенция_факт!M16*1000</f>
        <v>13206288</v>
      </c>
      <c r="VK21" s="892">
        <v>9818600</v>
      </c>
      <c r="VL21" s="886">
        <f>[1]Субвенция_факт!AE16*1000</f>
        <v>0</v>
      </c>
      <c r="VM21" s="892"/>
      <c r="VN21" s="886">
        <f>[1]Субвенция_факт!AF16*1000</f>
        <v>2705300</v>
      </c>
      <c r="VO21" s="892">
        <f>ВУС!E84</f>
        <v>1471054.9200000002</v>
      </c>
      <c r="VP21" s="1396">
        <f>[1]Субвенция_факт!AG16*1000</f>
        <v>0</v>
      </c>
      <c r="VQ21" s="893"/>
      <c r="VR21" s="888">
        <f>[1]Субвенция_факт!E16*1000</f>
        <v>0</v>
      </c>
      <c r="VS21" s="893"/>
      <c r="VT21" s="888">
        <f>[1]Субвенция_факт!F16*1000</f>
        <v>0</v>
      </c>
      <c r="VU21" s="893"/>
      <c r="VV21" s="887">
        <f>[1]Субвенция_факт!G16*1000</f>
        <v>0</v>
      </c>
      <c r="VW21" s="892"/>
      <c r="VX21" s="897">
        <f t="shared" si="146"/>
        <v>12084181.789999999</v>
      </c>
      <c r="VY21" s="862">
        <f>[1]Субвенция_факт!P16*1000</f>
        <v>3141887.2699999996</v>
      </c>
      <c r="VZ21" s="863">
        <f>[1]Субвенция_факт!Q16*1000</f>
        <v>8942294.5199999996</v>
      </c>
      <c r="WA21" s="1050">
        <f t="shared" si="147"/>
        <v>9975454.4400000013</v>
      </c>
      <c r="WB21" s="866">
        <v>2593618.16</v>
      </c>
      <c r="WC21" s="894">
        <v>7381836.2800000003</v>
      </c>
      <c r="WD21" s="1050">
        <f t="shared" si="148"/>
        <v>3456278.35</v>
      </c>
      <c r="WE21" s="895">
        <f>[1]Субвенция_факт!X16*1000</f>
        <v>2756278.35</v>
      </c>
      <c r="WF21" s="896">
        <f>[1]Субвенция_факт!W16*1000</f>
        <v>700000</v>
      </c>
      <c r="WG21" s="1050">
        <f t="shared" si="149"/>
        <v>2610000</v>
      </c>
      <c r="WH21" s="866">
        <v>1910000</v>
      </c>
      <c r="WI21" s="894">
        <v>700000</v>
      </c>
      <c r="WJ21" s="897">
        <f t="shared" si="201"/>
        <v>159913775.82999998</v>
      </c>
      <c r="WK21" s="1050">
        <f t="shared" si="202"/>
        <v>87412732.149999991</v>
      </c>
      <c r="WL21" s="1391">
        <f t="shared" si="240"/>
        <v>0</v>
      </c>
      <c r="WM21" s="895"/>
      <c r="WN21" s="896">
        <f>'[1]Иные межбюджетные трансферты'!I19</f>
        <v>0</v>
      </c>
      <c r="WO21" s="1391">
        <f t="shared" si="241"/>
        <v>0</v>
      </c>
      <c r="WP21" s="895"/>
      <c r="WQ21" s="896"/>
      <c r="WR21" s="1391">
        <f t="shared" si="152"/>
        <v>3145111.6</v>
      </c>
      <c r="WS21" s="895">
        <f>'[1]Иные межбюджетные трансферты'!AQ17</f>
        <v>0</v>
      </c>
      <c r="WT21" s="896">
        <f>'[1]Иные межбюджетные трансферты'!AS17</f>
        <v>3145111.6</v>
      </c>
      <c r="WU21" s="1391">
        <f t="shared" si="153"/>
        <v>0</v>
      </c>
      <c r="WV21" s="895"/>
      <c r="WW21" s="896"/>
      <c r="WX21" s="1050">
        <f t="shared" si="154"/>
        <v>1617714.8299999998</v>
      </c>
      <c r="WY21" s="895">
        <f>'[1]Иные межбюджетные трансферты'!AM17</f>
        <v>80885.740000000005</v>
      </c>
      <c r="WZ21" s="896">
        <f>'[1]Иные межбюджетные трансферты'!AO17</f>
        <v>1536829.0899999999</v>
      </c>
      <c r="XA21" s="1050">
        <f t="shared" si="155"/>
        <v>1280673.8899999999</v>
      </c>
      <c r="XB21" s="895">
        <v>64033.7</v>
      </c>
      <c r="XC21" s="896">
        <v>1216640.19</v>
      </c>
      <c r="XD21" s="1050">
        <f t="shared" si="156"/>
        <v>28779228</v>
      </c>
      <c r="XE21" s="895">
        <f>'[1]Иные межбюджетные трансферты'!K17</f>
        <v>13295934</v>
      </c>
      <c r="XF21" s="896">
        <f>'[1]Иные межбюджетные трансферты'!M17</f>
        <v>15483294</v>
      </c>
      <c r="XG21" s="1050">
        <f t="shared" si="242"/>
        <v>15483294</v>
      </c>
      <c r="XH21" s="882"/>
      <c r="XI21" s="896">
        <v>15483294</v>
      </c>
      <c r="XJ21" s="1050">
        <f t="shared" si="158"/>
        <v>0</v>
      </c>
      <c r="XK21" s="885"/>
      <c r="XL21" s="1050">
        <f t="shared" si="159"/>
        <v>0</v>
      </c>
      <c r="XM21" s="885"/>
      <c r="XN21" s="897">
        <f t="shared" si="160"/>
        <v>27167689.879999999</v>
      </c>
      <c r="XO21" s="862">
        <f>'[1]Иные межбюджетные трансферты'!O17</f>
        <v>27167689.879999999</v>
      </c>
      <c r="XP21" s="1050">
        <f t="shared" si="161"/>
        <v>23331283.370000001</v>
      </c>
      <c r="XQ21" s="866">
        <v>23331283.370000001</v>
      </c>
      <c r="XR21" s="1390">
        <f t="shared" si="162"/>
        <v>0</v>
      </c>
      <c r="XS21" s="879">
        <f t="shared" si="163"/>
        <v>0</v>
      </c>
      <c r="XT21" s="1390">
        <f t="shared" si="164"/>
        <v>27167689.879999999</v>
      </c>
      <c r="XU21" s="879">
        <f t="shared" si="165"/>
        <v>23331283.370000001</v>
      </c>
      <c r="XV21" s="1050">
        <f t="shared" si="243"/>
        <v>89707379.909999996</v>
      </c>
      <c r="XW21" s="883">
        <f>'[1]Иные межбюджетные трансферты'!E17</f>
        <v>0</v>
      </c>
      <c r="XX21" s="895">
        <f>'[1]Иные межбюджетные трансферты'!G17</f>
        <v>0</v>
      </c>
      <c r="XY21" s="882">
        <f>'[1]Иные межбюджетные трансферты'!S17</f>
        <v>0</v>
      </c>
      <c r="XZ21" s="883">
        <f>'[1]Иные межбюджетные трансферты'!Y17</f>
        <v>10950000</v>
      </c>
      <c r="YA21" s="882">
        <f>'[1]Иные межбюджетные трансферты'!AA17</f>
        <v>10950000</v>
      </c>
      <c r="YB21" s="1275">
        <f>'[1]Иные межбюджетные трансферты'!AG17</f>
        <v>54357337.200000003</v>
      </c>
      <c r="YC21" s="882">
        <f>'[1]Иные межбюджетные трансферты'!AU17</f>
        <v>0</v>
      </c>
      <c r="YD21" s="862">
        <f>'[1]Иные межбюджетные трансферты'!BA17</f>
        <v>2673598.75</v>
      </c>
      <c r="YE21" s="882">
        <f>'[1]Иные межбюджетные трансферты'!BC17</f>
        <v>6270654.2699999996</v>
      </c>
      <c r="YF21" s="1275">
        <f>'[1]Иные межбюджетные трансферты'!BE17</f>
        <v>4505789.6899999995</v>
      </c>
      <c r="YG21" s="1050">
        <f t="shared" si="244"/>
        <v>41046826.619999997</v>
      </c>
      <c r="YH21" s="882"/>
      <c r="YI21" s="882"/>
      <c r="YJ21" s="851"/>
      <c r="YK21" s="882"/>
      <c r="YL21" s="848">
        <f t="shared" si="245"/>
        <v>10950000</v>
      </c>
      <c r="YM21" s="848">
        <v>25591036.93</v>
      </c>
      <c r="YN21" s="848"/>
      <c r="YO21" s="848"/>
      <c r="YP21" s="848"/>
      <c r="YQ21" s="848">
        <v>4505789.6900000004</v>
      </c>
      <c r="YR21" s="1050">
        <f t="shared" si="166"/>
        <v>9496651.6099999994</v>
      </c>
      <c r="YS21" s="895">
        <f>'[1]Иные межбюджетные трансферты'!U17</f>
        <v>0</v>
      </c>
      <c r="YT21" s="882">
        <f>'[1]Иные межбюджетные трансферты'!AC17</f>
        <v>0</v>
      </c>
      <c r="YU21" s="1275">
        <f>'[1]Иные межбюджетные трансферты'!AI17</f>
        <v>80885.740000000005</v>
      </c>
      <c r="YV21" s="883">
        <f>'[1]Иные межбюджетные трансферты'!AW17</f>
        <v>3145111.6</v>
      </c>
      <c r="YW21" s="848">
        <f>'[1]Иные межбюджетные трансферты'!BG17</f>
        <v>6270654.2699999996</v>
      </c>
      <c r="YX21" s="1050">
        <f t="shared" si="167"/>
        <v>6270654.2699999996</v>
      </c>
      <c r="YY21" s="865"/>
      <c r="YZ21" s="865">
        <f t="shared" si="247"/>
        <v>0</v>
      </c>
      <c r="ZA21" s="865"/>
      <c r="ZB21" s="848"/>
      <c r="ZC21" s="848">
        <v>6270654.2699999996</v>
      </c>
      <c r="ZD21" s="879">
        <f t="shared" si="168"/>
        <v>8766542.209999999</v>
      </c>
      <c r="ZE21" s="859">
        <f>'Проверочная  таблица'!YS21-ZQ21</f>
        <v>0</v>
      </c>
      <c r="ZF21" s="859">
        <f>'Проверочная  таблица'!YT21-ZR21</f>
        <v>0</v>
      </c>
      <c r="ZG21" s="859">
        <f>'Проверочная  таблица'!YU21-ZS21</f>
        <v>80885.740000000005</v>
      </c>
      <c r="ZH21" s="859">
        <f>'Проверочная  таблица'!YV21-ZT21</f>
        <v>3145111.6</v>
      </c>
      <c r="ZI21" s="859">
        <f>'Проверочная  таблица'!YW21-ZU21</f>
        <v>5540544.8699999992</v>
      </c>
      <c r="ZJ21" s="879">
        <f t="shared" si="169"/>
        <v>5540544.8699999992</v>
      </c>
      <c r="ZK21" s="859">
        <f>'Проверочная  таблица'!YY21-ZW21</f>
        <v>0</v>
      </c>
      <c r="ZL21" s="859">
        <f>'Проверочная  таблица'!YZ21-ZX21</f>
        <v>0</v>
      </c>
      <c r="ZM21" s="859">
        <f>'Проверочная  таблица'!ZA21-ZY21</f>
        <v>0</v>
      </c>
      <c r="ZN21" s="859">
        <f>'Проверочная  таблица'!ZB21-ZZ21</f>
        <v>0</v>
      </c>
      <c r="ZO21" s="859">
        <f>'Проверочная  таблица'!ZC21-AAA21</f>
        <v>5540544.8699999992</v>
      </c>
      <c r="ZP21" s="879">
        <f t="shared" si="170"/>
        <v>730109.4</v>
      </c>
      <c r="ZQ21" s="895">
        <f>'[1]Иные межбюджетные трансферты'!W17</f>
        <v>0</v>
      </c>
      <c r="ZR21" s="895">
        <f>'[1]Иные межбюджетные трансферты'!AE17</f>
        <v>0</v>
      </c>
      <c r="ZS21" s="882"/>
      <c r="ZT21" s="883">
        <f>'[1]Иные межбюджетные трансферты'!AY17</f>
        <v>0</v>
      </c>
      <c r="ZU21" s="848">
        <f>'[1]Иные межбюджетные трансферты'!$BI$17</f>
        <v>730109.4</v>
      </c>
      <c r="ZV21" s="879">
        <f t="shared" si="171"/>
        <v>730109.4</v>
      </c>
      <c r="ZW21" s="865"/>
      <c r="ZX21" s="865">
        <f t="shared" si="248"/>
        <v>0</v>
      </c>
      <c r="ZY21" s="865"/>
      <c r="ZZ21" s="848"/>
      <c r="AAA21" s="848">
        <v>730109.4</v>
      </c>
      <c r="AAB21" s="1050">
        <f>AAD21+'Проверочная  таблица'!AAL21+AAH21+'Проверочная  таблица'!AAP21+AAJ21+'Проверочная  таблица'!AAR21</f>
        <v>0</v>
      </c>
      <c r="AAC21" s="1050">
        <f>AAE21+'Проверочная  таблица'!AAM21+AAI21+'Проверочная  таблица'!AAQ21+AAK21+'Проверочная  таблица'!AAS21</f>
        <v>0</v>
      </c>
      <c r="AAD21" s="897"/>
      <c r="AAE21" s="897"/>
      <c r="AAF21" s="897"/>
      <c r="AAG21" s="897"/>
      <c r="AAH21" s="1373">
        <f t="shared" si="172"/>
        <v>0</v>
      </c>
      <c r="AAI21" s="879">
        <f t="shared" si="172"/>
        <v>0</v>
      </c>
      <c r="AAJ21" s="898"/>
      <c r="AAK21" s="879"/>
      <c r="AAL21" s="897"/>
      <c r="AAM21" s="897"/>
      <c r="AAN21" s="897"/>
      <c r="AAO21" s="897"/>
      <c r="AAP21" s="1373">
        <f t="shared" si="173"/>
        <v>0</v>
      </c>
      <c r="AAQ21" s="879">
        <f t="shared" si="173"/>
        <v>0</v>
      </c>
      <c r="AAR21" s="879"/>
      <c r="AAS21" s="879"/>
      <c r="AAT21" s="1384">
        <f>'Проверочная  таблица'!AAL21+'Проверочная  таблица'!AAN21</f>
        <v>0</v>
      </c>
      <c r="AAU21" s="1384">
        <f>'Проверочная  таблица'!AAM21+'Проверочная  таблица'!AAO21</f>
        <v>0</v>
      </c>
    </row>
    <row r="22" spans="1:723" ht="20.45" customHeight="1" x14ac:dyDescent="0.25">
      <c r="A22" s="880" t="s">
        <v>1291</v>
      </c>
      <c r="B22" s="897">
        <f>D22+AN22+'Проверочная  таблица'!VB22+'Проверочная  таблица'!WJ22</f>
        <v>511426540.10000002</v>
      </c>
      <c r="C22" s="1050">
        <f>E22+'Проверочная  таблица'!VE22+AO22+'Проверочная  таблица'!WK22</f>
        <v>297627487.93000001</v>
      </c>
      <c r="D22" s="1371">
        <f t="shared" si="0"/>
        <v>53680207.189999998</v>
      </c>
      <c r="E22" s="897">
        <f t="shared" si="1"/>
        <v>39690845</v>
      </c>
      <c r="F22" s="1376">
        <f>'[1]Дотация  из  ОБ_факт'!M17</f>
        <v>17781373</v>
      </c>
      <c r="G22" s="1385">
        <v>13336200</v>
      </c>
      <c r="H22" s="1376">
        <f>'[1]Дотация  из  ОБ_факт'!G17</f>
        <v>8135482.1899999995</v>
      </c>
      <c r="I22" s="1385">
        <v>6101020</v>
      </c>
      <c r="J22" s="1386">
        <f t="shared" si="2"/>
        <v>8135482.1899999995</v>
      </c>
      <c r="K22" s="1387">
        <f t="shared" si="2"/>
        <v>6101020</v>
      </c>
      <c r="L22" s="1386">
        <f>'[1]Дотация  из  ОБ_факт'!K17</f>
        <v>0</v>
      </c>
      <c r="M22" s="881"/>
      <c r="N22" s="1376">
        <f>'[1]Дотация  из  ОБ_факт'!Q17</f>
        <v>0</v>
      </c>
      <c r="O22" s="1385"/>
      <c r="P22" s="1399">
        <f>'[1]Дотация  из  ОБ_факт'!S17</f>
        <v>26520227</v>
      </c>
      <c r="Q22" s="1385">
        <v>19010500</v>
      </c>
      <c r="R22" s="1386">
        <f t="shared" si="3"/>
        <v>26520227</v>
      </c>
      <c r="S22" s="1387">
        <f t="shared" si="3"/>
        <v>19010500</v>
      </c>
      <c r="T22" s="1386">
        <f>'[1]Дотация  из  ОБ_факт'!W17</f>
        <v>0</v>
      </c>
      <c r="U22" s="881"/>
      <c r="V22" s="886">
        <f t="shared" si="4"/>
        <v>0</v>
      </c>
      <c r="W22" s="1388">
        <f>'[1]Дотация  из  ОБ_факт'!AA17</f>
        <v>0</v>
      </c>
      <c r="X22" s="1389">
        <f>'[1]Дотация  из  ОБ_факт'!AC17</f>
        <v>0</v>
      </c>
      <c r="Y22" s="1389">
        <f>'[1]Дотация  из  ОБ_факт'!AG17</f>
        <v>0</v>
      </c>
      <c r="Z22" s="887">
        <f t="shared" si="5"/>
        <v>0</v>
      </c>
      <c r="AA22" s="848">
        <f t="shared" si="177"/>
        <v>0</v>
      </c>
      <c r="AB22" s="848">
        <f t="shared" si="177"/>
        <v>0</v>
      </c>
      <c r="AC22" s="882"/>
      <c r="AD22" s="886">
        <f t="shared" si="6"/>
        <v>1243125</v>
      </c>
      <c r="AE22" s="1388">
        <f>'[1]Дотация  из  ОБ_факт'!Y17</f>
        <v>1243125</v>
      </c>
      <c r="AF22" s="1389">
        <f>'[1]Дотация  из  ОБ_факт'!AE17</f>
        <v>0</v>
      </c>
      <c r="AG22" s="886">
        <f t="shared" si="7"/>
        <v>1243125</v>
      </c>
      <c r="AH22" s="1359">
        <f t="shared" si="178"/>
        <v>1243125</v>
      </c>
      <c r="AI22" s="848">
        <f t="shared" si="179"/>
        <v>0</v>
      </c>
      <c r="AJ22" s="1386">
        <f t="shared" si="8"/>
        <v>1243125</v>
      </c>
      <c r="AK22" s="1387">
        <f t="shared" si="9"/>
        <v>1243125</v>
      </c>
      <c r="AL22" s="1386">
        <f>'[1]Дотация  из  ОБ_факт'!AE17</f>
        <v>0</v>
      </c>
      <c r="AM22" s="884"/>
      <c r="AN22" s="1012">
        <f>'Проверочная  таблица'!UT22+'Проверочная  таблица'!UV22+BL22+BN22+BZ22+CB22+AZ22+BD22+'Проверочная  таблица'!MT22+'Проверочная  таблица'!NJ22+'Проверочная  таблица'!DT22+'Проверочная  таблица'!OB22+DL22+'Проверочная  таблица'!JJ22+'Проверочная  таблица'!JP22+'Проверочная  таблица'!OJ22+'Проверочная  таблица'!OR22+JD22+AP22+AV22+ET22+EZ22+CN22+SP22+DZ22+TD22+PZ22+EF22+EN22+LN22+LV22+SJ22+GN22+RV22+QX22+KH22+KR22+RD22+SB22+CH22+QR22+HD22+FX22+HJ22+HP22+FR22+DB22+PP22+BT22+IH22+IX22+GV22+GD22+IN22</f>
        <v>114806510.57999998</v>
      </c>
      <c r="AO22" s="1013">
        <f>'Проверочная  таблица'!UU22+'Проверочная  таблица'!UW22+BM22+BO22+CA22+CC22+BB22+BF22+'Проверочная  таблица'!NB22+'Проверочная  таблица'!NM22+'Проверочная  таблица'!DW22+'Проверочная  таблица'!OF22+DP22+'Проверочная  таблица'!JM22+'Проверочная  таблица'!JS22+'Проверочная  таблица'!ON22+'Проверочная  таблица'!OV22+JG22+AS22+AX22+EW22+FC22+CU22+SW22+EC22+TK22+QC22+EJ22+EQ22+LR22+LZ22+SM22+GR22+RY22+RA22+KM22+KW22+RG22+SF22+CK22+QU22+HG22+GA22+HM22+HS22+FU22+DE22+PU22+BW22+IK22+JA22+GX22+GG22+IQ22</f>
        <v>39789994.210000001</v>
      </c>
      <c r="AP22" s="1050">
        <f t="shared" si="10"/>
        <v>19108300</v>
      </c>
      <c r="AQ22" s="885">
        <f>[1]Субсидия_факт!HV19</f>
        <v>19108300</v>
      </c>
      <c r="AR22" s="866">
        <f>[1]Субсидия_факт!MR19</f>
        <v>0</v>
      </c>
      <c r="AS22" s="1050">
        <f t="shared" si="11"/>
        <v>151420.42000000001</v>
      </c>
      <c r="AT22" s="866">
        <v>151420.42000000001</v>
      </c>
      <c r="AU22" s="885"/>
      <c r="AV22" s="1003">
        <f t="shared" si="12"/>
        <v>0</v>
      </c>
      <c r="AW22" s="866">
        <f>[1]Субсидия_факт!MV19</f>
        <v>0</v>
      </c>
      <c r="AX22" s="1360">
        <f t="shared" si="13"/>
        <v>0</v>
      </c>
      <c r="AY22" s="866"/>
      <c r="AZ22" s="897">
        <f t="shared" si="14"/>
        <v>0</v>
      </c>
      <c r="BA22" s="866">
        <f>[1]Субсидия_факт!KZ19</f>
        <v>0</v>
      </c>
      <c r="BB22" s="1050">
        <f t="shared" si="15"/>
        <v>0</v>
      </c>
      <c r="BC22" s="866"/>
      <c r="BD22" s="897">
        <f t="shared" si="16"/>
        <v>0</v>
      </c>
      <c r="BE22" s="866">
        <f>[1]Субсидия_факт!LB19</f>
        <v>0</v>
      </c>
      <c r="BF22" s="1050">
        <f t="shared" si="17"/>
        <v>0</v>
      </c>
      <c r="BG22" s="866"/>
      <c r="BH22" s="1373">
        <f t="shared" si="18"/>
        <v>0</v>
      </c>
      <c r="BI22" s="879">
        <f t="shared" si="19"/>
        <v>0</v>
      </c>
      <c r="BJ22" s="1390">
        <f t="shared" si="20"/>
        <v>0</v>
      </c>
      <c r="BK22" s="879">
        <f t="shared" si="21"/>
        <v>0</v>
      </c>
      <c r="BL22" s="897">
        <f>[1]Субсидия_факт!GV19</f>
        <v>0</v>
      </c>
      <c r="BM22" s="886"/>
      <c r="BN22" s="1391">
        <f>[1]Субсидия_факт!GX19</f>
        <v>0</v>
      </c>
      <c r="BO22" s="887"/>
      <c r="BP22" s="1390">
        <f t="shared" si="22"/>
        <v>0</v>
      </c>
      <c r="BQ22" s="1373">
        <f t="shared" si="22"/>
        <v>0</v>
      </c>
      <c r="BR22" s="879">
        <f>[1]Субсидия_факт!GZ19</f>
        <v>0</v>
      </c>
      <c r="BS22" s="881"/>
      <c r="BT22" s="897">
        <f t="shared" si="23"/>
        <v>19108300</v>
      </c>
      <c r="BU22" s="862">
        <f>[1]Субсидия_факт!HL19</f>
        <v>19108300</v>
      </c>
      <c r="BV22" s="866">
        <f>[1]Субсидия_факт!HN19</f>
        <v>0</v>
      </c>
      <c r="BW22" s="1050">
        <f t="shared" si="24"/>
        <v>0</v>
      </c>
      <c r="BX22" s="866"/>
      <c r="BY22" s="866"/>
      <c r="BZ22" s="1050">
        <f>[1]Субсидия_факт!HB19</f>
        <v>0</v>
      </c>
      <c r="CA22" s="888"/>
      <c r="CB22" s="1050">
        <f>[1]Субсидия_факт!HD19</f>
        <v>0</v>
      </c>
      <c r="CC22" s="887"/>
      <c r="CD22" s="1367">
        <f t="shared" si="25"/>
        <v>0</v>
      </c>
      <c r="CE22" s="878">
        <f t="shared" si="25"/>
        <v>0</v>
      </c>
      <c r="CF22" s="1368">
        <f>[1]Субсидия_факт!HF19</f>
        <v>0</v>
      </c>
      <c r="CG22" s="849"/>
      <c r="CH22" s="897">
        <f t="shared" si="26"/>
        <v>0</v>
      </c>
      <c r="CI22" s="862">
        <f>[1]Субсидия_факт!HP19</f>
        <v>0</v>
      </c>
      <c r="CJ22" s="866">
        <f>[1]Субсидия_факт!HR19</f>
        <v>0</v>
      </c>
      <c r="CK22" s="1050">
        <f t="shared" si="27"/>
        <v>0</v>
      </c>
      <c r="CL22" s="866"/>
      <c r="CM22" s="866"/>
      <c r="CN22" s="1003">
        <f t="shared" si="28"/>
        <v>0</v>
      </c>
      <c r="CO22" s="859">
        <f>[1]Субсидия_факт!LR19</f>
        <v>0</v>
      </c>
      <c r="CP22" s="858">
        <f>[1]Субсидия_факт!LT19</f>
        <v>0</v>
      </c>
      <c r="CQ22" s="850">
        <f>[1]Субсидия_факт!LV19</f>
        <v>0</v>
      </c>
      <c r="CR22" s="858">
        <f>[1]Субсидия_факт!MB19</f>
        <v>0</v>
      </c>
      <c r="CS22" s="850">
        <f>[1]Субсидия_факт!MH19</f>
        <v>0</v>
      </c>
      <c r="CT22" s="858">
        <f>[1]Субсидия_факт!MJ19</f>
        <v>0</v>
      </c>
      <c r="CU22" s="1003">
        <f t="shared" si="29"/>
        <v>0</v>
      </c>
      <c r="CV22" s="851"/>
      <c r="CW22" s="858"/>
      <c r="CX22" s="850"/>
      <c r="CY22" s="858"/>
      <c r="CZ22" s="850"/>
      <c r="DA22" s="858"/>
      <c r="DB22" s="1013">
        <f t="shared" si="205"/>
        <v>0</v>
      </c>
      <c r="DC22" s="859">
        <f>[1]Субсидия_факт!LX19</f>
        <v>0</v>
      </c>
      <c r="DD22" s="858">
        <f>[1]Субсидия_факт!MD19</f>
        <v>0</v>
      </c>
      <c r="DE22" s="1003">
        <f t="shared" si="31"/>
        <v>0</v>
      </c>
      <c r="DF22" s="859"/>
      <c r="DG22" s="860"/>
      <c r="DH22" s="1367">
        <f t="shared" si="206"/>
        <v>0</v>
      </c>
      <c r="DI22" s="878">
        <f t="shared" si="207"/>
        <v>0</v>
      </c>
      <c r="DJ22" s="1368">
        <f t="shared" si="208"/>
        <v>0</v>
      </c>
      <c r="DK22" s="849">
        <f t="shared" si="209"/>
        <v>0</v>
      </c>
      <c r="DL22" s="1050">
        <f t="shared" si="210"/>
        <v>0</v>
      </c>
      <c r="DM22" s="885">
        <f>[1]Субсидия_факт!R19</f>
        <v>0</v>
      </c>
      <c r="DN22" s="862">
        <f>[1]Субсидия_факт!T19</f>
        <v>0</v>
      </c>
      <c r="DO22" s="866">
        <f>[1]Субсидия_факт!V19</f>
        <v>0</v>
      </c>
      <c r="DP22" s="1050">
        <f t="shared" si="211"/>
        <v>0</v>
      </c>
      <c r="DQ22" s="866"/>
      <c r="DR22" s="866"/>
      <c r="DS22" s="866"/>
      <c r="DT22" s="897">
        <f t="shared" si="32"/>
        <v>0</v>
      </c>
      <c r="DU22" s="862">
        <f>[1]Субсидия_факт!AX19</f>
        <v>0</v>
      </c>
      <c r="DV22" s="863">
        <f>[1]Субсидия_факт!AZ19</f>
        <v>0</v>
      </c>
      <c r="DW22" s="1050">
        <f t="shared" si="33"/>
        <v>0</v>
      </c>
      <c r="DX22" s="885"/>
      <c r="DY22" s="889"/>
      <c r="DZ22" s="897">
        <f t="shared" si="34"/>
        <v>0</v>
      </c>
      <c r="EA22" s="862">
        <f>[1]Субсидия_факт!X19</f>
        <v>0</v>
      </c>
      <c r="EB22" s="863">
        <f>[1]Субсидия_факт!Z19</f>
        <v>0</v>
      </c>
      <c r="EC22" s="1050">
        <f t="shared" si="35"/>
        <v>0</v>
      </c>
      <c r="ED22" s="862"/>
      <c r="EE22" s="863"/>
      <c r="EF22" s="1013">
        <f t="shared" si="212"/>
        <v>0</v>
      </c>
      <c r="EG22" s="859">
        <f>[1]Субсидия_факт!AP19</f>
        <v>0</v>
      </c>
      <c r="EH22" s="859">
        <f>[1]Субсидия_факт!AL19</f>
        <v>0</v>
      </c>
      <c r="EI22" s="860">
        <f>[1]Субсидия_факт!AN19</f>
        <v>0</v>
      </c>
      <c r="EJ22" s="1013">
        <f t="shared" si="36"/>
        <v>0</v>
      </c>
      <c r="EK22" s="859"/>
      <c r="EL22" s="859"/>
      <c r="EM22" s="860"/>
      <c r="EN22" s="1013">
        <f t="shared" si="37"/>
        <v>0</v>
      </c>
      <c r="EO22" s="859">
        <f>[1]Субсидия_факт!HH19</f>
        <v>0</v>
      </c>
      <c r="EP22" s="858">
        <f>[1]Субсидия_факт!HJ19</f>
        <v>0</v>
      </c>
      <c r="EQ22" s="1003">
        <f t="shared" si="38"/>
        <v>0</v>
      </c>
      <c r="ER22" s="859"/>
      <c r="ES22" s="858"/>
      <c r="ET22" s="1013">
        <f t="shared" si="39"/>
        <v>0</v>
      </c>
      <c r="EU22" s="862">
        <f>[1]Субсидия_факт!PK19</f>
        <v>0</v>
      </c>
      <c r="EV22" s="863">
        <f>[1]Субсидия_факт!PQ19</f>
        <v>0</v>
      </c>
      <c r="EW22" s="1003">
        <f t="shared" si="40"/>
        <v>0</v>
      </c>
      <c r="EX22" s="859"/>
      <c r="EY22" s="860"/>
      <c r="EZ22" s="1013">
        <f t="shared" si="41"/>
        <v>0</v>
      </c>
      <c r="FA22" s="859">
        <f>[1]Субсидия_факт!PM19</f>
        <v>0</v>
      </c>
      <c r="FB22" s="858">
        <f>[1]Субсидия_факт!PS19</f>
        <v>0</v>
      </c>
      <c r="FC22" s="1003">
        <f t="shared" si="42"/>
        <v>0</v>
      </c>
      <c r="FD22" s="859"/>
      <c r="FE22" s="860"/>
      <c r="FF22" s="1369">
        <f t="shared" si="43"/>
        <v>0</v>
      </c>
      <c r="FG22" s="859">
        <f t="shared" si="44"/>
        <v>0</v>
      </c>
      <c r="FH22" s="858">
        <f t="shared" si="44"/>
        <v>0</v>
      </c>
      <c r="FI22" s="878">
        <f t="shared" si="45"/>
        <v>0</v>
      </c>
      <c r="FJ22" s="859">
        <f t="shared" si="46"/>
        <v>0</v>
      </c>
      <c r="FK22" s="858">
        <f t="shared" si="46"/>
        <v>0</v>
      </c>
      <c r="FL22" s="1369">
        <f t="shared" si="47"/>
        <v>0</v>
      </c>
      <c r="FM22" s="859">
        <f>[1]Субсидия_факт!PO19</f>
        <v>0</v>
      </c>
      <c r="FN22" s="858">
        <f>[1]Субсидия_факт!PU19</f>
        <v>0</v>
      </c>
      <c r="FO22" s="878">
        <f t="shared" si="48"/>
        <v>0</v>
      </c>
      <c r="FP22" s="859"/>
      <c r="FQ22" s="860"/>
      <c r="FR22" s="1013">
        <f t="shared" si="49"/>
        <v>0</v>
      </c>
      <c r="FS22" s="862">
        <f>[1]Субсидия_факт!EP19</f>
        <v>0</v>
      </c>
      <c r="FT22" s="863">
        <f>[1]Субсидия_факт!ER19</f>
        <v>0</v>
      </c>
      <c r="FU22" s="1371">
        <f t="shared" si="50"/>
        <v>0</v>
      </c>
      <c r="FV22" s="862"/>
      <c r="FW22" s="863"/>
      <c r="FX22" s="1400">
        <f t="shared" si="51"/>
        <v>0</v>
      </c>
      <c r="FY22" s="862">
        <f>[1]Субсидия_факт!JN19</f>
        <v>0</v>
      </c>
      <c r="FZ22" s="863">
        <f>[1]Субсидия_факт!JP19</f>
        <v>0</v>
      </c>
      <c r="GA22" s="897">
        <f t="shared" si="52"/>
        <v>0</v>
      </c>
      <c r="GB22" s="862"/>
      <c r="GC22" s="863"/>
      <c r="GD22" s="1406">
        <f t="shared" si="53"/>
        <v>0</v>
      </c>
      <c r="GE22" s="859">
        <f>[1]Субсидия_факт!JR19</f>
        <v>0</v>
      </c>
      <c r="GF22" s="860">
        <f>[1]Субсидия_факт!JV19</f>
        <v>0</v>
      </c>
      <c r="GG22" s="1372">
        <f t="shared" si="54"/>
        <v>0</v>
      </c>
      <c r="GH22" s="862"/>
      <c r="GI22" s="889"/>
      <c r="GJ22" s="1373">
        <f t="shared" si="213"/>
        <v>0</v>
      </c>
      <c r="GK22" s="879">
        <f t="shared" si="214"/>
        <v>0</v>
      </c>
      <c r="GL22" s="1390">
        <f t="shared" si="215"/>
        <v>0</v>
      </c>
      <c r="GM22" s="879">
        <f t="shared" si="216"/>
        <v>0</v>
      </c>
      <c r="GN22" s="1371">
        <f t="shared" si="55"/>
        <v>0</v>
      </c>
      <c r="GO22" s="862">
        <f>[1]Субсидия_факт!KL19</f>
        <v>0</v>
      </c>
      <c r="GP22" s="863">
        <f>[1]Субсидия_факт!KN19</f>
        <v>0</v>
      </c>
      <c r="GQ22" s="862">
        <f>[1]Субсидия_факт!KP19</f>
        <v>0</v>
      </c>
      <c r="GR22" s="897">
        <f t="shared" si="56"/>
        <v>0</v>
      </c>
      <c r="GS22" s="862"/>
      <c r="GT22" s="863"/>
      <c r="GU22" s="866"/>
      <c r="GV22" s="1372">
        <f t="shared" si="217"/>
        <v>0</v>
      </c>
      <c r="GW22" s="862">
        <f>[1]Субсидия_факт!KR19</f>
        <v>0</v>
      </c>
      <c r="GX22" s="1372">
        <f t="shared" si="217"/>
        <v>0</v>
      </c>
      <c r="GY22" s="866"/>
      <c r="GZ22" s="1373">
        <f t="shared" si="218"/>
        <v>0</v>
      </c>
      <c r="HA22" s="1373">
        <f t="shared" si="219"/>
        <v>0</v>
      </c>
      <c r="HB22" s="1373">
        <f t="shared" si="220"/>
        <v>0</v>
      </c>
      <c r="HC22" s="1373">
        <f t="shared" si="221"/>
        <v>0</v>
      </c>
      <c r="HD22" s="1400">
        <f t="shared" si="57"/>
        <v>0</v>
      </c>
      <c r="HE22" s="862">
        <f>[1]Субсидия_факт!KV19</f>
        <v>0</v>
      </c>
      <c r="HF22" s="863">
        <f>[1]Субсидия_факт!KX19</f>
        <v>0</v>
      </c>
      <c r="HG22" s="1050">
        <f t="shared" si="58"/>
        <v>0</v>
      </c>
      <c r="HH22" s="862"/>
      <c r="HI22" s="863"/>
      <c r="HJ22" s="1400">
        <f t="shared" si="59"/>
        <v>0</v>
      </c>
      <c r="HK22" s="862"/>
      <c r="HL22" s="863"/>
      <c r="HM22" s="1050">
        <f t="shared" si="60"/>
        <v>0</v>
      </c>
      <c r="HN22" s="862"/>
      <c r="HO22" s="863"/>
      <c r="HP22" s="1400">
        <f t="shared" si="61"/>
        <v>0</v>
      </c>
      <c r="HQ22" s="862">
        <f>[1]Субсидия_факт!FV19</f>
        <v>0</v>
      </c>
      <c r="HR22" s="863">
        <f>[1]Субсидия_факт!FZ19</f>
        <v>0</v>
      </c>
      <c r="HS22" s="1050">
        <f t="shared" si="62"/>
        <v>0</v>
      </c>
      <c r="HT22" s="862"/>
      <c r="HU22" s="863"/>
      <c r="HV22" s="1369">
        <f t="shared" si="63"/>
        <v>0</v>
      </c>
      <c r="HW22" s="859">
        <f t="shared" si="64"/>
        <v>0</v>
      </c>
      <c r="HX22" s="858">
        <f t="shared" si="64"/>
        <v>0</v>
      </c>
      <c r="HY22" s="878">
        <f t="shared" si="65"/>
        <v>0</v>
      </c>
      <c r="HZ22" s="859">
        <f t="shared" si="66"/>
        <v>0</v>
      </c>
      <c r="IA22" s="858">
        <f t="shared" si="66"/>
        <v>0</v>
      </c>
      <c r="IB22" s="1369">
        <f t="shared" si="67"/>
        <v>0</v>
      </c>
      <c r="IC22" s="859">
        <f>[1]Субсидия_факт!FX19</f>
        <v>0</v>
      </c>
      <c r="ID22" s="858">
        <f>[1]Субсидия_факт!GB19</f>
        <v>0</v>
      </c>
      <c r="IE22" s="878">
        <f t="shared" si="68"/>
        <v>0</v>
      </c>
      <c r="IF22" s="859">
        <f t="shared" si="187"/>
        <v>0</v>
      </c>
      <c r="IG22" s="860">
        <f t="shared" si="188"/>
        <v>0</v>
      </c>
      <c r="IH22" s="1400">
        <f t="shared" si="69"/>
        <v>0</v>
      </c>
      <c r="II22" s="859">
        <f>[1]Субсидия_факт!ED19</f>
        <v>0</v>
      </c>
      <c r="IJ22" s="860">
        <f>[1]Субсидия_факт!EF19</f>
        <v>0</v>
      </c>
      <c r="IK22" s="1050">
        <f t="shared" si="70"/>
        <v>0</v>
      </c>
      <c r="IL22" s="862"/>
      <c r="IM22" s="863"/>
      <c r="IN22" s="1406">
        <f t="shared" si="71"/>
        <v>0</v>
      </c>
      <c r="IO22" s="859">
        <f>[1]Субсидия_факт!EH19</f>
        <v>0</v>
      </c>
      <c r="IP22" s="860">
        <f>[1]Субсидия_факт!EL19</f>
        <v>0</v>
      </c>
      <c r="IQ22" s="1392">
        <f t="shared" si="72"/>
        <v>0</v>
      </c>
      <c r="IR22" s="862"/>
      <c r="IS22" s="889"/>
      <c r="IT22" s="1373">
        <f t="shared" si="222"/>
        <v>0</v>
      </c>
      <c r="IU22" s="1373">
        <f t="shared" si="223"/>
        <v>0</v>
      </c>
      <c r="IV22" s="1373">
        <f t="shared" si="224"/>
        <v>0</v>
      </c>
      <c r="IW22" s="879">
        <f t="shared" si="225"/>
        <v>0</v>
      </c>
      <c r="IX22" s="1407">
        <f t="shared" si="73"/>
        <v>0</v>
      </c>
      <c r="IY22" s="859">
        <f>[1]Субсидия_факт!BX19</f>
        <v>0</v>
      </c>
      <c r="IZ22" s="860">
        <f>[1]Субсидия_факт!BZ19</f>
        <v>0</v>
      </c>
      <c r="JA22" s="1050">
        <f t="shared" si="74"/>
        <v>0</v>
      </c>
      <c r="JB22" s="862"/>
      <c r="JC22" s="863"/>
      <c r="JD22" s="1400">
        <f t="shared" si="75"/>
        <v>0</v>
      </c>
      <c r="JE22" s="862">
        <f>[1]Субсидия_факт!ET19</f>
        <v>0</v>
      </c>
      <c r="JF22" s="863">
        <f>[1]Субсидия_факт!EV19</f>
        <v>0</v>
      </c>
      <c r="JG22" s="1050">
        <f t="shared" si="76"/>
        <v>0</v>
      </c>
      <c r="JH22" s="862"/>
      <c r="JI22" s="863"/>
      <c r="JJ22" s="1003">
        <f t="shared" si="77"/>
        <v>0</v>
      </c>
      <c r="JK22" s="859">
        <f>[1]Субсидия_факт!EX19</f>
        <v>0</v>
      </c>
      <c r="JL22" s="858">
        <f>[1]Субсидия_факт!FD19</f>
        <v>0</v>
      </c>
      <c r="JM22" s="1003">
        <f t="shared" si="78"/>
        <v>0</v>
      </c>
      <c r="JN22" s="859"/>
      <c r="JO22" s="860"/>
      <c r="JP22" s="1003">
        <f t="shared" si="79"/>
        <v>0</v>
      </c>
      <c r="JQ22" s="859">
        <f>[1]Субсидия_факт!EZ19</f>
        <v>0</v>
      </c>
      <c r="JR22" s="860">
        <f>[1]Субсидия_факт!FF19</f>
        <v>0</v>
      </c>
      <c r="JS22" s="1003">
        <f t="shared" si="80"/>
        <v>0</v>
      </c>
      <c r="JT22" s="850"/>
      <c r="JU22" s="864"/>
      <c r="JV22" s="1003">
        <f t="shared" si="81"/>
        <v>-86515.47</v>
      </c>
      <c r="JW22" s="851">
        <f>'Проверочная  таблица'!JQ22-'Проверочная  таблица'!KC22</f>
        <v>-22494.020000000004</v>
      </c>
      <c r="JX22" s="860">
        <f>'Проверочная  таблица'!JR22-'Проверочная  таблица'!KD22</f>
        <v>-64021.45</v>
      </c>
      <c r="JY22" s="1368">
        <f t="shared" si="82"/>
        <v>0</v>
      </c>
      <c r="JZ22" s="850">
        <f>'Проверочная  таблица'!JT22-'Проверочная  таблица'!KF22</f>
        <v>0</v>
      </c>
      <c r="KA22" s="867">
        <f>'Проверочная  таблица'!JU22-'Проверочная  таблица'!KG22</f>
        <v>0</v>
      </c>
      <c r="KB22" s="1003">
        <f t="shared" si="83"/>
        <v>86515.47</v>
      </c>
      <c r="KC22" s="859">
        <f>[1]Субсидия_факт!FB19</f>
        <v>22494.020000000004</v>
      </c>
      <c r="KD22" s="858">
        <f>[1]Субсидия_факт!FH19</f>
        <v>64021.45</v>
      </c>
      <c r="KE22" s="878">
        <f t="shared" si="84"/>
        <v>0</v>
      </c>
      <c r="KF22" s="859"/>
      <c r="KG22" s="860"/>
      <c r="KH22" s="1352">
        <f t="shared" si="226"/>
        <v>695693.15999999992</v>
      </c>
      <c r="KI22" s="850">
        <f>[1]Субсидия_факт!OD19</f>
        <v>264430</v>
      </c>
      <c r="KJ22" s="860">
        <f>[1]Субсидия_факт!OJ19</f>
        <v>329453.15999999997</v>
      </c>
      <c r="KK22" s="850">
        <f>[1]Субсидия_факт!OR19</f>
        <v>37012.79</v>
      </c>
      <c r="KL22" s="860">
        <f>[1]Субсидия_факт!OT19</f>
        <v>64797.21</v>
      </c>
      <c r="KM22" s="1352">
        <f t="shared" si="85"/>
        <v>0</v>
      </c>
      <c r="KN22" s="850"/>
      <c r="KO22" s="860"/>
      <c r="KP22" s="850"/>
      <c r="KQ22" s="860"/>
      <c r="KR22" s="1352">
        <f t="shared" si="227"/>
        <v>37340</v>
      </c>
      <c r="KS22" s="885">
        <f>[1]Субсидия_факт!OF19</f>
        <v>37340</v>
      </c>
      <c r="KT22" s="863">
        <f>[1]Субсидия_факт!OL19</f>
        <v>0</v>
      </c>
      <c r="KU22" s="885"/>
      <c r="KV22" s="863"/>
      <c r="KW22" s="1352">
        <f t="shared" si="86"/>
        <v>0</v>
      </c>
      <c r="KX22" s="850"/>
      <c r="KY22" s="860"/>
      <c r="KZ22" s="850"/>
      <c r="LA22" s="860"/>
      <c r="LB22" s="1354">
        <f t="shared" si="87"/>
        <v>-27130</v>
      </c>
      <c r="LC22" s="885">
        <f t="shared" si="88"/>
        <v>-27130</v>
      </c>
      <c r="LD22" s="863">
        <f t="shared" si="88"/>
        <v>0</v>
      </c>
      <c r="LE22" s="1354">
        <f t="shared" si="89"/>
        <v>0</v>
      </c>
      <c r="LF22" s="885">
        <f t="shared" si="90"/>
        <v>0</v>
      </c>
      <c r="LG22" s="863">
        <f t="shared" si="90"/>
        <v>0</v>
      </c>
      <c r="LH22" s="1354">
        <f t="shared" si="91"/>
        <v>64470</v>
      </c>
      <c r="LI22" s="859">
        <f>[1]Субсидия_факт!OH19</f>
        <v>64470</v>
      </c>
      <c r="LJ22" s="858">
        <f>[1]Субсидия_факт!ON19</f>
        <v>0</v>
      </c>
      <c r="LK22" s="1354">
        <f t="shared" si="92"/>
        <v>0</v>
      </c>
      <c r="LL22" s="851"/>
      <c r="LM22" s="860"/>
      <c r="LN22" s="1050">
        <f t="shared" si="228"/>
        <v>0</v>
      </c>
      <c r="LO22" s="865">
        <f>[1]Субсидия_факт!DP19</f>
        <v>0</v>
      </c>
      <c r="LP22" s="850">
        <f>[1]Субсидия_факт!CB19</f>
        <v>0</v>
      </c>
      <c r="LQ22" s="860">
        <f>[1]Субсидия_факт!CH19</f>
        <v>0</v>
      </c>
      <c r="LR22" s="1050">
        <f t="shared" si="93"/>
        <v>0</v>
      </c>
      <c r="LS22" s="865"/>
      <c r="LT22" s="850"/>
      <c r="LU22" s="860"/>
      <c r="LV22" s="1050">
        <f t="shared" si="229"/>
        <v>0</v>
      </c>
      <c r="LW22" s="865">
        <f>[1]Субсидия_факт!DR19</f>
        <v>0</v>
      </c>
      <c r="LX22" s="850">
        <f>[1]Субсидия_факт!CD19</f>
        <v>0</v>
      </c>
      <c r="LY22" s="860">
        <f>[1]Субсидия_факт!CJ19</f>
        <v>0</v>
      </c>
      <c r="LZ22" s="1050">
        <f t="shared" si="94"/>
        <v>0</v>
      </c>
      <c r="MA22" s="865"/>
      <c r="MB22" s="850"/>
      <c r="MC22" s="858"/>
      <c r="MD22" s="879">
        <f t="shared" si="95"/>
        <v>0</v>
      </c>
      <c r="ME22" s="862">
        <f>'Проверочная  таблица'!LW22-MM22</f>
        <v>0</v>
      </c>
      <c r="MF22" s="862">
        <f>'Проверочная  таблица'!LX22-MN22</f>
        <v>0</v>
      </c>
      <c r="MG22" s="863">
        <f>'Проверочная  таблица'!LY22-MO22</f>
        <v>0</v>
      </c>
      <c r="MH22" s="879">
        <f t="shared" si="96"/>
        <v>0</v>
      </c>
      <c r="MI22" s="862">
        <f>'Проверочная  таблица'!MA22-MQ22</f>
        <v>0</v>
      </c>
      <c r="MJ22" s="862">
        <f>'Проверочная  таблица'!MB22-MR22</f>
        <v>0</v>
      </c>
      <c r="MK22" s="863">
        <f>'Проверочная  таблица'!MC22-MS22</f>
        <v>0</v>
      </c>
      <c r="ML22" s="879">
        <f t="shared" si="97"/>
        <v>0</v>
      </c>
      <c r="MM22" s="850">
        <f>[1]Субсидия_факт!DT19</f>
        <v>0</v>
      </c>
      <c r="MN22" s="850">
        <f>[1]Субсидия_факт!CF19</f>
        <v>0</v>
      </c>
      <c r="MO22" s="860">
        <f>[1]Субсидия_факт!CL19</f>
        <v>0</v>
      </c>
      <c r="MP22" s="879">
        <f t="shared" si="98"/>
        <v>0</v>
      </c>
      <c r="MQ22" s="850"/>
      <c r="MR22" s="850"/>
      <c r="MS22" s="860"/>
      <c r="MT22" s="1360">
        <f t="shared" si="230"/>
        <v>86515.47</v>
      </c>
      <c r="MU22" s="850">
        <f>[1]Субсидия_факт!CN19</f>
        <v>0</v>
      </c>
      <c r="MV22" s="858">
        <f>[1]Субсидия_факт!CP19</f>
        <v>0</v>
      </c>
      <c r="MW22" s="862">
        <f>[1]Субсидия_факт!CR19</f>
        <v>0</v>
      </c>
      <c r="MX22" s="863">
        <f>[1]Субсидия_факт!CT19</f>
        <v>0</v>
      </c>
      <c r="MY22" s="851">
        <f>[1]Субсидия_факт!DV19</f>
        <v>0</v>
      </c>
      <c r="MZ22" s="859">
        <f>[1]Субсидия_факт!FJ19</f>
        <v>22494.020000000004</v>
      </c>
      <c r="NA22" s="858">
        <f>[1]Субсидия_факт!FP19</f>
        <v>64021.45</v>
      </c>
      <c r="NB22" s="1003">
        <f t="shared" si="99"/>
        <v>86515.47</v>
      </c>
      <c r="NC22" s="850"/>
      <c r="ND22" s="860"/>
      <c r="NE22" s="866"/>
      <c r="NF22" s="890"/>
      <c r="NG22" s="850"/>
      <c r="NH22" s="850">
        <f t="shared" si="250"/>
        <v>22494.020000000004</v>
      </c>
      <c r="NI22" s="860">
        <f t="shared" si="250"/>
        <v>64021.45</v>
      </c>
      <c r="NJ22" s="1003">
        <f t="shared" si="231"/>
        <v>0</v>
      </c>
      <c r="NK22" s="859">
        <f>[1]Субсидия_факт!FL19</f>
        <v>0</v>
      </c>
      <c r="NL22" s="858">
        <f>[1]Субсидия_факт!FR19</f>
        <v>0</v>
      </c>
      <c r="NM22" s="1003">
        <f t="shared" si="101"/>
        <v>0</v>
      </c>
      <c r="NN22" s="851"/>
      <c r="NO22" s="860"/>
      <c r="NP22" s="878">
        <f t="shared" si="102"/>
        <v>0</v>
      </c>
      <c r="NQ22" s="859">
        <f>'Проверочная  таблица'!NK22-NW22</f>
        <v>0</v>
      </c>
      <c r="NR22" s="860">
        <f>'Проверочная  таблица'!NL22-NX22</f>
        <v>0</v>
      </c>
      <c r="NS22" s="878">
        <f t="shared" si="103"/>
        <v>0</v>
      </c>
      <c r="NT22" s="850">
        <f>'Проверочная  таблица'!NN22-NZ22</f>
        <v>0</v>
      </c>
      <c r="NU22" s="867">
        <f>'Проверочная  таблица'!NO22-OA22</f>
        <v>0</v>
      </c>
      <c r="NV22" s="878">
        <f t="shared" si="232"/>
        <v>0</v>
      </c>
      <c r="NW22" s="859">
        <f>[1]Субсидия_факт!FN19</f>
        <v>0</v>
      </c>
      <c r="NX22" s="858">
        <f>[1]Субсидия_факт!FT19</f>
        <v>0</v>
      </c>
      <c r="NY22" s="878">
        <f t="shared" si="104"/>
        <v>0</v>
      </c>
      <c r="NZ22" s="850"/>
      <c r="OA22" s="860"/>
      <c r="OB22" s="1012">
        <f t="shared" si="233"/>
        <v>0</v>
      </c>
      <c r="OC22" s="859">
        <f>[1]Субсидия_факт!AR19</f>
        <v>0</v>
      </c>
      <c r="OD22" s="858">
        <f>[1]Субсидия_факт!AT19</f>
        <v>0</v>
      </c>
      <c r="OE22" s="859">
        <f>[1]Субсидия_факт!AV19</f>
        <v>0</v>
      </c>
      <c r="OF22" s="1050">
        <f t="shared" si="105"/>
        <v>0</v>
      </c>
      <c r="OG22" s="866"/>
      <c r="OH22" s="863"/>
      <c r="OI22" s="866"/>
      <c r="OJ22" s="1376">
        <f t="shared" si="106"/>
        <v>7388479.1600000001</v>
      </c>
      <c r="OK22" s="859">
        <f>[1]Субсидия_факт!GD19</f>
        <v>0</v>
      </c>
      <c r="OL22" s="858">
        <f>[1]Субсидия_факт!GJ19</f>
        <v>7388479.1600000001</v>
      </c>
      <c r="OM22" s="866">
        <f>[1]Субсидия_факт!GP19</f>
        <v>0</v>
      </c>
      <c r="ON22" s="1376">
        <f t="shared" si="107"/>
        <v>0</v>
      </c>
      <c r="OO22" s="851"/>
      <c r="OP22" s="860"/>
      <c r="OQ22" s="850"/>
      <c r="OR22" s="1352">
        <f t="shared" si="234"/>
        <v>7388479.1600000001</v>
      </c>
      <c r="OS22" s="859">
        <f>[1]Субсидия_факт!GF19</f>
        <v>0</v>
      </c>
      <c r="OT22" s="858">
        <f>[1]Субсидия_факт!GL19</f>
        <v>0</v>
      </c>
      <c r="OU22" s="850">
        <f>[1]Субсидия_факт!GR19</f>
        <v>7388479.1600000001</v>
      </c>
      <c r="OV22" s="1352">
        <f t="shared" si="108"/>
        <v>0</v>
      </c>
      <c r="OW22" s="850"/>
      <c r="OX22" s="867"/>
      <c r="OY22" s="850">
        <v>0</v>
      </c>
      <c r="OZ22" s="1354">
        <f t="shared" si="109"/>
        <v>7388479.1600000001</v>
      </c>
      <c r="PA22" s="885">
        <f>'Проверочная  таблица'!OS22-PI22</f>
        <v>0</v>
      </c>
      <c r="PB22" s="863">
        <f>'Проверочная  таблица'!OT22-PJ22</f>
        <v>0</v>
      </c>
      <c r="PC22" s="866">
        <f>'Проверочная  таблица'!OU22-PK22</f>
        <v>7388479.1600000001</v>
      </c>
      <c r="PD22" s="1354">
        <f t="shared" si="235"/>
        <v>0</v>
      </c>
      <c r="PE22" s="851">
        <f>'Проверочная  таблица'!OW22-PM22</f>
        <v>0</v>
      </c>
      <c r="PF22" s="860">
        <f>'Проверочная  таблица'!OX22-PN22</f>
        <v>0</v>
      </c>
      <c r="PG22" s="850">
        <f>'Проверочная  таблица'!OY22-PO22</f>
        <v>0</v>
      </c>
      <c r="PH22" s="1354">
        <f t="shared" si="110"/>
        <v>0</v>
      </c>
      <c r="PI22" s="859">
        <f>[1]Субсидия_факт!GH19</f>
        <v>0</v>
      </c>
      <c r="PJ22" s="858">
        <f>[1]Субсидия_факт!GN19</f>
        <v>0</v>
      </c>
      <c r="PK22" s="859">
        <f>[1]Субсидия_факт!GT19</f>
        <v>0</v>
      </c>
      <c r="PL22" s="1354">
        <f t="shared" si="111"/>
        <v>0</v>
      </c>
      <c r="PM22" s="851">
        <f t="shared" si="191"/>
        <v>0</v>
      </c>
      <c r="PN22" s="860">
        <f t="shared" si="192"/>
        <v>0</v>
      </c>
      <c r="PO22" s="859"/>
      <c r="PP22" s="1003">
        <f t="shared" si="193"/>
        <v>0</v>
      </c>
      <c r="PQ22" s="862">
        <f>[1]Субсидия_факт!JB19</f>
        <v>0</v>
      </c>
      <c r="PR22" s="863">
        <f>[1]Субсидия_факт!JH19</f>
        <v>0</v>
      </c>
      <c r="PS22" s="862"/>
      <c r="PT22" s="863"/>
      <c r="PU22" s="1003">
        <f t="shared" si="194"/>
        <v>0</v>
      </c>
      <c r="PV22" s="866"/>
      <c r="PW22" s="890"/>
      <c r="PX22" s="866"/>
      <c r="PY22" s="890"/>
      <c r="PZ22" s="1050">
        <f t="shared" si="112"/>
        <v>1449142.88</v>
      </c>
      <c r="QA22" s="862">
        <f>[1]Субсидия_факт!JD19</f>
        <v>72457.149999999994</v>
      </c>
      <c r="QB22" s="863">
        <f>[1]Субсидия_факт!JJ19</f>
        <v>1376685.73</v>
      </c>
      <c r="QC22" s="1391">
        <f t="shared" si="113"/>
        <v>0</v>
      </c>
      <c r="QD22" s="866">
        <v>0</v>
      </c>
      <c r="QE22" s="890">
        <v>0</v>
      </c>
      <c r="QF22" s="879">
        <f t="shared" si="236"/>
        <v>1449142.88</v>
      </c>
      <c r="QG22" s="866">
        <f t="shared" si="114"/>
        <v>72457.149999999994</v>
      </c>
      <c r="QH22" s="863">
        <f t="shared" si="114"/>
        <v>1376685.73</v>
      </c>
      <c r="QI22" s="1373">
        <f t="shared" si="115"/>
        <v>0</v>
      </c>
      <c r="QJ22" s="862">
        <f t="shared" si="116"/>
        <v>0</v>
      </c>
      <c r="QK22" s="863">
        <f t="shared" si="116"/>
        <v>0</v>
      </c>
      <c r="QL22" s="1373">
        <f t="shared" si="117"/>
        <v>0</v>
      </c>
      <c r="QM22" s="862">
        <f>[1]Субсидия_факт!JF19</f>
        <v>0</v>
      </c>
      <c r="QN22" s="863">
        <f>[1]Субсидия_факт!JL19</f>
        <v>0</v>
      </c>
      <c r="QO22" s="879">
        <f t="shared" si="237"/>
        <v>0</v>
      </c>
      <c r="QP22" s="866"/>
      <c r="QQ22" s="890"/>
      <c r="QR22" s="1400">
        <f t="shared" si="118"/>
        <v>0</v>
      </c>
      <c r="QS22" s="862">
        <f>[1]Субсидия_факт!CV19</f>
        <v>0</v>
      </c>
      <c r="QT22" s="863">
        <f>[1]Субсидия_факт!CX19</f>
        <v>0</v>
      </c>
      <c r="QU22" s="1050">
        <f t="shared" si="119"/>
        <v>0</v>
      </c>
      <c r="QV22" s="862"/>
      <c r="QW22" s="863"/>
      <c r="QX22" s="897">
        <f t="shared" si="120"/>
        <v>0</v>
      </c>
      <c r="QY22" s="862">
        <f>[1]Субсидия_факт!CZ19</f>
        <v>0</v>
      </c>
      <c r="QZ22" s="863">
        <f>[1]Субсидия_факт!DF19</f>
        <v>0</v>
      </c>
      <c r="RA22" s="1050">
        <f t="shared" si="121"/>
        <v>0</v>
      </c>
      <c r="RB22" s="862"/>
      <c r="RC22" s="863"/>
      <c r="RD22" s="1400">
        <f t="shared" si="122"/>
        <v>0</v>
      </c>
      <c r="RE22" s="862">
        <f>[1]Субсидия_факт!DB19</f>
        <v>0</v>
      </c>
      <c r="RF22" s="863">
        <f>[1]Субсидия_факт!DH19</f>
        <v>0</v>
      </c>
      <c r="RG22" s="1050">
        <f t="shared" si="123"/>
        <v>0</v>
      </c>
      <c r="RH22" s="862"/>
      <c r="RI22" s="863"/>
      <c r="RJ22" s="1373">
        <f t="shared" si="124"/>
        <v>0</v>
      </c>
      <c r="RK22" s="862">
        <f t="shared" si="125"/>
        <v>0</v>
      </c>
      <c r="RL22" s="863">
        <f t="shared" si="125"/>
        <v>0</v>
      </c>
      <c r="RM22" s="879">
        <f t="shared" si="126"/>
        <v>0</v>
      </c>
      <c r="RN22" s="862">
        <f t="shared" si="127"/>
        <v>0</v>
      </c>
      <c r="RO22" s="863">
        <f t="shared" si="127"/>
        <v>0</v>
      </c>
      <c r="RP22" s="1400">
        <f t="shared" si="128"/>
        <v>0</v>
      </c>
      <c r="RQ22" s="862">
        <f>[1]Субсидия_факт!DD19</f>
        <v>0</v>
      </c>
      <c r="RR22" s="863">
        <f>[1]Субсидия_факт!DJ19</f>
        <v>0</v>
      </c>
      <c r="RS22" s="879">
        <f t="shared" si="129"/>
        <v>0</v>
      </c>
      <c r="RT22" s="862"/>
      <c r="RU22" s="863"/>
      <c r="RV22" s="897">
        <f t="shared" si="130"/>
        <v>0</v>
      </c>
      <c r="RW22" s="862">
        <f>[1]Субсидия_факт!DL19</f>
        <v>0</v>
      </c>
      <c r="RX22" s="863">
        <f>[1]Субсидия_факт!DN19</f>
        <v>0</v>
      </c>
      <c r="RY22" s="1391">
        <f t="shared" si="131"/>
        <v>0</v>
      </c>
      <c r="RZ22" s="885"/>
      <c r="SA22" s="889"/>
      <c r="SB22" s="1050">
        <f t="shared" si="238"/>
        <v>0</v>
      </c>
      <c r="SC22" s="859">
        <f>[1]Субсидия_факт!BJ19</f>
        <v>0</v>
      </c>
      <c r="SD22" s="862">
        <f>[1]Субсидия_факт!BF19</f>
        <v>0</v>
      </c>
      <c r="SE22" s="889">
        <f>[1]Субсидия_факт!BH19</f>
        <v>0</v>
      </c>
      <c r="SF22" s="1050">
        <f t="shared" si="132"/>
        <v>0</v>
      </c>
      <c r="SG22" s="891"/>
      <c r="SH22" s="885"/>
      <c r="SI22" s="889"/>
      <c r="SJ22" s="897">
        <f t="shared" si="133"/>
        <v>0</v>
      </c>
      <c r="SK22" s="862">
        <f>[1]Субсидия_факт!AD19</f>
        <v>0</v>
      </c>
      <c r="SL22" s="863">
        <f>[1]Субсидия_факт!AF19</f>
        <v>0</v>
      </c>
      <c r="SM22" s="1050">
        <f t="shared" si="134"/>
        <v>0</v>
      </c>
      <c r="SN22" s="885"/>
      <c r="SO22" s="889"/>
      <c r="SP22" s="897">
        <f t="shared" si="239"/>
        <v>0</v>
      </c>
      <c r="SQ22" s="862">
        <f>[1]Субсидия_факт!ID19</f>
        <v>0</v>
      </c>
      <c r="SR22" s="863">
        <f>[1]Субсидия_факт!IJ19</f>
        <v>0</v>
      </c>
      <c r="SS22" s="885">
        <f>[1]Субсидия_факт!IP19</f>
        <v>0</v>
      </c>
      <c r="ST22" s="863">
        <f>[1]Субсидия_факт!IV19</f>
        <v>0</v>
      </c>
      <c r="SU22" s="1123">
        <f>[1]Субсидия_факт!JZ19</f>
        <v>0</v>
      </c>
      <c r="SV22" s="889">
        <f>[1]Субсидия_факт!KF19</f>
        <v>0</v>
      </c>
      <c r="SW22" s="1050">
        <f t="shared" si="135"/>
        <v>0</v>
      </c>
      <c r="SX22" s="1244"/>
      <c r="SY22" s="890"/>
      <c r="SZ22" s="1244"/>
      <c r="TA22" s="890"/>
      <c r="TB22" s="1123"/>
      <c r="TC22" s="889"/>
      <c r="TD22" s="897">
        <f t="shared" si="136"/>
        <v>12580210.82</v>
      </c>
      <c r="TE22" s="862">
        <f>[1]Субсидия_факт!IF19</f>
        <v>629010.56999999995</v>
      </c>
      <c r="TF22" s="863">
        <f>[1]Субсидия_факт!IL19</f>
        <v>11951200.25</v>
      </c>
      <c r="TG22" s="885">
        <f>[1]Субсидия_факт!IR19</f>
        <v>0</v>
      </c>
      <c r="TH22" s="863">
        <f>[1]Субсидия_факт!IX19</f>
        <v>0</v>
      </c>
      <c r="TI22" s="885">
        <f>[1]Субсидия_факт!KB19</f>
        <v>0</v>
      </c>
      <c r="TJ22" s="863">
        <f>[1]Субсидия_факт!KH19</f>
        <v>0</v>
      </c>
      <c r="TK22" s="1050">
        <f t="shared" si="137"/>
        <v>6845958.6699999999</v>
      </c>
      <c r="TL22" s="866">
        <v>342297.93</v>
      </c>
      <c r="TM22" s="890">
        <v>6503660.7400000002</v>
      </c>
      <c r="TN22" s="1123"/>
      <c r="TO22" s="890"/>
      <c r="TP22" s="866"/>
      <c r="TQ22" s="890"/>
      <c r="TR22" s="1016">
        <f t="shared" si="138"/>
        <v>12580210.82</v>
      </c>
      <c r="TS22" s="859">
        <f t="shared" si="139"/>
        <v>629010.56999999995</v>
      </c>
      <c r="TT22" s="860">
        <f t="shared" si="139"/>
        <v>11951200.25</v>
      </c>
      <c r="TU22" s="859">
        <f t="shared" si="139"/>
        <v>0</v>
      </c>
      <c r="TV22" s="860">
        <f t="shared" si="139"/>
        <v>0</v>
      </c>
      <c r="TW22" s="851">
        <f t="shared" si="139"/>
        <v>0</v>
      </c>
      <c r="TX22" s="860">
        <f t="shared" si="139"/>
        <v>0</v>
      </c>
      <c r="TY22" s="878">
        <f t="shared" si="140"/>
        <v>6845958.6699999999</v>
      </c>
      <c r="TZ22" s="859">
        <f t="shared" si="141"/>
        <v>342297.93</v>
      </c>
      <c r="UA22" s="860">
        <f t="shared" si="141"/>
        <v>6503660.7400000002</v>
      </c>
      <c r="UB22" s="859">
        <f t="shared" si="141"/>
        <v>0</v>
      </c>
      <c r="UC22" s="860">
        <f t="shared" si="141"/>
        <v>0</v>
      </c>
      <c r="UD22" s="851">
        <f t="shared" si="141"/>
        <v>0</v>
      </c>
      <c r="UE22" s="860">
        <f t="shared" si="141"/>
        <v>0</v>
      </c>
      <c r="UF22" s="1029">
        <f t="shared" si="142"/>
        <v>0</v>
      </c>
      <c r="UG22" s="862">
        <f>[1]Субсидия_факт!IH19</f>
        <v>0</v>
      </c>
      <c r="UH22" s="863">
        <f>[1]Субсидия_факт!IN19</f>
        <v>0</v>
      </c>
      <c r="UI22" s="885">
        <f>[1]Субсидия_факт!IT19</f>
        <v>0</v>
      </c>
      <c r="UJ22" s="863">
        <f>[1]Субсидия_факт!IZ19</f>
        <v>0</v>
      </c>
      <c r="UK22" s="885">
        <f>[1]Субсидия_факт!KD19</f>
        <v>0</v>
      </c>
      <c r="UL22" s="863">
        <f>[1]Субсидия_факт!KJ19</f>
        <v>0</v>
      </c>
      <c r="UM22" s="879">
        <f t="shared" si="143"/>
        <v>0</v>
      </c>
      <c r="UN22" s="1123"/>
      <c r="UO22" s="890"/>
      <c r="UP22" s="1123"/>
      <c r="UQ22" s="890"/>
      <c r="UR22" s="1123"/>
      <c r="US22" s="890"/>
      <c r="UT22" s="1050">
        <f>'Прочая  субсидия_МР  и  ГО'!B18</f>
        <v>45700525.539999999</v>
      </c>
      <c r="UU22" s="1050">
        <f>'Прочая  субсидия_МР  и  ГО'!C18</f>
        <v>31513376.800000001</v>
      </c>
      <c r="UV22" s="1371">
        <f>'Прочая  субсидия_БП'!B18</f>
        <v>1263524.3900000001</v>
      </c>
      <c r="UW22" s="897">
        <f>'Прочая  субсидия_БП'!C18</f>
        <v>1192722.8500000001</v>
      </c>
      <c r="UX22" s="1395">
        <f>'Прочая  субсидия_БП'!D18</f>
        <v>1263524.3900000001</v>
      </c>
      <c r="UY22" s="1386">
        <f>'Прочая  субсидия_БП'!E18</f>
        <v>1192722.8500000001</v>
      </c>
      <c r="UZ22" s="1387">
        <f>'Прочая  субсидия_БП'!F18</f>
        <v>0</v>
      </c>
      <c r="VA22" s="1395">
        <f>'Прочая  субсидия_БП'!G18</f>
        <v>0</v>
      </c>
      <c r="VB22" s="897">
        <f t="shared" si="144"/>
        <v>255611370.70000002</v>
      </c>
      <c r="VC22" s="866">
        <f>'Проверочная  таблица'!WE22+'Проверочная  таблица'!VH22+'Проверочная  таблица'!VJ22+VY22</f>
        <v>249344382.42000002</v>
      </c>
      <c r="VD22" s="891">
        <f>'Проверочная  таблица'!WF22+'Проверочная  таблица'!VN22+'Проверочная  таблица'!VT22+'Проверочная  таблица'!VP22+'Проверочная  таблица'!VR22+VV22+VZ22+VL22</f>
        <v>6266988.2800000003</v>
      </c>
      <c r="VE22" s="1050">
        <f t="shared" si="145"/>
        <v>192829969.97</v>
      </c>
      <c r="VF22" s="866">
        <f>'Проверочная  таблица'!WH22+'Проверочная  таблица'!VI22+'Проверочная  таблица'!VK22+WB22</f>
        <v>188036858.16999999</v>
      </c>
      <c r="VG22" s="891">
        <f>'Проверочная  таблица'!WI22+'Проверочная  таблица'!VO22+'Проверочная  таблица'!VU22+'Проверочная  таблица'!VQ22+'Проверочная  таблица'!VS22+VW22+WC22+VM22</f>
        <v>4793111.8000000007</v>
      </c>
      <c r="VH22" s="1391">
        <f>'Субвенция  на  полномочия'!B18</f>
        <v>237782554.39000002</v>
      </c>
      <c r="VI22" s="1371">
        <f>'Субвенция  на  полномочия'!C18</f>
        <v>178807267.44</v>
      </c>
      <c r="VJ22" s="886">
        <f>[1]Субвенция_факт!M18*1000</f>
        <v>8772874</v>
      </c>
      <c r="VK22" s="892">
        <v>7161799</v>
      </c>
      <c r="VL22" s="886">
        <f>[1]Субвенция_факт!AE18*1000</f>
        <v>0</v>
      </c>
      <c r="VM22" s="892"/>
      <c r="VN22" s="886">
        <f>[1]Субвенция_факт!AF18*1000</f>
        <v>1137400</v>
      </c>
      <c r="VO22" s="892">
        <f>ВУС!E101</f>
        <v>794774.95000000019</v>
      </c>
      <c r="VP22" s="1396">
        <f>[1]Субвенция_факт!AG18*1000</f>
        <v>0</v>
      </c>
      <c r="VQ22" s="893"/>
      <c r="VR22" s="888">
        <f>[1]Субвенция_факт!E18*1000</f>
        <v>0</v>
      </c>
      <c r="VS22" s="893"/>
      <c r="VT22" s="888">
        <f>[1]Субвенция_факт!F18*1000</f>
        <v>0</v>
      </c>
      <c r="VU22" s="893"/>
      <c r="VV22" s="887">
        <f>[1]Субвенция_факт!G18*1000</f>
        <v>0</v>
      </c>
      <c r="VW22" s="892"/>
      <c r="VX22" s="897">
        <f t="shared" si="146"/>
        <v>5871065.25</v>
      </c>
      <c r="VY22" s="862">
        <f>[1]Субвенция_факт!P18*1000</f>
        <v>1526476.9699999997</v>
      </c>
      <c r="VZ22" s="863">
        <f>[1]Субвенция_факт!Q18*1000</f>
        <v>4344588.28</v>
      </c>
      <c r="WA22" s="1050">
        <f t="shared" si="147"/>
        <v>4568429.7300000004</v>
      </c>
      <c r="WB22" s="866">
        <v>1187791.73</v>
      </c>
      <c r="WC22" s="894">
        <v>3380638</v>
      </c>
      <c r="WD22" s="1050">
        <f t="shared" si="148"/>
        <v>2047477.06</v>
      </c>
      <c r="WE22" s="895">
        <f>[1]Субвенция_факт!X18*1000</f>
        <v>1262477.06</v>
      </c>
      <c r="WF22" s="896">
        <f>[1]Субвенция_факт!W18*1000</f>
        <v>785000</v>
      </c>
      <c r="WG22" s="1050">
        <f t="shared" si="149"/>
        <v>1497698.85</v>
      </c>
      <c r="WH22" s="866">
        <v>880000</v>
      </c>
      <c r="WI22" s="894">
        <v>617698.85</v>
      </c>
      <c r="WJ22" s="897">
        <f t="shared" si="201"/>
        <v>87328451.629999995</v>
      </c>
      <c r="WK22" s="1050">
        <f t="shared" si="202"/>
        <v>25316678.75</v>
      </c>
      <c r="WL22" s="1391">
        <f t="shared" si="240"/>
        <v>0</v>
      </c>
      <c r="WM22" s="895"/>
      <c r="WN22" s="896">
        <f>'[1]Иные межбюджетные трансферты'!I20</f>
        <v>0</v>
      </c>
      <c r="WO22" s="1391">
        <f t="shared" si="241"/>
        <v>0</v>
      </c>
      <c r="WP22" s="895"/>
      <c r="WQ22" s="896"/>
      <c r="WR22" s="1391">
        <f t="shared" si="152"/>
        <v>10789701.5</v>
      </c>
      <c r="WS22" s="895">
        <f>'[1]Иные межбюджетные трансферты'!AQ19</f>
        <v>0</v>
      </c>
      <c r="WT22" s="896">
        <f>'[1]Иные межбюджетные трансферты'!AS19</f>
        <v>10789701.5</v>
      </c>
      <c r="WU22" s="1391">
        <f t="shared" si="153"/>
        <v>0</v>
      </c>
      <c r="WV22" s="895"/>
      <c r="WW22" s="896"/>
      <c r="WX22" s="1050">
        <f t="shared" si="154"/>
        <v>1078476.56</v>
      </c>
      <c r="WY22" s="895">
        <f>'[1]Иные межбюджетные трансферты'!AM19</f>
        <v>53923.83</v>
      </c>
      <c r="WZ22" s="896">
        <f>'[1]Иные межбюджетные трансферты'!AO19</f>
        <v>1024552.7300000001</v>
      </c>
      <c r="XA22" s="1050">
        <f t="shared" si="155"/>
        <v>876262.22</v>
      </c>
      <c r="XB22" s="895">
        <v>43813.11</v>
      </c>
      <c r="XC22" s="896">
        <v>832449.11</v>
      </c>
      <c r="XD22" s="1050">
        <f t="shared" si="156"/>
        <v>15142160</v>
      </c>
      <c r="XE22" s="895">
        <f>'[1]Иные межбюджетные трансферты'!K19</f>
        <v>6952630</v>
      </c>
      <c r="XF22" s="896">
        <f>'[1]Иные межбюджетные трансферты'!M19</f>
        <v>8189530</v>
      </c>
      <c r="XG22" s="1050">
        <f t="shared" si="242"/>
        <v>8189530</v>
      </c>
      <c r="XH22" s="882"/>
      <c r="XI22" s="896">
        <v>8189530</v>
      </c>
      <c r="XJ22" s="1050">
        <f t="shared" si="158"/>
        <v>0</v>
      </c>
      <c r="XK22" s="885"/>
      <c r="XL22" s="1050">
        <f t="shared" si="159"/>
        <v>0</v>
      </c>
      <c r="XM22" s="885"/>
      <c r="XN22" s="897">
        <f t="shared" si="160"/>
        <v>0</v>
      </c>
      <c r="XO22" s="862">
        <f>'[1]Иные межбюджетные трансферты'!O19</f>
        <v>0</v>
      </c>
      <c r="XP22" s="1050">
        <f t="shared" si="161"/>
        <v>0</v>
      </c>
      <c r="XQ22" s="866"/>
      <c r="XR22" s="1390">
        <f t="shared" si="162"/>
        <v>0</v>
      </c>
      <c r="XS22" s="879">
        <f t="shared" si="163"/>
        <v>0</v>
      </c>
      <c r="XT22" s="1390">
        <f t="shared" si="164"/>
        <v>0</v>
      </c>
      <c r="XU22" s="879">
        <f t="shared" si="165"/>
        <v>0</v>
      </c>
      <c r="XV22" s="1050">
        <f t="shared" si="243"/>
        <v>11672146.419999998</v>
      </c>
      <c r="XW22" s="883">
        <f>'[1]Иные межбюджетные трансферты'!E19</f>
        <v>0</v>
      </c>
      <c r="XX22" s="895">
        <f>'[1]Иные межбюджетные трансферты'!G19</f>
        <v>0</v>
      </c>
      <c r="XY22" s="882">
        <f>'[1]Иные межбюджетные трансферты'!S19</f>
        <v>0</v>
      </c>
      <c r="XZ22" s="883">
        <f>'[1]Иные межбюджетные трансферты'!Y19</f>
        <v>0</v>
      </c>
      <c r="YA22" s="882">
        <f>'[1]Иные межбюджетные трансферты'!AA19</f>
        <v>0</v>
      </c>
      <c r="YB22" s="1275">
        <f>'[1]Иные межбюджетные трансферты'!AG19</f>
        <v>616390</v>
      </c>
      <c r="YC22" s="882">
        <f>'[1]Иные межбюджетные трансферты'!AU19</f>
        <v>0</v>
      </c>
      <c r="YD22" s="862">
        <f>'[1]Иные межбюджетные трансферты'!BA19</f>
        <v>2946364.8</v>
      </c>
      <c r="YE22" s="882">
        <f>'[1]Иные межбюджетные трансферты'!BC19</f>
        <v>2406755.21</v>
      </c>
      <c r="YF22" s="1275">
        <f>'[1]Иные межбюджетные трансферты'!BE19</f>
        <v>5702636.4099999992</v>
      </c>
      <c r="YG22" s="1050">
        <f t="shared" si="244"/>
        <v>6299982.1299999999</v>
      </c>
      <c r="YH22" s="882"/>
      <c r="YI22" s="882"/>
      <c r="YJ22" s="851"/>
      <c r="YK22" s="882"/>
      <c r="YL22" s="848">
        <f t="shared" si="245"/>
        <v>0</v>
      </c>
      <c r="YM22" s="848">
        <v>597345.72</v>
      </c>
      <c r="YN22" s="848"/>
      <c r="YO22" s="848"/>
      <c r="YP22" s="848"/>
      <c r="YQ22" s="848">
        <v>5702636.4100000001</v>
      </c>
      <c r="YR22" s="1050">
        <f t="shared" si="166"/>
        <v>48645967.149999999</v>
      </c>
      <c r="YS22" s="895">
        <f>'[1]Иные межбюджетные трансферты'!U19</f>
        <v>5759637.5899999999</v>
      </c>
      <c r="YT22" s="882">
        <f>'[1]Иные межбюджетные трансферты'!AC19</f>
        <v>0</v>
      </c>
      <c r="YU22" s="1275">
        <f>'[1]Иные межбюджетные трансферты'!AI19</f>
        <v>27482111.780000001</v>
      </c>
      <c r="YV22" s="883">
        <f>'[1]Иные межбюджетные трансферты'!AW19</f>
        <v>12997462.57</v>
      </c>
      <c r="YW22" s="848">
        <f>'[1]Иные межбюджетные трансферты'!BG19</f>
        <v>2406755.21</v>
      </c>
      <c r="YX22" s="1050">
        <f t="shared" si="167"/>
        <v>9950904.3999999985</v>
      </c>
      <c r="YY22" s="865">
        <v>5759637.5899999999</v>
      </c>
      <c r="YZ22" s="865">
        <f t="shared" si="247"/>
        <v>0</v>
      </c>
      <c r="ZA22" s="865">
        <v>1784511.6</v>
      </c>
      <c r="ZB22" s="848"/>
      <c r="ZC22" s="848">
        <v>2406755.21</v>
      </c>
      <c r="ZD22" s="879">
        <f t="shared" si="168"/>
        <v>48645967.149999999</v>
      </c>
      <c r="ZE22" s="859">
        <f>'Проверочная  таблица'!YS22-ZQ22</f>
        <v>5759637.5899999999</v>
      </c>
      <c r="ZF22" s="859">
        <f>'Проверочная  таблица'!YT22-ZR22</f>
        <v>0</v>
      </c>
      <c r="ZG22" s="859">
        <f>'Проверочная  таблица'!YU22-ZS22</f>
        <v>27482111.780000001</v>
      </c>
      <c r="ZH22" s="859">
        <f>'Проверочная  таблица'!YV22-ZT22</f>
        <v>12997462.57</v>
      </c>
      <c r="ZI22" s="859">
        <f>'Проверочная  таблица'!YW22-ZU22</f>
        <v>2406755.21</v>
      </c>
      <c r="ZJ22" s="879">
        <f t="shared" si="169"/>
        <v>9950904.3999999985</v>
      </c>
      <c r="ZK22" s="859">
        <f>'Проверочная  таблица'!YY22-ZW22</f>
        <v>5759637.5899999999</v>
      </c>
      <c r="ZL22" s="859">
        <f>'Проверочная  таблица'!YZ22-ZX22</f>
        <v>0</v>
      </c>
      <c r="ZM22" s="859">
        <f>'Проверочная  таблица'!ZA22-ZY22</f>
        <v>1784511.6</v>
      </c>
      <c r="ZN22" s="859">
        <f>'Проверочная  таблица'!ZB22-ZZ22</f>
        <v>0</v>
      </c>
      <c r="ZO22" s="859">
        <f>'Проверочная  таблица'!ZC22-AAA22</f>
        <v>2406755.21</v>
      </c>
      <c r="ZP22" s="879">
        <f t="shared" si="170"/>
        <v>0</v>
      </c>
      <c r="ZQ22" s="895">
        <f>'[1]Иные межбюджетные трансферты'!W19</f>
        <v>0</v>
      </c>
      <c r="ZR22" s="895">
        <f>'[1]Иные межбюджетные трансферты'!AE19</f>
        <v>0</v>
      </c>
      <c r="ZS22" s="882"/>
      <c r="ZT22" s="883">
        <f>'[1]Иные межбюджетные трансферты'!AY19</f>
        <v>0</v>
      </c>
      <c r="ZU22" s="848"/>
      <c r="ZV22" s="879">
        <f t="shared" si="171"/>
        <v>0</v>
      </c>
      <c r="ZW22" s="865"/>
      <c r="ZX22" s="865">
        <f t="shared" si="248"/>
        <v>0</v>
      </c>
      <c r="ZY22" s="865"/>
      <c r="ZZ22" s="848"/>
      <c r="AAA22" s="848"/>
      <c r="AAB22" s="1050">
        <f>AAD22+'Проверочная  таблица'!AAL22+AAH22+'Проверочная  таблица'!AAP22+AAJ22+'Проверочная  таблица'!AAR22</f>
        <v>0</v>
      </c>
      <c r="AAC22" s="1050">
        <f>AAE22+'Проверочная  таблица'!AAM22+AAI22+'Проверочная  таблица'!AAQ22+AAK22+'Проверочная  таблица'!AAS22</f>
        <v>0</v>
      </c>
      <c r="AAD22" s="897"/>
      <c r="AAE22" s="897"/>
      <c r="AAF22" s="897"/>
      <c r="AAG22" s="897"/>
      <c r="AAH22" s="1373">
        <f t="shared" si="172"/>
        <v>0</v>
      </c>
      <c r="AAI22" s="879">
        <f t="shared" si="172"/>
        <v>0</v>
      </c>
      <c r="AAJ22" s="898"/>
      <c r="AAK22" s="879"/>
      <c r="AAL22" s="897"/>
      <c r="AAM22" s="897"/>
      <c r="AAN22" s="897"/>
      <c r="AAO22" s="897"/>
      <c r="AAP22" s="1373">
        <f t="shared" si="173"/>
        <v>0</v>
      </c>
      <c r="AAQ22" s="879">
        <f t="shared" si="173"/>
        <v>0</v>
      </c>
      <c r="AAR22" s="879"/>
      <c r="AAS22" s="879"/>
      <c r="AAT22" s="1384">
        <f>'Проверочная  таблица'!AAL22+'Проверочная  таблица'!AAN22</f>
        <v>0</v>
      </c>
      <c r="AAU22" s="1384">
        <f>'Проверочная  таблица'!AAM22+'Проверочная  таблица'!AAO22</f>
        <v>0</v>
      </c>
    </row>
    <row r="23" spans="1:723" ht="20.45" customHeight="1" x14ac:dyDescent="0.25">
      <c r="A23" s="899" t="s">
        <v>1292</v>
      </c>
      <c r="B23" s="897">
        <f>D23+AN23+'Проверочная  таблица'!VB23+'Проверочная  таблица'!WJ23</f>
        <v>3010924679.23</v>
      </c>
      <c r="C23" s="1050">
        <f>E23+'Проверочная  таблица'!VE23+AO23+'Проверочная  таблица'!WK23</f>
        <v>1706483960.0999999</v>
      </c>
      <c r="D23" s="1371">
        <f t="shared" si="0"/>
        <v>750340643.01999998</v>
      </c>
      <c r="E23" s="897">
        <f t="shared" si="1"/>
        <v>489789820</v>
      </c>
      <c r="F23" s="1376">
        <f>'[1]Дотация  из  ОБ_факт'!M18</f>
        <v>110073841</v>
      </c>
      <c r="G23" s="1385">
        <v>103255200</v>
      </c>
      <c r="H23" s="1376">
        <f>'[1]Дотация  из  ОБ_факт'!G18</f>
        <v>26240093.02</v>
      </c>
      <c r="I23" s="1385">
        <v>19678900</v>
      </c>
      <c r="J23" s="1386">
        <f t="shared" si="2"/>
        <v>26240093.02</v>
      </c>
      <c r="K23" s="1387">
        <f t="shared" si="2"/>
        <v>19678900</v>
      </c>
      <c r="L23" s="1386">
        <f>'[1]Дотация  из  ОБ_факт'!K18</f>
        <v>0</v>
      </c>
      <c r="M23" s="881"/>
      <c r="N23" s="1376">
        <f>'[1]Дотация  из  ОБ_факт'!Q18</f>
        <v>100000000</v>
      </c>
      <c r="O23" s="1385">
        <v>17065000</v>
      </c>
      <c r="P23" s="1399">
        <f>'[1]Дотация  из  ОБ_факт'!S18</f>
        <v>511799959.00000006</v>
      </c>
      <c r="Q23" s="1385">
        <v>347563970</v>
      </c>
      <c r="R23" s="1386">
        <f t="shared" si="3"/>
        <v>51995057.00000006</v>
      </c>
      <c r="S23" s="1387">
        <f t="shared" si="3"/>
        <v>39339670</v>
      </c>
      <c r="T23" s="1386">
        <f>'[1]Дотация  из  ОБ_факт'!W18</f>
        <v>459804902</v>
      </c>
      <c r="U23" s="881">
        <v>308224300</v>
      </c>
      <c r="V23" s="886">
        <f t="shared" si="4"/>
        <v>1500000</v>
      </c>
      <c r="W23" s="1388">
        <f>'[1]Дотация  из  ОБ_факт'!AA18</f>
        <v>0</v>
      </c>
      <c r="X23" s="1389">
        <f>'[1]Дотация  из  ОБ_факт'!AC18</f>
        <v>1500000</v>
      </c>
      <c r="Y23" s="1389">
        <f>'[1]Дотация  из  ОБ_факт'!AG18</f>
        <v>0</v>
      </c>
      <c r="Z23" s="887">
        <f t="shared" si="5"/>
        <v>1500000</v>
      </c>
      <c r="AA23" s="848">
        <f t="shared" si="177"/>
        <v>0</v>
      </c>
      <c r="AB23" s="848">
        <f t="shared" si="177"/>
        <v>1500000</v>
      </c>
      <c r="AC23" s="882"/>
      <c r="AD23" s="886">
        <f t="shared" si="6"/>
        <v>726750</v>
      </c>
      <c r="AE23" s="1388">
        <f>'[1]Дотация  из  ОБ_факт'!Y18</f>
        <v>726750</v>
      </c>
      <c r="AF23" s="1389">
        <f>'[1]Дотация  из  ОБ_факт'!AE18</f>
        <v>0</v>
      </c>
      <c r="AG23" s="886">
        <f t="shared" si="7"/>
        <v>726750</v>
      </c>
      <c r="AH23" s="1359">
        <f t="shared" si="178"/>
        <v>726750</v>
      </c>
      <c r="AI23" s="848">
        <f t="shared" si="179"/>
        <v>0</v>
      </c>
      <c r="AJ23" s="1386">
        <f t="shared" si="8"/>
        <v>726750</v>
      </c>
      <c r="AK23" s="1387">
        <f t="shared" si="9"/>
        <v>726750</v>
      </c>
      <c r="AL23" s="1386">
        <f>'[1]Дотация  из  ОБ_факт'!AE18</f>
        <v>0</v>
      </c>
      <c r="AM23" s="884"/>
      <c r="AN23" s="1012">
        <f>'Проверочная  таблица'!UT23+'Проверочная  таблица'!UV23+BL23+BN23+BZ23+CB23+AZ23+BD23+'Проверочная  таблица'!MT23+'Проверочная  таблица'!NJ23+'Проверочная  таблица'!DT23+'Проверочная  таблица'!OB23+DL23+'Проверочная  таблица'!JJ23+'Проверочная  таблица'!JP23+'Проверочная  таблица'!OJ23+'Проверочная  таблица'!OR23+JD23+AP23+AV23+ET23+EZ23+CN23+SP23+DZ23+TD23+PZ23+EF23+EN23+LN23+LV23+SJ23+GN23+RV23+QX23+KH23+KR23+RD23+SB23+CH23+QR23+HD23+FX23+HJ23+HP23+FR23+DB23+PP23+BT23+IH23+IX23+GV23+GD23+IN23</f>
        <v>1461014003.2599998</v>
      </c>
      <c r="AO23" s="1013">
        <f>'Проверочная  таблица'!UU23+'Проверочная  таблица'!UW23+BM23+BO23+CA23+CC23+BB23+BF23+'Проверочная  таблица'!NB23+'Проверочная  таблица'!NM23+'Проверочная  таблица'!DW23+'Проверочная  таблица'!OF23+DP23+'Проверочная  таблица'!JM23+'Проверочная  таблица'!JS23+'Проверочная  таблица'!ON23+'Проверочная  таблица'!OV23+JG23+AS23+AX23+EW23+FC23+CU23+SW23+EC23+TK23+QC23+EJ23+EQ23+LR23+LZ23+SM23+GR23+RY23+RA23+KM23+KW23+RG23+SF23+CK23+QU23+HG23+GA23+HM23+HS23+FU23+DE23+PU23+BW23+IK23+JA23+GX23+GG23+IQ23</f>
        <v>712362842.75999999</v>
      </c>
      <c r="AP23" s="1014">
        <f t="shared" si="10"/>
        <v>188669450.18000001</v>
      </c>
      <c r="AQ23" s="885">
        <f>[1]Субсидия_факт!HV20</f>
        <v>188669450.18000001</v>
      </c>
      <c r="AR23" s="866">
        <f>[1]Субсидия_факт!MR20</f>
        <v>0</v>
      </c>
      <c r="AS23" s="1014">
        <f t="shared" si="11"/>
        <v>57115084.789999999</v>
      </c>
      <c r="AT23" s="866">
        <v>57115084.789999999</v>
      </c>
      <c r="AU23" s="885"/>
      <c r="AV23" s="1003">
        <f t="shared" si="12"/>
        <v>18024576.300000001</v>
      </c>
      <c r="AW23" s="866">
        <f>[1]Субсидия_факт!MV20</f>
        <v>18024576.300000001</v>
      </c>
      <c r="AX23" s="1360">
        <f t="shared" si="13"/>
        <v>0</v>
      </c>
      <c r="AY23" s="866"/>
      <c r="AZ23" s="897">
        <f t="shared" si="14"/>
        <v>0</v>
      </c>
      <c r="BA23" s="866">
        <f>[1]Субсидия_факт!KZ20</f>
        <v>0</v>
      </c>
      <c r="BB23" s="1050">
        <f t="shared" si="15"/>
        <v>0</v>
      </c>
      <c r="BC23" s="866"/>
      <c r="BD23" s="897">
        <f t="shared" si="16"/>
        <v>59325881.299999997</v>
      </c>
      <c r="BE23" s="866">
        <f>[1]Субсидия_факт!LB20</f>
        <v>59325881.299999997</v>
      </c>
      <c r="BF23" s="1050">
        <f t="shared" si="17"/>
        <v>59325881.299999997</v>
      </c>
      <c r="BG23" s="866">
        <v>59325881.299999997</v>
      </c>
      <c r="BH23" s="1373">
        <f t="shared" si="18"/>
        <v>0</v>
      </c>
      <c r="BI23" s="879">
        <f t="shared" si="19"/>
        <v>0</v>
      </c>
      <c r="BJ23" s="1390">
        <f t="shared" si="20"/>
        <v>59325881.299999997</v>
      </c>
      <c r="BK23" s="1373">
        <f t="shared" si="21"/>
        <v>59325881.299999997</v>
      </c>
      <c r="BL23" s="897">
        <f>[1]Субсидия_факт!GV20</f>
        <v>0</v>
      </c>
      <c r="BM23" s="886"/>
      <c r="BN23" s="1391">
        <f>[1]Субсидия_факт!GX20</f>
        <v>0</v>
      </c>
      <c r="BO23" s="887"/>
      <c r="BP23" s="1390">
        <f t="shared" si="22"/>
        <v>0</v>
      </c>
      <c r="BQ23" s="1373">
        <f t="shared" si="22"/>
        <v>0</v>
      </c>
      <c r="BR23" s="879">
        <f>[1]Субсидия_факт!GZ20</f>
        <v>0</v>
      </c>
      <c r="BS23" s="881"/>
      <c r="BT23" s="939">
        <f t="shared" si="23"/>
        <v>209151450.18000001</v>
      </c>
      <c r="BU23" s="862">
        <f>[1]Субсидия_факт!HL20</f>
        <v>188669450.18000001</v>
      </c>
      <c r="BV23" s="866">
        <f>[1]Субсидия_факт!HN20</f>
        <v>20482000</v>
      </c>
      <c r="BW23" s="1014">
        <f t="shared" si="24"/>
        <v>0</v>
      </c>
      <c r="BX23" s="866"/>
      <c r="BY23" s="866"/>
      <c r="BZ23" s="1050">
        <f>[1]Субсидия_факт!HB20</f>
        <v>0</v>
      </c>
      <c r="CA23" s="888"/>
      <c r="CB23" s="1050">
        <f>[1]Субсидия_факт!HD20</f>
        <v>0</v>
      </c>
      <c r="CC23" s="887"/>
      <c r="CD23" s="1367">
        <f t="shared" si="25"/>
        <v>0</v>
      </c>
      <c r="CE23" s="878">
        <f t="shared" si="25"/>
        <v>0</v>
      </c>
      <c r="CF23" s="1368">
        <f>[1]Субсидия_факт!HF20</f>
        <v>0</v>
      </c>
      <c r="CG23" s="849"/>
      <c r="CH23" s="939">
        <f t="shared" si="26"/>
        <v>71502602.329999998</v>
      </c>
      <c r="CI23" s="862">
        <f>[1]Субсидия_факт!HP20</f>
        <v>59302390</v>
      </c>
      <c r="CJ23" s="866">
        <f>[1]Субсидия_факт!HR20</f>
        <v>12200212.33</v>
      </c>
      <c r="CK23" s="1014">
        <f t="shared" si="27"/>
        <v>0</v>
      </c>
      <c r="CL23" s="866"/>
      <c r="CM23" s="866"/>
      <c r="CN23" s="1003">
        <f t="shared" si="28"/>
        <v>0</v>
      </c>
      <c r="CO23" s="859">
        <f>[1]Субсидия_факт!LR20</f>
        <v>0</v>
      </c>
      <c r="CP23" s="858">
        <f>[1]Субсидия_факт!LT20</f>
        <v>0</v>
      </c>
      <c r="CQ23" s="850">
        <f>[1]Субсидия_факт!LV20</f>
        <v>0</v>
      </c>
      <c r="CR23" s="858">
        <f>[1]Субсидия_факт!MB20</f>
        <v>0</v>
      </c>
      <c r="CS23" s="850">
        <f>[1]Субсидия_факт!MH20</f>
        <v>0</v>
      </c>
      <c r="CT23" s="858">
        <f>[1]Субсидия_факт!MJ20</f>
        <v>0</v>
      </c>
      <c r="CU23" s="1003">
        <f t="shared" si="29"/>
        <v>0</v>
      </c>
      <c r="CV23" s="851"/>
      <c r="CW23" s="858"/>
      <c r="CX23" s="850"/>
      <c r="CY23" s="858"/>
      <c r="CZ23" s="850"/>
      <c r="DA23" s="858"/>
      <c r="DB23" s="1013">
        <f t="shared" si="205"/>
        <v>0</v>
      </c>
      <c r="DC23" s="859">
        <f>[1]Субсидия_факт!LX20</f>
        <v>0</v>
      </c>
      <c r="DD23" s="858">
        <f>[1]Субсидия_факт!MD20</f>
        <v>0</v>
      </c>
      <c r="DE23" s="1003">
        <f t="shared" si="31"/>
        <v>0</v>
      </c>
      <c r="DF23" s="859"/>
      <c r="DG23" s="860"/>
      <c r="DH23" s="1367">
        <f t="shared" si="206"/>
        <v>0</v>
      </c>
      <c r="DI23" s="878">
        <f t="shared" si="207"/>
        <v>0</v>
      </c>
      <c r="DJ23" s="1368">
        <f t="shared" si="208"/>
        <v>0</v>
      </c>
      <c r="DK23" s="849">
        <f t="shared" si="209"/>
        <v>0</v>
      </c>
      <c r="DL23" s="1050">
        <f t="shared" si="210"/>
        <v>0</v>
      </c>
      <c r="DM23" s="885">
        <f>[1]Субсидия_факт!R20</f>
        <v>0</v>
      </c>
      <c r="DN23" s="862">
        <f>[1]Субсидия_факт!T20</f>
        <v>0</v>
      </c>
      <c r="DO23" s="866">
        <f>[1]Субсидия_факт!V20</f>
        <v>0</v>
      </c>
      <c r="DP23" s="1050">
        <f t="shared" si="211"/>
        <v>0</v>
      </c>
      <c r="DQ23" s="902"/>
      <c r="DR23" s="902"/>
      <c r="DS23" s="902"/>
      <c r="DT23" s="939">
        <f t="shared" si="32"/>
        <v>0</v>
      </c>
      <c r="DU23" s="862">
        <f>[1]Субсидия_факт!AX20</f>
        <v>0</v>
      </c>
      <c r="DV23" s="863">
        <f>[1]Субсидия_факт!AZ20</f>
        <v>0</v>
      </c>
      <c r="DW23" s="1050">
        <f t="shared" si="33"/>
        <v>0</v>
      </c>
      <c r="DX23" s="885"/>
      <c r="DY23" s="889"/>
      <c r="DZ23" s="897">
        <f t="shared" si="34"/>
        <v>0</v>
      </c>
      <c r="EA23" s="862">
        <f>[1]Субсидия_факт!X20</f>
        <v>0</v>
      </c>
      <c r="EB23" s="863">
        <f>[1]Субсидия_факт!Z20</f>
        <v>0</v>
      </c>
      <c r="EC23" s="1050">
        <f t="shared" si="35"/>
        <v>0</v>
      </c>
      <c r="ED23" s="862"/>
      <c r="EE23" s="863"/>
      <c r="EF23" s="1013">
        <f t="shared" si="212"/>
        <v>0</v>
      </c>
      <c r="EG23" s="859">
        <f>[1]Субсидия_факт!AP20</f>
        <v>0</v>
      </c>
      <c r="EH23" s="859">
        <f>[1]Субсидия_факт!AL20</f>
        <v>0</v>
      </c>
      <c r="EI23" s="860">
        <f>[1]Субсидия_факт!AN20</f>
        <v>0</v>
      </c>
      <c r="EJ23" s="1013">
        <f t="shared" si="36"/>
        <v>0</v>
      </c>
      <c r="EK23" s="859"/>
      <c r="EL23" s="859"/>
      <c r="EM23" s="860"/>
      <c r="EN23" s="1013">
        <f t="shared" si="37"/>
        <v>0</v>
      </c>
      <c r="EO23" s="859">
        <f>[1]Субсидия_факт!HH20</f>
        <v>0</v>
      </c>
      <c r="EP23" s="858">
        <f>[1]Субсидия_факт!HJ20</f>
        <v>0</v>
      </c>
      <c r="EQ23" s="1003">
        <f t="shared" si="38"/>
        <v>0</v>
      </c>
      <c r="ER23" s="859"/>
      <c r="ES23" s="858"/>
      <c r="ET23" s="1013">
        <f t="shared" si="39"/>
        <v>0</v>
      </c>
      <c r="EU23" s="862">
        <f>[1]Субсидия_факт!PK20</f>
        <v>0</v>
      </c>
      <c r="EV23" s="863">
        <f>[1]Субсидия_факт!PQ20</f>
        <v>0</v>
      </c>
      <c r="EW23" s="1003">
        <f t="shared" si="40"/>
        <v>0</v>
      </c>
      <c r="EX23" s="859"/>
      <c r="EY23" s="860"/>
      <c r="EZ23" s="1013">
        <f t="shared" si="41"/>
        <v>0</v>
      </c>
      <c r="FA23" s="859">
        <f>[1]Субсидия_факт!PM20</f>
        <v>0</v>
      </c>
      <c r="FB23" s="858">
        <f>[1]Субсидия_факт!PS20</f>
        <v>0</v>
      </c>
      <c r="FC23" s="1003">
        <f t="shared" si="42"/>
        <v>0</v>
      </c>
      <c r="FD23" s="859"/>
      <c r="FE23" s="860"/>
      <c r="FF23" s="1369">
        <f t="shared" si="43"/>
        <v>0</v>
      </c>
      <c r="FG23" s="859">
        <f t="shared" si="44"/>
        <v>0</v>
      </c>
      <c r="FH23" s="858">
        <f t="shared" si="44"/>
        <v>0</v>
      </c>
      <c r="FI23" s="878">
        <f t="shared" si="45"/>
        <v>0</v>
      </c>
      <c r="FJ23" s="859">
        <f t="shared" si="46"/>
        <v>0</v>
      </c>
      <c r="FK23" s="858">
        <f t="shared" si="46"/>
        <v>0</v>
      </c>
      <c r="FL23" s="1369">
        <f t="shared" si="47"/>
        <v>0</v>
      </c>
      <c r="FM23" s="859">
        <f>[1]Субсидия_факт!PO20</f>
        <v>0</v>
      </c>
      <c r="FN23" s="858">
        <f>[1]Субсидия_факт!PU20</f>
        <v>0</v>
      </c>
      <c r="FO23" s="878">
        <f t="shared" si="48"/>
        <v>0</v>
      </c>
      <c r="FP23" s="859"/>
      <c r="FQ23" s="860"/>
      <c r="FR23" s="1013">
        <f t="shared" si="49"/>
        <v>0</v>
      </c>
      <c r="FS23" s="862">
        <f>[1]Субсидия_факт!EP20</f>
        <v>0</v>
      </c>
      <c r="FT23" s="863">
        <f>[1]Субсидия_факт!ER20</f>
        <v>0</v>
      </c>
      <c r="FU23" s="1371">
        <f t="shared" si="50"/>
        <v>0</v>
      </c>
      <c r="FV23" s="862"/>
      <c r="FW23" s="863"/>
      <c r="FX23" s="897">
        <f t="shared" si="51"/>
        <v>20859584.209999979</v>
      </c>
      <c r="FY23" s="862">
        <f>[1]Субсидия_факт!JN20</f>
        <v>20859584.209999979</v>
      </c>
      <c r="FZ23" s="863">
        <f>[1]Субсидия_факт!JP20</f>
        <v>0</v>
      </c>
      <c r="GA23" s="897">
        <f t="shared" si="52"/>
        <v>0</v>
      </c>
      <c r="GB23" s="862"/>
      <c r="GC23" s="863"/>
      <c r="GD23" s="1372">
        <f t="shared" si="53"/>
        <v>87446506</v>
      </c>
      <c r="GE23" s="859">
        <f>[1]Субсидия_факт!JR20</f>
        <v>10402506</v>
      </c>
      <c r="GF23" s="860">
        <f>[1]Субсидия_факт!JV20</f>
        <v>77044000</v>
      </c>
      <c r="GG23" s="1372">
        <f t="shared" si="54"/>
        <v>77777026.430000007</v>
      </c>
      <c r="GH23" s="862">
        <v>9252239.1199999992</v>
      </c>
      <c r="GI23" s="889">
        <v>68524787.310000002</v>
      </c>
      <c r="GJ23" s="1373">
        <f t="shared" si="213"/>
        <v>0</v>
      </c>
      <c r="GK23" s="879">
        <f t="shared" si="214"/>
        <v>0</v>
      </c>
      <c r="GL23" s="1390">
        <f t="shared" si="215"/>
        <v>87446506</v>
      </c>
      <c r="GM23" s="879">
        <f t="shared" si="216"/>
        <v>77777026.430000007</v>
      </c>
      <c r="GN23" s="1371">
        <f t="shared" si="55"/>
        <v>59325881.299999997</v>
      </c>
      <c r="GO23" s="862">
        <f>[1]Субсидия_факт!KL20</f>
        <v>0</v>
      </c>
      <c r="GP23" s="863">
        <f>[1]Субсидия_факт!KN20</f>
        <v>0</v>
      </c>
      <c r="GQ23" s="862">
        <f>[1]Субсидия_факт!KP20</f>
        <v>59325881.299999997</v>
      </c>
      <c r="GR23" s="897">
        <f t="shared" si="56"/>
        <v>0</v>
      </c>
      <c r="GS23" s="862"/>
      <c r="GT23" s="863"/>
      <c r="GU23" s="866"/>
      <c r="GV23" s="1372">
        <f t="shared" si="217"/>
        <v>0</v>
      </c>
      <c r="GW23" s="862">
        <f>[1]Субсидия_факт!KR20</f>
        <v>0</v>
      </c>
      <c r="GX23" s="1372">
        <f t="shared" si="217"/>
        <v>0</v>
      </c>
      <c r="GY23" s="866"/>
      <c r="GZ23" s="1373">
        <f t="shared" si="218"/>
        <v>0</v>
      </c>
      <c r="HA23" s="1373">
        <f t="shared" si="219"/>
        <v>0</v>
      </c>
      <c r="HB23" s="1373">
        <f t="shared" si="220"/>
        <v>0</v>
      </c>
      <c r="HC23" s="1373">
        <f t="shared" si="221"/>
        <v>0</v>
      </c>
      <c r="HD23" s="897">
        <f t="shared" si="57"/>
        <v>8910961.3400000017</v>
      </c>
      <c r="HE23" s="862">
        <f>[1]Субсидия_факт!KV20</f>
        <v>8910961.3400000017</v>
      </c>
      <c r="HF23" s="863">
        <f>[1]Субсидия_факт!KX20</f>
        <v>0</v>
      </c>
      <c r="HG23" s="1050">
        <f t="shared" si="58"/>
        <v>0</v>
      </c>
      <c r="HH23" s="862"/>
      <c r="HI23" s="863"/>
      <c r="HJ23" s="897">
        <f t="shared" si="59"/>
        <v>0</v>
      </c>
      <c r="HK23" s="862"/>
      <c r="HL23" s="863"/>
      <c r="HM23" s="1050">
        <f t="shared" si="60"/>
        <v>0</v>
      </c>
      <c r="HN23" s="862"/>
      <c r="HO23" s="863"/>
      <c r="HP23" s="897">
        <f t="shared" si="61"/>
        <v>821052.83999999985</v>
      </c>
      <c r="HQ23" s="862">
        <f>[1]Субсидия_факт!FV20</f>
        <v>0</v>
      </c>
      <c r="HR23" s="863">
        <f>[1]Субсидия_факт!FZ20</f>
        <v>821052.83999999985</v>
      </c>
      <c r="HS23" s="1050">
        <f t="shared" si="62"/>
        <v>0</v>
      </c>
      <c r="HT23" s="862"/>
      <c r="HU23" s="863"/>
      <c r="HV23" s="1369">
        <f t="shared" si="63"/>
        <v>0</v>
      </c>
      <c r="HW23" s="859">
        <f t="shared" si="64"/>
        <v>-821052.83999999985</v>
      </c>
      <c r="HX23" s="858">
        <f t="shared" si="64"/>
        <v>821052.83999999985</v>
      </c>
      <c r="HY23" s="878">
        <f t="shared" si="65"/>
        <v>0</v>
      </c>
      <c r="HZ23" s="859">
        <f t="shared" si="66"/>
        <v>0</v>
      </c>
      <c r="IA23" s="858">
        <f t="shared" si="66"/>
        <v>0</v>
      </c>
      <c r="IB23" s="1369">
        <f t="shared" si="67"/>
        <v>821052.83999999985</v>
      </c>
      <c r="IC23" s="859">
        <f>[1]Субсидия_факт!FX20</f>
        <v>821052.83999999985</v>
      </c>
      <c r="ID23" s="858">
        <f>[1]Субсидия_факт!GB20</f>
        <v>0</v>
      </c>
      <c r="IE23" s="878">
        <f t="shared" si="68"/>
        <v>0</v>
      </c>
      <c r="IF23" s="859">
        <f t="shared" si="187"/>
        <v>0</v>
      </c>
      <c r="IG23" s="860">
        <f t="shared" si="188"/>
        <v>0</v>
      </c>
      <c r="IH23" s="897">
        <f t="shared" si="69"/>
        <v>0</v>
      </c>
      <c r="II23" s="859">
        <f>[1]Субсидия_факт!ED20</f>
        <v>0</v>
      </c>
      <c r="IJ23" s="860">
        <f>[1]Субсидия_факт!EF20</f>
        <v>0</v>
      </c>
      <c r="IK23" s="1050">
        <f t="shared" si="70"/>
        <v>0</v>
      </c>
      <c r="IL23" s="862"/>
      <c r="IM23" s="863"/>
      <c r="IN23" s="1372">
        <f t="shared" si="71"/>
        <v>0</v>
      </c>
      <c r="IO23" s="859">
        <f>[1]Субсидия_факт!EH20</f>
        <v>0</v>
      </c>
      <c r="IP23" s="860">
        <f>[1]Субсидия_факт!EL20</f>
        <v>0</v>
      </c>
      <c r="IQ23" s="1392">
        <f t="shared" si="72"/>
        <v>0</v>
      </c>
      <c r="IR23" s="862"/>
      <c r="IS23" s="889"/>
      <c r="IT23" s="1373">
        <f t="shared" si="222"/>
        <v>0</v>
      </c>
      <c r="IU23" s="1373">
        <f t="shared" si="223"/>
        <v>0</v>
      </c>
      <c r="IV23" s="1373">
        <f t="shared" si="224"/>
        <v>0</v>
      </c>
      <c r="IW23" s="879">
        <f t="shared" si="225"/>
        <v>0</v>
      </c>
      <c r="IX23" s="1371">
        <f t="shared" si="73"/>
        <v>0</v>
      </c>
      <c r="IY23" s="859">
        <f>[1]Субсидия_факт!BX20</f>
        <v>0</v>
      </c>
      <c r="IZ23" s="860">
        <f>[1]Субсидия_факт!BZ20</f>
        <v>0</v>
      </c>
      <c r="JA23" s="1050">
        <f t="shared" si="74"/>
        <v>0</v>
      </c>
      <c r="JB23" s="862"/>
      <c r="JC23" s="863"/>
      <c r="JD23" s="897">
        <f t="shared" si="75"/>
        <v>0</v>
      </c>
      <c r="JE23" s="862">
        <f>[1]Субсидия_факт!ET20</f>
        <v>0</v>
      </c>
      <c r="JF23" s="863">
        <f>[1]Субсидия_факт!EV20</f>
        <v>0</v>
      </c>
      <c r="JG23" s="1050">
        <f t="shared" si="76"/>
        <v>0</v>
      </c>
      <c r="JH23" s="862"/>
      <c r="JI23" s="863"/>
      <c r="JJ23" s="1003">
        <f t="shared" si="77"/>
        <v>0</v>
      </c>
      <c r="JK23" s="859">
        <f>[1]Субсидия_факт!EX20</f>
        <v>0</v>
      </c>
      <c r="JL23" s="858">
        <f>[1]Субсидия_факт!FD20</f>
        <v>0</v>
      </c>
      <c r="JM23" s="1003">
        <f t="shared" si="78"/>
        <v>0</v>
      </c>
      <c r="JN23" s="859"/>
      <c r="JO23" s="860"/>
      <c r="JP23" s="1003">
        <f t="shared" si="79"/>
        <v>0</v>
      </c>
      <c r="JQ23" s="859">
        <f>[1]Субсидия_факт!EZ20</f>
        <v>0</v>
      </c>
      <c r="JR23" s="860">
        <f>[1]Субсидия_факт!FF20</f>
        <v>0</v>
      </c>
      <c r="JS23" s="1003">
        <f t="shared" si="80"/>
        <v>0</v>
      </c>
      <c r="JT23" s="850"/>
      <c r="JU23" s="864"/>
      <c r="JV23" s="1003">
        <f t="shared" si="81"/>
        <v>-318413.21999999997</v>
      </c>
      <c r="JW23" s="851">
        <f>'Проверочная  таблица'!JQ23-'Проверочная  таблица'!KC23</f>
        <v>-82787.439999999973</v>
      </c>
      <c r="JX23" s="860">
        <f>'Проверочная  таблица'!JR23-'Проверочная  таблица'!KD23</f>
        <v>-235625.78</v>
      </c>
      <c r="JY23" s="1368">
        <f t="shared" si="82"/>
        <v>0</v>
      </c>
      <c r="JZ23" s="850">
        <f>'Проверочная  таблица'!JT23-'Проверочная  таблица'!KF23</f>
        <v>0</v>
      </c>
      <c r="KA23" s="867">
        <f>'Проверочная  таблица'!JU23-'Проверочная  таблица'!KG23</f>
        <v>0</v>
      </c>
      <c r="KB23" s="1003">
        <f t="shared" si="83"/>
        <v>318413.21999999997</v>
      </c>
      <c r="KC23" s="859">
        <f>[1]Субсидия_факт!FB20</f>
        <v>82787.439999999973</v>
      </c>
      <c r="KD23" s="858">
        <f>[1]Субсидия_факт!FH20</f>
        <v>235625.78</v>
      </c>
      <c r="KE23" s="878">
        <f t="shared" si="84"/>
        <v>0</v>
      </c>
      <c r="KF23" s="859"/>
      <c r="KG23" s="860"/>
      <c r="KH23" s="1352">
        <f t="shared" si="226"/>
        <v>793449.19</v>
      </c>
      <c r="KI23" s="850">
        <f>[1]Субсидия_факт!OD20</f>
        <v>387900</v>
      </c>
      <c r="KJ23" s="860">
        <f>[1]Субсидия_факт!OJ20</f>
        <v>317539.19</v>
      </c>
      <c r="KK23" s="850">
        <f>[1]Субсидия_факт!OR20</f>
        <v>31995.83</v>
      </c>
      <c r="KL23" s="860">
        <f>[1]Субсидия_факт!OT20</f>
        <v>56014.17</v>
      </c>
      <c r="KM23" s="1352">
        <f t="shared" si="85"/>
        <v>0</v>
      </c>
      <c r="KN23" s="850"/>
      <c r="KO23" s="860"/>
      <c r="KP23" s="850"/>
      <c r="KQ23" s="860"/>
      <c r="KR23" s="1352">
        <f t="shared" si="227"/>
        <v>31410</v>
      </c>
      <c r="KS23" s="885">
        <f>[1]Субсидия_факт!OF20</f>
        <v>31410</v>
      </c>
      <c r="KT23" s="863">
        <f>[1]Субсидия_факт!OL20</f>
        <v>0</v>
      </c>
      <c r="KU23" s="885"/>
      <c r="KV23" s="863"/>
      <c r="KW23" s="1352">
        <f t="shared" si="86"/>
        <v>0</v>
      </c>
      <c r="KX23" s="850"/>
      <c r="KY23" s="860"/>
      <c r="KZ23" s="850"/>
      <c r="LA23" s="860"/>
      <c r="LB23" s="1354">
        <f t="shared" si="87"/>
        <v>-25190</v>
      </c>
      <c r="LC23" s="885">
        <f t="shared" si="88"/>
        <v>-25190</v>
      </c>
      <c r="LD23" s="863">
        <f t="shared" si="88"/>
        <v>0</v>
      </c>
      <c r="LE23" s="1354">
        <f t="shared" si="89"/>
        <v>0</v>
      </c>
      <c r="LF23" s="885">
        <f t="shared" si="90"/>
        <v>0</v>
      </c>
      <c r="LG23" s="863">
        <f t="shared" si="90"/>
        <v>0</v>
      </c>
      <c r="LH23" s="1354">
        <f t="shared" si="91"/>
        <v>56600</v>
      </c>
      <c r="LI23" s="859">
        <f>[1]Субсидия_факт!OH20</f>
        <v>56600</v>
      </c>
      <c r="LJ23" s="858">
        <f>[1]Субсидия_факт!ON20</f>
        <v>0</v>
      </c>
      <c r="LK23" s="1354">
        <f t="shared" si="92"/>
        <v>0</v>
      </c>
      <c r="LL23" s="851"/>
      <c r="LM23" s="860"/>
      <c r="LN23" s="1050">
        <f t="shared" si="228"/>
        <v>0</v>
      </c>
      <c r="LO23" s="865">
        <f>[1]Субсидия_факт!DP20</f>
        <v>0</v>
      </c>
      <c r="LP23" s="850">
        <f>[1]Субсидия_факт!CB20</f>
        <v>0</v>
      </c>
      <c r="LQ23" s="860">
        <f>[1]Субсидия_факт!CH20</f>
        <v>0</v>
      </c>
      <c r="LR23" s="1050">
        <f t="shared" si="93"/>
        <v>0</v>
      </c>
      <c r="LS23" s="865"/>
      <c r="LT23" s="850"/>
      <c r="LU23" s="860"/>
      <c r="LV23" s="1050">
        <f t="shared" si="229"/>
        <v>0</v>
      </c>
      <c r="LW23" s="865">
        <f>[1]Субсидия_факт!DR20</f>
        <v>0</v>
      </c>
      <c r="LX23" s="850">
        <f>[1]Субсидия_факт!CD20</f>
        <v>0</v>
      </c>
      <c r="LY23" s="860">
        <f>[1]Субсидия_факт!CJ20</f>
        <v>0</v>
      </c>
      <c r="LZ23" s="1050">
        <f t="shared" si="94"/>
        <v>0</v>
      </c>
      <c r="MA23" s="865"/>
      <c r="MB23" s="850"/>
      <c r="MC23" s="858"/>
      <c r="MD23" s="879">
        <f t="shared" si="95"/>
        <v>0</v>
      </c>
      <c r="ME23" s="862">
        <f>'Проверочная  таблица'!LW23-MM23</f>
        <v>0</v>
      </c>
      <c r="MF23" s="862">
        <f>'Проверочная  таблица'!LX23-MN23</f>
        <v>0</v>
      </c>
      <c r="MG23" s="863">
        <f>'Проверочная  таблица'!LY23-MO23</f>
        <v>0</v>
      </c>
      <c r="MH23" s="879">
        <f t="shared" si="96"/>
        <v>0</v>
      </c>
      <c r="MI23" s="862">
        <f>'Проверочная  таблица'!MA23-MQ23</f>
        <v>0</v>
      </c>
      <c r="MJ23" s="862">
        <f>'Проверочная  таблица'!MB23-MR23</f>
        <v>0</v>
      </c>
      <c r="MK23" s="863">
        <f>'Проверочная  таблица'!MC23-MS23</f>
        <v>0</v>
      </c>
      <c r="ML23" s="879">
        <f t="shared" si="97"/>
        <v>0</v>
      </c>
      <c r="MM23" s="850">
        <f>[1]Субсидия_факт!DT20</f>
        <v>0</v>
      </c>
      <c r="MN23" s="850">
        <f>[1]Субсидия_факт!CF20</f>
        <v>0</v>
      </c>
      <c r="MO23" s="860">
        <f>[1]Субсидия_факт!CL20</f>
        <v>0</v>
      </c>
      <c r="MP23" s="879">
        <f t="shared" si="98"/>
        <v>0</v>
      </c>
      <c r="MQ23" s="850"/>
      <c r="MR23" s="850"/>
      <c r="MS23" s="860"/>
      <c r="MT23" s="1360">
        <f t="shared" si="230"/>
        <v>318413.21999999997</v>
      </c>
      <c r="MU23" s="850">
        <f>[1]Субсидия_факт!CN20</f>
        <v>0</v>
      </c>
      <c r="MV23" s="858">
        <f>[1]Субсидия_факт!CP20</f>
        <v>0</v>
      </c>
      <c r="MW23" s="862">
        <f>[1]Субсидия_факт!CR20</f>
        <v>0</v>
      </c>
      <c r="MX23" s="863">
        <f>[1]Субсидия_факт!CT20</f>
        <v>0</v>
      </c>
      <c r="MY23" s="851">
        <f>[1]Субсидия_факт!DV20</f>
        <v>0</v>
      </c>
      <c r="MZ23" s="859">
        <f>[1]Субсидия_факт!FJ20</f>
        <v>82787.439999999973</v>
      </c>
      <c r="NA23" s="858">
        <f>[1]Субсидия_факт!FP20</f>
        <v>235625.78</v>
      </c>
      <c r="NB23" s="1003">
        <f t="shared" si="99"/>
        <v>318413.21999999997</v>
      </c>
      <c r="NC23" s="850"/>
      <c r="ND23" s="860"/>
      <c r="NE23" s="866"/>
      <c r="NF23" s="890"/>
      <c r="NG23" s="850"/>
      <c r="NH23" s="850">
        <f t="shared" si="250"/>
        <v>82787.439999999973</v>
      </c>
      <c r="NI23" s="860">
        <f t="shared" si="250"/>
        <v>235625.78</v>
      </c>
      <c r="NJ23" s="1003">
        <f t="shared" si="231"/>
        <v>0</v>
      </c>
      <c r="NK23" s="859">
        <f>[1]Субсидия_факт!FL20</f>
        <v>0</v>
      </c>
      <c r="NL23" s="858">
        <f>[1]Субсидия_факт!FR20</f>
        <v>0</v>
      </c>
      <c r="NM23" s="1003">
        <f t="shared" si="101"/>
        <v>0</v>
      </c>
      <c r="NN23" s="851"/>
      <c r="NO23" s="860"/>
      <c r="NP23" s="878">
        <f t="shared" si="102"/>
        <v>0</v>
      </c>
      <c r="NQ23" s="859">
        <f>'Проверочная  таблица'!NK23-NW23</f>
        <v>0</v>
      </c>
      <c r="NR23" s="860">
        <f>'Проверочная  таблица'!NL23-NX23</f>
        <v>0</v>
      </c>
      <c r="NS23" s="878">
        <f t="shared" si="103"/>
        <v>0</v>
      </c>
      <c r="NT23" s="850">
        <f>'Проверочная  таблица'!NN23-NZ23</f>
        <v>0</v>
      </c>
      <c r="NU23" s="867">
        <f>'Проверочная  таблица'!NO23-OA23</f>
        <v>0</v>
      </c>
      <c r="NV23" s="878">
        <f t="shared" si="232"/>
        <v>0</v>
      </c>
      <c r="NW23" s="859">
        <f>[1]Субсидия_факт!FN20</f>
        <v>0</v>
      </c>
      <c r="NX23" s="858">
        <f>[1]Субсидия_факт!FT20</f>
        <v>0</v>
      </c>
      <c r="NY23" s="878">
        <f t="shared" si="104"/>
        <v>0</v>
      </c>
      <c r="NZ23" s="850"/>
      <c r="OA23" s="860"/>
      <c r="OB23" s="1012">
        <f t="shared" si="233"/>
        <v>0</v>
      </c>
      <c r="OC23" s="859">
        <f>[1]Субсидия_факт!AR20</f>
        <v>0</v>
      </c>
      <c r="OD23" s="858">
        <f>[1]Субсидия_факт!AT20</f>
        <v>0</v>
      </c>
      <c r="OE23" s="859">
        <f>[1]Субсидия_факт!AV20</f>
        <v>0</v>
      </c>
      <c r="OF23" s="1050">
        <f t="shared" si="105"/>
        <v>0</v>
      </c>
      <c r="OG23" s="866"/>
      <c r="OH23" s="863"/>
      <c r="OI23" s="866"/>
      <c r="OJ23" s="1376">
        <f t="shared" si="106"/>
        <v>30953240.300000001</v>
      </c>
      <c r="OK23" s="859">
        <f>[1]Субсидия_факт!GD20</f>
        <v>15600000</v>
      </c>
      <c r="OL23" s="858">
        <f>[1]Субсидия_факт!GJ20</f>
        <v>15353240.300000001</v>
      </c>
      <c r="OM23" s="866">
        <f>[1]Субсидия_факт!GP20</f>
        <v>0</v>
      </c>
      <c r="ON23" s="1376">
        <f t="shared" si="107"/>
        <v>0</v>
      </c>
      <c r="OO23" s="851"/>
      <c r="OP23" s="860"/>
      <c r="OQ23" s="850"/>
      <c r="OR23" s="1352">
        <f t="shared" si="234"/>
        <v>40803193.760000005</v>
      </c>
      <c r="OS23" s="859">
        <f>[1]Субсидия_факт!GF20</f>
        <v>821052.83999999985</v>
      </c>
      <c r="OT23" s="858">
        <f>[1]Субсидия_факт!GL20</f>
        <v>15600000</v>
      </c>
      <c r="OU23" s="850">
        <f>[1]Субсидия_факт!GR20</f>
        <v>24382140.920000002</v>
      </c>
      <c r="OV23" s="1352">
        <f t="shared" si="108"/>
        <v>31774293.140000001</v>
      </c>
      <c r="OW23" s="850">
        <v>821052.84</v>
      </c>
      <c r="OX23" s="867">
        <v>15600000</v>
      </c>
      <c r="OY23" s="850">
        <v>15353240.300000001</v>
      </c>
      <c r="OZ23" s="1354">
        <f t="shared" si="109"/>
        <v>15353240.300000003</v>
      </c>
      <c r="PA23" s="885">
        <f>'Проверочная  таблица'!OS23-PI23</f>
        <v>0</v>
      </c>
      <c r="PB23" s="863">
        <f>'Проверочная  таблица'!OT23-PJ23</f>
        <v>0</v>
      </c>
      <c r="PC23" s="866">
        <f>'Проверочная  таблица'!OU23-PK23</f>
        <v>15353240.300000003</v>
      </c>
      <c r="PD23" s="1354">
        <f t="shared" si="235"/>
        <v>15353240.300000001</v>
      </c>
      <c r="PE23" s="851">
        <f>'Проверочная  таблица'!OW23-PM23</f>
        <v>0</v>
      </c>
      <c r="PF23" s="860">
        <f>'Проверочная  таблица'!OX23-PN23</f>
        <v>0</v>
      </c>
      <c r="PG23" s="850">
        <f>'Проверочная  таблица'!OY23-PO23</f>
        <v>15353240.300000001</v>
      </c>
      <c r="PH23" s="1354">
        <f t="shared" si="110"/>
        <v>25449953.460000001</v>
      </c>
      <c r="PI23" s="859">
        <f>[1]Субсидия_факт!GH20</f>
        <v>821052.83999999985</v>
      </c>
      <c r="PJ23" s="858">
        <f>[1]Субсидия_факт!GN20</f>
        <v>15600000</v>
      </c>
      <c r="PK23" s="859">
        <f>[1]Субсидия_факт!GT20</f>
        <v>9028900.6199999992</v>
      </c>
      <c r="PL23" s="1354">
        <f t="shared" si="111"/>
        <v>16421052.84</v>
      </c>
      <c r="PM23" s="851">
        <f t="shared" si="191"/>
        <v>821052.84</v>
      </c>
      <c r="PN23" s="860">
        <f t="shared" si="192"/>
        <v>15600000</v>
      </c>
      <c r="PO23" s="859">
        <v>0</v>
      </c>
      <c r="PP23" s="1003">
        <f t="shared" si="193"/>
        <v>0</v>
      </c>
      <c r="PQ23" s="862">
        <f>[1]Субсидия_факт!JB20</f>
        <v>0</v>
      </c>
      <c r="PR23" s="863">
        <f>[1]Субсидия_факт!JH20</f>
        <v>0</v>
      </c>
      <c r="PS23" s="862"/>
      <c r="PT23" s="863"/>
      <c r="PU23" s="1003">
        <f t="shared" si="194"/>
        <v>0</v>
      </c>
      <c r="PV23" s="866"/>
      <c r="PW23" s="890"/>
      <c r="PX23" s="866"/>
      <c r="PY23" s="890"/>
      <c r="PZ23" s="1050">
        <f t="shared" si="112"/>
        <v>0</v>
      </c>
      <c r="QA23" s="862">
        <f>[1]Субсидия_факт!JD20</f>
        <v>0</v>
      </c>
      <c r="QB23" s="863">
        <f>[1]Субсидия_факт!JJ20</f>
        <v>0</v>
      </c>
      <c r="QC23" s="1391">
        <f t="shared" si="113"/>
        <v>0</v>
      </c>
      <c r="QD23" s="866"/>
      <c r="QE23" s="890"/>
      <c r="QF23" s="1016">
        <f t="shared" si="236"/>
        <v>0</v>
      </c>
      <c r="QG23" s="866">
        <f t="shared" si="114"/>
        <v>0</v>
      </c>
      <c r="QH23" s="863">
        <f t="shared" si="114"/>
        <v>0</v>
      </c>
      <c r="QI23" s="1373">
        <f t="shared" si="115"/>
        <v>0</v>
      </c>
      <c r="QJ23" s="862">
        <f t="shared" si="116"/>
        <v>0</v>
      </c>
      <c r="QK23" s="863">
        <f t="shared" si="116"/>
        <v>0</v>
      </c>
      <c r="QL23" s="1373">
        <f t="shared" si="117"/>
        <v>0</v>
      </c>
      <c r="QM23" s="862">
        <f>[1]Субсидия_факт!JF20</f>
        <v>0</v>
      </c>
      <c r="QN23" s="863">
        <f>[1]Субсидия_факт!JL20</f>
        <v>0</v>
      </c>
      <c r="QO23" s="879">
        <f t="shared" si="237"/>
        <v>0</v>
      </c>
      <c r="QP23" s="866"/>
      <c r="QQ23" s="890"/>
      <c r="QR23" s="897">
        <f t="shared" si="118"/>
        <v>0</v>
      </c>
      <c r="QS23" s="862">
        <f>[1]Субсидия_факт!CV20</f>
        <v>0</v>
      </c>
      <c r="QT23" s="863">
        <f>[1]Субсидия_факт!CX20</f>
        <v>0</v>
      </c>
      <c r="QU23" s="1050">
        <f t="shared" si="119"/>
        <v>0</v>
      </c>
      <c r="QV23" s="862"/>
      <c r="QW23" s="863"/>
      <c r="QX23" s="897">
        <f t="shared" si="120"/>
        <v>0</v>
      </c>
      <c r="QY23" s="862">
        <f>[1]Субсидия_факт!CZ20</f>
        <v>0</v>
      </c>
      <c r="QZ23" s="863">
        <f>[1]Субсидия_факт!DF20</f>
        <v>0</v>
      </c>
      <c r="RA23" s="1050">
        <f t="shared" si="121"/>
        <v>0</v>
      </c>
      <c r="RB23" s="862"/>
      <c r="RC23" s="863"/>
      <c r="RD23" s="897">
        <f t="shared" si="122"/>
        <v>0</v>
      </c>
      <c r="RE23" s="862">
        <f>[1]Субсидия_факт!DB20</f>
        <v>0</v>
      </c>
      <c r="RF23" s="863">
        <f>[1]Субсидия_факт!DH20</f>
        <v>0</v>
      </c>
      <c r="RG23" s="1050">
        <f t="shared" si="123"/>
        <v>0</v>
      </c>
      <c r="RH23" s="862"/>
      <c r="RI23" s="863"/>
      <c r="RJ23" s="1373">
        <f t="shared" si="124"/>
        <v>0</v>
      </c>
      <c r="RK23" s="862">
        <f t="shared" si="125"/>
        <v>0</v>
      </c>
      <c r="RL23" s="863">
        <f t="shared" si="125"/>
        <v>0</v>
      </c>
      <c r="RM23" s="879">
        <f t="shared" si="126"/>
        <v>0</v>
      </c>
      <c r="RN23" s="862">
        <f t="shared" si="127"/>
        <v>0</v>
      </c>
      <c r="RO23" s="863">
        <f t="shared" si="127"/>
        <v>0</v>
      </c>
      <c r="RP23" s="897">
        <f t="shared" si="128"/>
        <v>0</v>
      </c>
      <c r="RQ23" s="862">
        <f>[1]Субсидия_факт!DD20</f>
        <v>0</v>
      </c>
      <c r="RR23" s="863">
        <f>[1]Субсидия_факт!DJ20</f>
        <v>0</v>
      </c>
      <c r="RS23" s="879">
        <f t="shared" si="129"/>
        <v>0</v>
      </c>
      <c r="RT23" s="862"/>
      <c r="RU23" s="863"/>
      <c r="RV23" s="897">
        <f t="shared" si="130"/>
        <v>0</v>
      </c>
      <c r="RW23" s="862">
        <f>[1]Субсидия_факт!DL20</f>
        <v>0</v>
      </c>
      <c r="RX23" s="863">
        <f>[1]Субсидия_факт!DN20</f>
        <v>0</v>
      </c>
      <c r="RY23" s="1391">
        <f t="shared" si="131"/>
        <v>0</v>
      </c>
      <c r="RZ23" s="885"/>
      <c r="SA23" s="889"/>
      <c r="SB23" s="1050">
        <f t="shared" si="238"/>
        <v>0</v>
      </c>
      <c r="SC23" s="859">
        <f>[1]Субсидия_факт!BJ20</f>
        <v>0</v>
      </c>
      <c r="SD23" s="862">
        <f>[1]Субсидия_факт!BF20</f>
        <v>0</v>
      </c>
      <c r="SE23" s="889">
        <f>[1]Субсидия_факт!BH20</f>
        <v>0</v>
      </c>
      <c r="SF23" s="1050">
        <f t="shared" si="132"/>
        <v>0</v>
      </c>
      <c r="SG23" s="891"/>
      <c r="SH23" s="885"/>
      <c r="SI23" s="889"/>
      <c r="SJ23" s="897">
        <f t="shared" si="133"/>
        <v>0</v>
      </c>
      <c r="SK23" s="862">
        <f>[1]Субсидия_факт!AD20</f>
        <v>0</v>
      </c>
      <c r="SL23" s="863">
        <f>[1]Субсидия_факт!AF20</f>
        <v>0</v>
      </c>
      <c r="SM23" s="1050">
        <f t="shared" si="134"/>
        <v>0</v>
      </c>
      <c r="SN23" s="885"/>
      <c r="SO23" s="889"/>
      <c r="SP23" s="897">
        <f t="shared" si="239"/>
        <v>417191684.20999998</v>
      </c>
      <c r="SQ23" s="862">
        <f>[1]Субсидия_факт!ID20</f>
        <v>0</v>
      </c>
      <c r="SR23" s="863">
        <f>[1]Субсидия_факт!IJ20</f>
        <v>0</v>
      </c>
      <c r="SS23" s="885">
        <f>[1]Субсидия_факт!IP20</f>
        <v>0</v>
      </c>
      <c r="ST23" s="863">
        <f>[1]Субсидия_факт!IV20</f>
        <v>0</v>
      </c>
      <c r="SU23" s="1123">
        <f>[1]Субсидия_факт!JZ20</f>
        <v>20859584.209999979</v>
      </c>
      <c r="SV23" s="889">
        <f>[1]Субсидия_факт!KF20</f>
        <v>396332100</v>
      </c>
      <c r="SW23" s="1050">
        <f t="shared" si="135"/>
        <v>377632036.66999996</v>
      </c>
      <c r="SX23" s="1244"/>
      <c r="SY23" s="890"/>
      <c r="SZ23" s="1244"/>
      <c r="TA23" s="890"/>
      <c r="TB23" s="1123">
        <v>18881601.829999998</v>
      </c>
      <c r="TC23" s="889">
        <v>358750434.83999997</v>
      </c>
      <c r="TD23" s="897">
        <f t="shared" si="136"/>
        <v>22628722.75</v>
      </c>
      <c r="TE23" s="862">
        <f>[1]Субсидия_факт!IF20</f>
        <v>1131436.1400000006</v>
      </c>
      <c r="TF23" s="863">
        <f>[1]Субсидия_факт!IL20</f>
        <v>21497286.609999999</v>
      </c>
      <c r="TG23" s="885">
        <f>[1]Субсидия_факт!IR20</f>
        <v>0</v>
      </c>
      <c r="TH23" s="863">
        <f>[1]Субсидия_факт!IX20</f>
        <v>0</v>
      </c>
      <c r="TI23" s="885">
        <f>[1]Субсидия_факт!KB20</f>
        <v>0</v>
      </c>
      <c r="TJ23" s="863">
        <f>[1]Субсидия_факт!KH20</f>
        <v>0</v>
      </c>
      <c r="TK23" s="1050">
        <f t="shared" si="137"/>
        <v>9807601.7599999998</v>
      </c>
      <c r="TL23" s="1218">
        <v>490380.07</v>
      </c>
      <c r="TM23" s="1219">
        <v>9317221.6899999995</v>
      </c>
      <c r="TN23" s="1123"/>
      <c r="TO23" s="890"/>
      <c r="TP23" s="866"/>
      <c r="TQ23" s="890"/>
      <c r="TR23" s="879">
        <f t="shared" si="138"/>
        <v>22628722.75</v>
      </c>
      <c r="TS23" s="862">
        <f t="shared" si="139"/>
        <v>1131436.1400000006</v>
      </c>
      <c r="TT23" s="863">
        <f t="shared" si="139"/>
        <v>21497286.609999999</v>
      </c>
      <c r="TU23" s="862">
        <f t="shared" si="139"/>
        <v>0</v>
      </c>
      <c r="TV23" s="863">
        <f t="shared" si="139"/>
        <v>0</v>
      </c>
      <c r="TW23" s="885">
        <f t="shared" si="139"/>
        <v>0</v>
      </c>
      <c r="TX23" s="863">
        <f t="shared" si="139"/>
        <v>0</v>
      </c>
      <c r="TY23" s="879">
        <f t="shared" si="140"/>
        <v>9807601.7599999998</v>
      </c>
      <c r="TZ23" s="862">
        <f t="shared" si="141"/>
        <v>490380.07</v>
      </c>
      <c r="UA23" s="863">
        <f t="shared" si="141"/>
        <v>9317221.6899999995</v>
      </c>
      <c r="UB23" s="862">
        <f t="shared" si="141"/>
        <v>0</v>
      </c>
      <c r="UC23" s="863">
        <f t="shared" si="141"/>
        <v>0</v>
      </c>
      <c r="UD23" s="885">
        <f t="shared" si="141"/>
        <v>0</v>
      </c>
      <c r="UE23" s="863">
        <f t="shared" si="141"/>
        <v>0</v>
      </c>
      <c r="UF23" s="1373">
        <f t="shared" si="142"/>
        <v>0</v>
      </c>
      <c r="UG23" s="862">
        <f>[1]Субсидия_факт!IH20</f>
        <v>0</v>
      </c>
      <c r="UH23" s="863">
        <f>[1]Субсидия_факт!IN20</f>
        <v>0</v>
      </c>
      <c r="UI23" s="885">
        <f>[1]Субсидия_факт!IT20</f>
        <v>0</v>
      </c>
      <c r="UJ23" s="863">
        <f>[1]Субсидия_факт!IZ20</f>
        <v>0</v>
      </c>
      <c r="UK23" s="885">
        <f>[1]Субсидия_факт!KD20</f>
        <v>0</v>
      </c>
      <c r="UL23" s="863">
        <f>[1]Субсидия_факт!KJ20</f>
        <v>0</v>
      </c>
      <c r="UM23" s="879">
        <f t="shared" si="143"/>
        <v>0</v>
      </c>
      <c r="UN23" s="1123"/>
      <c r="UO23" s="890"/>
      <c r="UP23" s="1123"/>
      <c r="UQ23" s="890"/>
      <c r="UR23" s="1123"/>
      <c r="US23" s="890"/>
      <c r="UT23" s="1050">
        <f>'Прочая  субсидия_МР  и  ГО'!B19</f>
        <v>192553302.00999999</v>
      </c>
      <c r="UU23" s="1050">
        <f>'Прочая  субсидия_МР  и  ГО'!C19</f>
        <v>75599974.310000002</v>
      </c>
      <c r="UV23" s="1371">
        <f>'Прочая  субсидия_БП'!B19</f>
        <v>31702641.840000004</v>
      </c>
      <c r="UW23" s="897">
        <f>'Прочая  субсидия_БП'!C19</f>
        <v>23012531.140000001</v>
      </c>
      <c r="UX23" s="1395">
        <f>'Прочая  субсидия_БП'!D19</f>
        <v>3682183.4100000015</v>
      </c>
      <c r="UY23" s="1386">
        <f>'Прочая  субсидия_БП'!E19</f>
        <v>215603.78</v>
      </c>
      <c r="UZ23" s="1387">
        <f>'Прочая  субсидия_БП'!F19</f>
        <v>28020458.43</v>
      </c>
      <c r="VA23" s="1395">
        <f>'Прочая  субсидия_БП'!G19</f>
        <v>22796927.359999999</v>
      </c>
      <c r="VB23" s="897">
        <f t="shared" si="144"/>
        <v>603503077.05000007</v>
      </c>
      <c r="VC23" s="866">
        <f>'Проверочная  таблица'!WE23+'Проверочная  таблица'!VH23+'Проверочная  таблица'!VJ23+VY23</f>
        <v>586393782.04000008</v>
      </c>
      <c r="VD23" s="891">
        <f>'Проверочная  таблица'!WF23+'Проверочная  таблица'!VN23+'Проверочная  таблица'!VT23+'Проверочная  таблица'!VP23+'Проверочная  таблица'!VR23+VV23+VZ23+VL23</f>
        <v>17109295.009999998</v>
      </c>
      <c r="VE23" s="1050">
        <f t="shared" si="145"/>
        <v>423139392.86000001</v>
      </c>
      <c r="VF23" s="866">
        <f>'Проверочная  таблица'!WH23+'Проверочная  таблица'!VI23+'Проверочная  таблица'!VK23+WB23</f>
        <v>411960561.19999999</v>
      </c>
      <c r="VG23" s="891">
        <f>'Проверочная  таблица'!WI23+'Проверочная  таблица'!VO23+'Проверочная  таблица'!VU23+'Проверочная  таблица'!VQ23+'Проверочная  таблица'!VS23+VW23+WC23+VM23</f>
        <v>11178831.66</v>
      </c>
      <c r="VH23" s="1391">
        <f>'Субвенция  на  полномочия'!B19</f>
        <v>562935493.12</v>
      </c>
      <c r="VI23" s="1371">
        <f>'Субвенция  на  полномочия'!C19</f>
        <v>394145041</v>
      </c>
      <c r="VJ23" s="886">
        <f>[1]Субвенция_факт!M19*1000</f>
        <v>15632041</v>
      </c>
      <c r="VK23" s="892">
        <v>12302670</v>
      </c>
      <c r="VL23" s="886">
        <f>[1]Субвенция_факт!AE19*1000</f>
        <v>0</v>
      </c>
      <c r="VM23" s="892"/>
      <c r="VN23" s="886">
        <f>[1]Субвенция_факт!AF19*1000</f>
        <v>2813500</v>
      </c>
      <c r="VO23" s="892">
        <f>ВУС!E108</f>
        <v>1352031.1400000001</v>
      </c>
      <c r="VP23" s="1396">
        <f>[1]Субвенция_факт!AG19*1000</f>
        <v>0</v>
      </c>
      <c r="VQ23" s="893"/>
      <c r="VR23" s="888">
        <f>[1]Субвенция_факт!E19*1000</f>
        <v>0</v>
      </c>
      <c r="VS23" s="893"/>
      <c r="VT23" s="888">
        <f>[1]Субвенция_факт!F19*1000</f>
        <v>0</v>
      </c>
      <c r="VU23" s="893"/>
      <c r="VV23" s="887">
        <f>[1]Субвенция_факт!G19*1000</f>
        <v>0</v>
      </c>
      <c r="VW23" s="892"/>
      <c r="VX23" s="897">
        <f t="shared" si="146"/>
        <v>18507831.09</v>
      </c>
      <c r="VY23" s="862">
        <f>[1]Субвенция_факт!P19*1000</f>
        <v>4812036.08</v>
      </c>
      <c r="VZ23" s="863">
        <f>[1]Субвенция_факт!Q19*1000</f>
        <v>13695795.01</v>
      </c>
      <c r="WA23" s="1050">
        <f t="shared" si="147"/>
        <v>12684039.23</v>
      </c>
      <c r="WB23" s="866">
        <v>3297850.2</v>
      </c>
      <c r="WC23" s="894">
        <v>9386189.0299999993</v>
      </c>
      <c r="WD23" s="1050">
        <f t="shared" si="148"/>
        <v>3614211.84</v>
      </c>
      <c r="WE23" s="895">
        <f>[1]Субвенция_факт!X19*1000</f>
        <v>3014211.84</v>
      </c>
      <c r="WF23" s="896">
        <f>[1]Субвенция_факт!W19*1000</f>
        <v>600000</v>
      </c>
      <c r="WG23" s="1050">
        <f t="shared" si="149"/>
        <v>2655611.4900000002</v>
      </c>
      <c r="WH23" s="866">
        <v>2215000</v>
      </c>
      <c r="WI23" s="894">
        <v>440611.49</v>
      </c>
      <c r="WJ23" s="897">
        <f t="shared" si="201"/>
        <v>196066955.89999998</v>
      </c>
      <c r="WK23" s="1050">
        <f t="shared" si="202"/>
        <v>81191904.480000004</v>
      </c>
      <c r="WL23" s="1391">
        <f t="shared" si="240"/>
        <v>0</v>
      </c>
      <c r="WM23" s="895"/>
      <c r="WN23" s="896">
        <f>'[1]Иные межбюджетные трансферты'!I21</f>
        <v>0</v>
      </c>
      <c r="WO23" s="1391">
        <f t="shared" si="241"/>
        <v>0</v>
      </c>
      <c r="WP23" s="895"/>
      <c r="WQ23" s="896"/>
      <c r="WR23" s="1391">
        <f t="shared" si="152"/>
        <v>6813576</v>
      </c>
      <c r="WS23" s="895">
        <f>'[1]Иные межбюджетные трансферты'!AQ20</f>
        <v>0</v>
      </c>
      <c r="WT23" s="896">
        <f>'[1]Иные межбюджетные трансферты'!AS20</f>
        <v>6813576</v>
      </c>
      <c r="WU23" s="1391">
        <f t="shared" si="153"/>
        <v>0</v>
      </c>
      <c r="WV23" s="895"/>
      <c r="WW23" s="896"/>
      <c r="WX23" s="1050">
        <f t="shared" si="154"/>
        <v>2696191.3899999997</v>
      </c>
      <c r="WY23" s="895">
        <f>'[1]Иные межбюджетные трансферты'!AM20</f>
        <v>134809.57</v>
      </c>
      <c r="WZ23" s="896">
        <f>'[1]Иные межбюджетные трансферты'!AO20</f>
        <v>2561381.8199999998</v>
      </c>
      <c r="XA23" s="1050">
        <f t="shared" si="155"/>
        <v>1938686.09</v>
      </c>
      <c r="XB23" s="895">
        <v>96934.31</v>
      </c>
      <c r="XC23" s="896">
        <v>1841751.78</v>
      </c>
      <c r="XD23" s="1050">
        <f t="shared" si="156"/>
        <v>40491656</v>
      </c>
      <c r="XE23" s="895">
        <f>'[1]Иные межбюджетные трансферты'!K20</f>
        <v>18735508</v>
      </c>
      <c r="XF23" s="896">
        <f>'[1]Иные межбюджетные трансферты'!M20</f>
        <v>21756148</v>
      </c>
      <c r="XG23" s="1050">
        <f t="shared" si="242"/>
        <v>19309870.600000001</v>
      </c>
      <c r="XH23" s="882"/>
      <c r="XI23" s="896">
        <v>19309870.600000001</v>
      </c>
      <c r="XJ23" s="1050">
        <f t="shared" si="158"/>
        <v>0</v>
      </c>
      <c r="XK23" s="885"/>
      <c r="XL23" s="1050">
        <f t="shared" si="159"/>
        <v>0</v>
      </c>
      <c r="XM23" s="885"/>
      <c r="XN23" s="897">
        <f t="shared" si="160"/>
        <v>0</v>
      </c>
      <c r="XO23" s="862">
        <f>'[1]Иные межбюджетные трансферты'!O20</f>
        <v>0</v>
      </c>
      <c r="XP23" s="1050">
        <f t="shared" si="161"/>
        <v>0</v>
      </c>
      <c r="XQ23" s="866"/>
      <c r="XR23" s="1390">
        <f t="shared" si="162"/>
        <v>0</v>
      </c>
      <c r="XS23" s="879">
        <f t="shared" si="163"/>
        <v>0</v>
      </c>
      <c r="XT23" s="1390">
        <f t="shared" si="164"/>
        <v>0</v>
      </c>
      <c r="XU23" s="879">
        <f t="shared" si="165"/>
        <v>0</v>
      </c>
      <c r="XV23" s="1050">
        <f t="shared" si="243"/>
        <v>40580562.649999999</v>
      </c>
      <c r="XW23" s="883">
        <f>'[1]Иные межбюджетные трансферты'!E20</f>
        <v>0</v>
      </c>
      <c r="XX23" s="895">
        <f>'[1]Иные межбюджетные трансферты'!G20</f>
        <v>0</v>
      </c>
      <c r="XY23" s="882">
        <f>'[1]Иные межбюджетные трансферты'!S20</f>
        <v>0</v>
      </c>
      <c r="XZ23" s="883">
        <f>'[1]Иные межбюджетные трансферты'!Y20</f>
        <v>0</v>
      </c>
      <c r="YA23" s="882">
        <f>'[1]Иные межбюджетные трансферты'!AA20</f>
        <v>18919600</v>
      </c>
      <c r="YB23" s="1275">
        <f>'[1]Иные межбюджетные трансферты'!AG20</f>
        <v>7916740</v>
      </c>
      <c r="YC23" s="882">
        <f>'[1]Иные межбюджетные трансферты'!AU20</f>
        <v>0</v>
      </c>
      <c r="YD23" s="862">
        <f>'[1]Иные межбюджетные трансферты'!BA20</f>
        <v>3465649.2600000002</v>
      </c>
      <c r="YE23" s="882">
        <f>'[1]Иные межбюджетные трансферты'!BC20</f>
        <v>4105288.3499999996</v>
      </c>
      <c r="YF23" s="1275">
        <f>'[1]Иные межбюджетные трансферты'!BE20</f>
        <v>6173285.04</v>
      </c>
      <c r="YG23" s="1050">
        <f t="shared" si="244"/>
        <v>25092885.039999999</v>
      </c>
      <c r="YH23" s="882"/>
      <c r="YI23" s="882"/>
      <c r="YJ23" s="851"/>
      <c r="YK23" s="882"/>
      <c r="YL23" s="848">
        <f t="shared" si="245"/>
        <v>18919600</v>
      </c>
      <c r="YM23" s="848"/>
      <c r="YN23" s="848"/>
      <c r="YO23" s="848"/>
      <c r="YP23" s="848"/>
      <c r="YQ23" s="848">
        <v>6173285.04</v>
      </c>
      <c r="YR23" s="1050">
        <f t="shared" si="166"/>
        <v>105484969.86</v>
      </c>
      <c r="YS23" s="895">
        <f>'[1]Иные межбюджетные трансферты'!U20</f>
        <v>12661433</v>
      </c>
      <c r="YT23" s="882">
        <f>'[1]Иные межбюджетные трансферты'!AC20</f>
        <v>18919600</v>
      </c>
      <c r="YU23" s="1275">
        <f>'[1]Иные межбюджетные трансферты'!AI20</f>
        <v>62985072.510000005</v>
      </c>
      <c r="YV23" s="883">
        <f>'[1]Иные межбюджетные трансферты'!AW20</f>
        <v>6813576</v>
      </c>
      <c r="YW23" s="848">
        <f>'[1]Иные межбюджетные трансферты'!BG20</f>
        <v>4105288.3499999996</v>
      </c>
      <c r="YX23" s="1050">
        <f t="shared" si="167"/>
        <v>34850462.75</v>
      </c>
      <c r="YY23" s="865">
        <v>11825574.4</v>
      </c>
      <c r="YZ23" s="865">
        <f t="shared" si="247"/>
        <v>18919600</v>
      </c>
      <c r="ZA23" s="865"/>
      <c r="ZB23" s="848"/>
      <c r="ZC23" s="848">
        <v>4105288.3499999996</v>
      </c>
      <c r="ZD23" s="879">
        <f t="shared" si="168"/>
        <v>56501662.390000008</v>
      </c>
      <c r="ZE23" s="859">
        <f>'Проверочная  таблица'!YS23-ZQ23</f>
        <v>2511433</v>
      </c>
      <c r="ZF23" s="859">
        <f>'Проверочная  таблица'!YT23-ZR23</f>
        <v>0</v>
      </c>
      <c r="ZG23" s="859">
        <f>'Проверочная  таблица'!YU23-ZS23</f>
        <v>43071365.040000007</v>
      </c>
      <c r="ZH23" s="859">
        <f>'Проверочная  таблица'!YV23-ZT23</f>
        <v>6813576</v>
      </c>
      <c r="ZI23" s="859">
        <f>'Проверочная  таблица'!YW23-ZU23</f>
        <v>4105288.3499999996</v>
      </c>
      <c r="ZJ23" s="879">
        <f t="shared" si="169"/>
        <v>6616721.3499999996</v>
      </c>
      <c r="ZK23" s="859">
        <f>'Проверочная  таблица'!YY23-ZW23</f>
        <v>2511433</v>
      </c>
      <c r="ZL23" s="859">
        <f>'Проверочная  таблица'!YZ23-ZX23</f>
        <v>0</v>
      </c>
      <c r="ZM23" s="859">
        <f>'Проверочная  таблица'!ZA23-ZY23</f>
        <v>0</v>
      </c>
      <c r="ZN23" s="859">
        <f>'Проверочная  таблица'!ZB23-ZZ23</f>
        <v>0</v>
      </c>
      <c r="ZO23" s="859">
        <f>'Проверочная  таблица'!ZC23-AAA23</f>
        <v>4105288.3499999996</v>
      </c>
      <c r="ZP23" s="879">
        <f t="shared" si="170"/>
        <v>48983307.469999999</v>
      </c>
      <c r="ZQ23" s="895">
        <f>'[1]Иные межбюджетные трансферты'!W20</f>
        <v>10150000</v>
      </c>
      <c r="ZR23" s="895">
        <f>'[1]Иные межбюджетные трансферты'!AE20</f>
        <v>18919600</v>
      </c>
      <c r="ZS23" s="882">
        <f>'[1]Иные межбюджетные трансферты'!$AK$20</f>
        <v>19913707.469999999</v>
      </c>
      <c r="ZT23" s="883">
        <f>'[1]Иные межбюджетные трансферты'!AY20</f>
        <v>0</v>
      </c>
      <c r="ZU23" s="848">
        <f>'[1]Иные межбюджетные трансферты'!$BI$20</f>
        <v>0</v>
      </c>
      <c r="ZV23" s="879">
        <f t="shared" si="171"/>
        <v>28233741.399999999</v>
      </c>
      <c r="ZW23" s="865">
        <v>9314141.4000000004</v>
      </c>
      <c r="ZX23" s="865">
        <f t="shared" si="248"/>
        <v>18919600</v>
      </c>
      <c r="ZY23" s="865"/>
      <c r="ZZ23" s="848"/>
      <c r="AAA23" s="848">
        <v>0</v>
      </c>
      <c r="AAB23" s="1050">
        <f>AAD23+'Проверочная  таблица'!AAL23+AAH23+'Проверочная  таблица'!AAP23+AAJ23+'Проверочная  таблица'!AAR23</f>
        <v>-15000000</v>
      </c>
      <c r="AAC23" s="1050">
        <f>AAE23+'Проверочная  таблица'!AAM23+AAI23+'Проверочная  таблица'!AAQ23+AAK23+'Проверочная  таблица'!AAS23</f>
        <v>0</v>
      </c>
      <c r="AAD23" s="897"/>
      <c r="AAE23" s="897"/>
      <c r="AAF23" s="897"/>
      <c r="AAG23" s="897"/>
      <c r="AAH23" s="1373">
        <f t="shared" si="172"/>
        <v>0</v>
      </c>
      <c r="AAI23" s="879">
        <f t="shared" si="172"/>
        <v>0</v>
      </c>
      <c r="AAJ23" s="898"/>
      <c r="AAK23" s="879"/>
      <c r="AAL23" s="897">
        <v>-15000000</v>
      </c>
      <c r="AAM23" s="897"/>
      <c r="AAN23" s="897"/>
      <c r="AAO23" s="897"/>
      <c r="AAP23" s="1373">
        <f t="shared" si="173"/>
        <v>0</v>
      </c>
      <c r="AAQ23" s="879">
        <f t="shared" si="173"/>
        <v>0</v>
      </c>
      <c r="AAR23" s="879"/>
      <c r="AAS23" s="879"/>
      <c r="AAT23" s="1384">
        <f>'Проверочная  таблица'!AAL23+'Проверочная  таблица'!AAN23</f>
        <v>-15000000</v>
      </c>
      <c r="AAU23" s="1384">
        <f>'Проверочная  таблица'!AAM23+'Проверочная  таблица'!AAO23</f>
        <v>0</v>
      </c>
    </row>
    <row r="24" spans="1:723" ht="20.45" customHeight="1" x14ac:dyDescent="0.25">
      <c r="A24" s="880" t="s">
        <v>1293</v>
      </c>
      <c r="B24" s="897">
        <f>D24+AN24+'Проверочная  таблица'!VB24+'Проверочная  таблица'!WJ24</f>
        <v>653545814.16999996</v>
      </c>
      <c r="C24" s="1050">
        <f>E24+'Проверочная  таблица'!VE24+AO24+'Проверочная  таблица'!WK24</f>
        <v>442593746.84999996</v>
      </c>
      <c r="D24" s="1371">
        <f t="shared" si="0"/>
        <v>93877241.819999993</v>
      </c>
      <c r="E24" s="897">
        <f t="shared" si="1"/>
        <v>71248282</v>
      </c>
      <c r="F24" s="1376">
        <f>'[1]Дотация  из  ОБ_факт'!M19</f>
        <v>50105182</v>
      </c>
      <c r="G24" s="1385">
        <v>37578885</v>
      </c>
      <c r="H24" s="1376">
        <f>'[1]Дотация  из  ОБ_факт'!G19</f>
        <v>21237207.82</v>
      </c>
      <c r="I24" s="1385">
        <v>16427912</v>
      </c>
      <c r="J24" s="1386">
        <f t="shared" si="2"/>
        <v>21237207.82</v>
      </c>
      <c r="K24" s="1387">
        <f t="shared" si="2"/>
        <v>16427912</v>
      </c>
      <c r="L24" s="1386">
        <f>'[1]Дотация  из  ОБ_факт'!K19</f>
        <v>0</v>
      </c>
      <c r="M24" s="881"/>
      <c r="N24" s="1376">
        <f>'[1]Дотация  из  ОБ_факт'!Q19</f>
        <v>0</v>
      </c>
      <c r="O24" s="1385"/>
      <c r="P24" s="1376">
        <f>'[1]Дотация  из  ОБ_факт'!S19</f>
        <v>22103477</v>
      </c>
      <c r="Q24" s="1385">
        <v>16810110</v>
      </c>
      <c r="R24" s="1386">
        <f t="shared" si="3"/>
        <v>22103477</v>
      </c>
      <c r="S24" s="1387">
        <f t="shared" si="3"/>
        <v>16810110</v>
      </c>
      <c r="T24" s="1386">
        <f>'[1]Дотация  из  ОБ_факт'!W19</f>
        <v>0</v>
      </c>
      <c r="U24" s="881"/>
      <c r="V24" s="886">
        <f t="shared" si="4"/>
        <v>0</v>
      </c>
      <c r="W24" s="1388">
        <f>'[1]Дотация  из  ОБ_факт'!AA19</f>
        <v>0</v>
      </c>
      <c r="X24" s="1389">
        <f>'[1]Дотация  из  ОБ_факт'!AC19</f>
        <v>0</v>
      </c>
      <c r="Y24" s="1389">
        <f>'[1]Дотация  из  ОБ_факт'!AG19</f>
        <v>0</v>
      </c>
      <c r="Z24" s="887">
        <f t="shared" si="5"/>
        <v>0</v>
      </c>
      <c r="AA24" s="848">
        <f t="shared" si="177"/>
        <v>0</v>
      </c>
      <c r="AB24" s="848">
        <f t="shared" si="177"/>
        <v>0</v>
      </c>
      <c r="AC24" s="882"/>
      <c r="AD24" s="886">
        <f t="shared" si="6"/>
        <v>431375</v>
      </c>
      <c r="AE24" s="1388">
        <f>'[1]Дотация  из  ОБ_факт'!Y19</f>
        <v>431375</v>
      </c>
      <c r="AF24" s="1389">
        <f>'[1]Дотация  из  ОБ_факт'!AE19</f>
        <v>0</v>
      </c>
      <c r="AG24" s="886">
        <f t="shared" si="7"/>
        <v>431375</v>
      </c>
      <c r="AH24" s="1359">
        <f t="shared" si="178"/>
        <v>431375</v>
      </c>
      <c r="AI24" s="848">
        <f t="shared" si="179"/>
        <v>0</v>
      </c>
      <c r="AJ24" s="1386">
        <f t="shared" si="8"/>
        <v>431375</v>
      </c>
      <c r="AK24" s="1387">
        <f t="shared" si="9"/>
        <v>431375</v>
      </c>
      <c r="AL24" s="1386">
        <f>'[1]Дотация  из  ОБ_факт'!AE19</f>
        <v>0</v>
      </c>
      <c r="AM24" s="884"/>
      <c r="AN24" s="1012">
        <f>'Проверочная  таблица'!UT24+'Проверочная  таблица'!UV24+BL24+BN24+BZ24+CB24+AZ24+BD24+'Проверочная  таблица'!MT24+'Проверочная  таблица'!NJ24+'Проверочная  таблица'!DT24+'Проверочная  таблица'!OB24+DL24+'Проверочная  таблица'!JJ24+'Проверочная  таблица'!JP24+'Проверочная  таблица'!OJ24+'Проверочная  таблица'!OR24+JD24+AP24+AV24+ET24+EZ24+CN24+SP24+DZ24+TD24+PZ24+EF24+EN24+LN24+LV24+SJ24+GN24+RV24+QX24+KH24+KR24+RD24+SB24+CH24+QR24+HD24+FX24+HJ24+HP24+FR24+DB24+PP24+BT24+IH24+IX24+GV24+GD24+IN24</f>
        <v>146003883.18000001</v>
      </c>
      <c r="AO24" s="1013">
        <f>'Проверочная  таблица'!UU24+'Проверочная  таблица'!UW24+BM24+BO24+CA24+CC24+BB24+BF24+'Проверочная  таблица'!NB24+'Проверочная  таблица'!NM24+'Проверочная  таблица'!DW24+'Проверочная  таблица'!OF24+DP24+'Проверочная  таблица'!JM24+'Проверочная  таблица'!JS24+'Проверочная  таблица'!ON24+'Проверочная  таблица'!OV24+JG24+AS24+AX24+EW24+FC24+CU24+SW24+EC24+TK24+QC24+EJ24+EQ24+LR24+LZ24+SM24+GR24+RY24+RA24+KM24+KW24+RG24+SF24+CK24+QU24+HG24+GA24+HM24+HS24+FU24+DE24+PU24+BW24+IK24+JA24+GX24+GG24+IQ24</f>
        <v>69690468.260000005</v>
      </c>
      <c r="AP24" s="1050">
        <f t="shared" si="10"/>
        <v>47434647.219999999</v>
      </c>
      <c r="AQ24" s="885">
        <f>[1]Субсидия_факт!HV21</f>
        <v>32804647.219999999</v>
      </c>
      <c r="AR24" s="866">
        <f>[1]Субсидия_факт!MR21</f>
        <v>14630000</v>
      </c>
      <c r="AS24" s="1050">
        <f t="shared" si="11"/>
        <v>31015344.07</v>
      </c>
      <c r="AT24" s="866">
        <v>31015344.07</v>
      </c>
      <c r="AU24" s="885"/>
      <c r="AV24" s="1003">
        <f t="shared" si="12"/>
        <v>0</v>
      </c>
      <c r="AW24" s="866">
        <f>[1]Субсидия_факт!MV21</f>
        <v>0</v>
      </c>
      <c r="AX24" s="1360">
        <f t="shared" si="13"/>
        <v>0</v>
      </c>
      <c r="AY24" s="866"/>
      <c r="AZ24" s="897">
        <f t="shared" si="14"/>
        <v>0</v>
      </c>
      <c r="BA24" s="866">
        <f>[1]Субсидия_факт!KZ21</f>
        <v>0</v>
      </c>
      <c r="BB24" s="1050">
        <f t="shared" si="15"/>
        <v>0</v>
      </c>
      <c r="BC24" s="866"/>
      <c r="BD24" s="897">
        <f t="shared" si="16"/>
        <v>0</v>
      </c>
      <c r="BE24" s="866">
        <f>[1]Субсидия_факт!LB21</f>
        <v>0</v>
      </c>
      <c r="BF24" s="1050">
        <f t="shared" si="17"/>
        <v>0</v>
      </c>
      <c r="BG24" s="866"/>
      <c r="BH24" s="1029">
        <f t="shared" si="18"/>
        <v>0</v>
      </c>
      <c r="BI24" s="1016">
        <f t="shared" si="19"/>
        <v>0</v>
      </c>
      <c r="BJ24" s="1027">
        <f t="shared" si="20"/>
        <v>0</v>
      </c>
      <c r="BK24" s="1029">
        <f t="shared" si="21"/>
        <v>0</v>
      </c>
      <c r="BL24" s="897">
        <f>[1]Субсидия_факт!GV21</f>
        <v>0</v>
      </c>
      <c r="BM24" s="886"/>
      <c r="BN24" s="1391">
        <f>[1]Субсидия_факт!GX21</f>
        <v>0</v>
      </c>
      <c r="BO24" s="887"/>
      <c r="BP24" s="1390">
        <f t="shared" si="22"/>
        <v>0</v>
      </c>
      <c r="BQ24" s="1373">
        <f t="shared" si="22"/>
        <v>0</v>
      </c>
      <c r="BR24" s="879">
        <f>[1]Субсидия_факт!GZ21</f>
        <v>0</v>
      </c>
      <c r="BS24" s="881"/>
      <c r="BT24" s="897">
        <f t="shared" si="23"/>
        <v>31469344.07</v>
      </c>
      <c r="BU24" s="862">
        <f>[1]Субсидия_факт!HL21</f>
        <v>31015344.07</v>
      </c>
      <c r="BV24" s="866">
        <f>[1]Субсидия_факт!HN21</f>
        <v>454000</v>
      </c>
      <c r="BW24" s="1050">
        <f t="shared" si="24"/>
        <v>454000</v>
      </c>
      <c r="BX24" s="866"/>
      <c r="BY24" s="866">
        <v>454000</v>
      </c>
      <c r="BZ24" s="1050">
        <f>[1]Субсидия_факт!HB21</f>
        <v>0</v>
      </c>
      <c r="CA24" s="888"/>
      <c r="CB24" s="1050">
        <f>[1]Субсидия_факт!HD21</f>
        <v>0</v>
      </c>
      <c r="CC24" s="887"/>
      <c r="CD24" s="1367">
        <f t="shared" si="25"/>
        <v>0</v>
      </c>
      <c r="CE24" s="878">
        <f t="shared" si="25"/>
        <v>0</v>
      </c>
      <c r="CF24" s="1368">
        <f>[1]Субсидия_факт!HF21</f>
        <v>0</v>
      </c>
      <c r="CG24" s="849"/>
      <c r="CH24" s="897">
        <f t="shared" si="26"/>
        <v>247660.65</v>
      </c>
      <c r="CI24" s="862">
        <f>[1]Субсидия_факт!HP21</f>
        <v>0</v>
      </c>
      <c r="CJ24" s="866">
        <f>[1]Субсидия_факт!HR21</f>
        <v>247660.65</v>
      </c>
      <c r="CK24" s="1050">
        <f t="shared" si="27"/>
        <v>247660.65</v>
      </c>
      <c r="CL24" s="866"/>
      <c r="CM24" s="866">
        <v>247660.65</v>
      </c>
      <c r="CN24" s="1003">
        <f t="shared" si="28"/>
        <v>0</v>
      </c>
      <c r="CO24" s="859">
        <f>[1]Субсидия_факт!LR21</f>
        <v>0</v>
      </c>
      <c r="CP24" s="858">
        <f>[1]Субсидия_факт!LT21</f>
        <v>0</v>
      </c>
      <c r="CQ24" s="850">
        <f>[1]Субсидия_факт!LV21</f>
        <v>0</v>
      </c>
      <c r="CR24" s="858">
        <f>[1]Субсидия_факт!MB21</f>
        <v>0</v>
      </c>
      <c r="CS24" s="850">
        <f>[1]Субсидия_факт!MH21</f>
        <v>0</v>
      </c>
      <c r="CT24" s="858">
        <f>[1]Субсидия_факт!MJ21</f>
        <v>0</v>
      </c>
      <c r="CU24" s="1003">
        <f t="shared" si="29"/>
        <v>0</v>
      </c>
      <c r="CV24" s="851"/>
      <c r="CW24" s="858"/>
      <c r="CX24" s="850"/>
      <c r="CY24" s="858"/>
      <c r="CZ24" s="850"/>
      <c r="DA24" s="858"/>
      <c r="DB24" s="1013">
        <f t="shared" si="205"/>
        <v>0</v>
      </c>
      <c r="DC24" s="859">
        <f>[1]Субсидия_факт!LX21</f>
        <v>0</v>
      </c>
      <c r="DD24" s="858">
        <f>[1]Субсидия_факт!MD21</f>
        <v>0</v>
      </c>
      <c r="DE24" s="1003">
        <f t="shared" si="31"/>
        <v>0</v>
      </c>
      <c r="DF24" s="859"/>
      <c r="DG24" s="860"/>
      <c r="DH24" s="1367">
        <f t="shared" si="206"/>
        <v>0</v>
      </c>
      <c r="DI24" s="878">
        <f t="shared" si="207"/>
        <v>0</v>
      </c>
      <c r="DJ24" s="1368">
        <f t="shared" si="208"/>
        <v>0</v>
      </c>
      <c r="DK24" s="849">
        <f t="shared" si="209"/>
        <v>0</v>
      </c>
      <c r="DL24" s="1050">
        <f t="shared" si="210"/>
        <v>0</v>
      </c>
      <c r="DM24" s="885">
        <f>[1]Субсидия_факт!R21</f>
        <v>0</v>
      </c>
      <c r="DN24" s="862">
        <f>[1]Субсидия_факт!T21</f>
        <v>0</v>
      </c>
      <c r="DO24" s="866">
        <f>[1]Субсидия_факт!V21</f>
        <v>0</v>
      </c>
      <c r="DP24" s="1050">
        <f t="shared" si="211"/>
        <v>0</v>
      </c>
      <c r="DQ24" s="866"/>
      <c r="DR24" s="866"/>
      <c r="DS24" s="866"/>
      <c r="DT24" s="897">
        <f t="shared" si="32"/>
        <v>0</v>
      </c>
      <c r="DU24" s="862">
        <f>[1]Субсидия_факт!AX21</f>
        <v>0</v>
      </c>
      <c r="DV24" s="863">
        <f>[1]Субсидия_факт!AZ21</f>
        <v>0</v>
      </c>
      <c r="DW24" s="1050">
        <f t="shared" si="33"/>
        <v>0</v>
      </c>
      <c r="DX24" s="885"/>
      <c r="DY24" s="889"/>
      <c r="DZ24" s="897">
        <f t="shared" si="34"/>
        <v>0</v>
      </c>
      <c r="EA24" s="862">
        <f>[1]Субсидия_факт!X21</f>
        <v>0</v>
      </c>
      <c r="EB24" s="863">
        <f>[1]Субсидия_факт!Z21</f>
        <v>0</v>
      </c>
      <c r="EC24" s="1050">
        <f t="shared" si="35"/>
        <v>0</v>
      </c>
      <c r="ED24" s="862"/>
      <c r="EE24" s="863"/>
      <c r="EF24" s="1013">
        <f t="shared" si="212"/>
        <v>0</v>
      </c>
      <c r="EG24" s="859">
        <f>[1]Субсидия_факт!AP21</f>
        <v>0</v>
      </c>
      <c r="EH24" s="859">
        <f>[1]Субсидия_факт!AL21</f>
        <v>0</v>
      </c>
      <c r="EI24" s="860">
        <f>[1]Субсидия_факт!AN21</f>
        <v>0</v>
      </c>
      <c r="EJ24" s="1013">
        <f t="shared" si="36"/>
        <v>0</v>
      </c>
      <c r="EK24" s="859"/>
      <c r="EL24" s="859"/>
      <c r="EM24" s="860"/>
      <c r="EN24" s="1013">
        <f t="shared" si="37"/>
        <v>0</v>
      </c>
      <c r="EO24" s="859">
        <f>[1]Субсидия_факт!HH21</f>
        <v>0</v>
      </c>
      <c r="EP24" s="858">
        <f>[1]Субсидия_факт!HJ21</f>
        <v>0</v>
      </c>
      <c r="EQ24" s="1003">
        <f t="shared" si="38"/>
        <v>0</v>
      </c>
      <c r="ER24" s="859"/>
      <c r="ES24" s="858"/>
      <c r="ET24" s="1013">
        <f t="shared" si="39"/>
        <v>0</v>
      </c>
      <c r="EU24" s="862">
        <f>[1]Субсидия_факт!PK21</f>
        <v>0</v>
      </c>
      <c r="EV24" s="863">
        <f>[1]Субсидия_факт!PQ21</f>
        <v>0</v>
      </c>
      <c r="EW24" s="1003">
        <f t="shared" si="40"/>
        <v>0</v>
      </c>
      <c r="EX24" s="859"/>
      <c r="EY24" s="860"/>
      <c r="EZ24" s="1013">
        <f t="shared" si="41"/>
        <v>0</v>
      </c>
      <c r="FA24" s="859">
        <f>[1]Субсидия_факт!PM21</f>
        <v>0</v>
      </c>
      <c r="FB24" s="858">
        <f>[1]Субсидия_факт!PS21</f>
        <v>0</v>
      </c>
      <c r="FC24" s="1003">
        <f t="shared" si="42"/>
        <v>0</v>
      </c>
      <c r="FD24" s="859"/>
      <c r="FE24" s="860"/>
      <c r="FF24" s="1369">
        <f t="shared" si="43"/>
        <v>0</v>
      </c>
      <c r="FG24" s="859">
        <f t="shared" si="44"/>
        <v>0</v>
      </c>
      <c r="FH24" s="858">
        <f t="shared" si="44"/>
        <v>0</v>
      </c>
      <c r="FI24" s="878">
        <f t="shared" si="45"/>
        <v>0</v>
      </c>
      <c r="FJ24" s="859">
        <f t="shared" si="46"/>
        <v>0</v>
      </c>
      <c r="FK24" s="858">
        <f t="shared" si="46"/>
        <v>0</v>
      </c>
      <c r="FL24" s="1369">
        <f t="shared" si="47"/>
        <v>0</v>
      </c>
      <c r="FM24" s="859">
        <f>[1]Субсидия_факт!PO21</f>
        <v>0</v>
      </c>
      <c r="FN24" s="858">
        <f>[1]Субсидия_факт!PU21</f>
        <v>0</v>
      </c>
      <c r="FO24" s="878">
        <f t="shared" si="48"/>
        <v>0</v>
      </c>
      <c r="FP24" s="859"/>
      <c r="FQ24" s="860"/>
      <c r="FR24" s="1013">
        <f t="shared" si="49"/>
        <v>0</v>
      </c>
      <c r="FS24" s="862">
        <f>[1]Субсидия_факт!EP21</f>
        <v>0</v>
      </c>
      <c r="FT24" s="863">
        <f>[1]Субсидия_факт!ER21</f>
        <v>0</v>
      </c>
      <c r="FU24" s="1371">
        <f t="shared" si="50"/>
        <v>0</v>
      </c>
      <c r="FV24" s="862"/>
      <c r="FW24" s="863"/>
      <c r="FX24" s="939">
        <f t="shared" si="51"/>
        <v>0</v>
      </c>
      <c r="FY24" s="862">
        <f>[1]Субсидия_факт!JN21</f>
        <v>0</v>
      </c>
      <c r="FZ24" s="863">
        <f>[1]Субсидия_факт!JP21</f>
        <v>0</v>
      </c>
      <c r="GA24" s="897">
        <f t="shared" si="52"/>
        <v>0</v>
      </c>
      <c r="GB24" s="862"/>
      <c r="GC24" s="863"/>
      <c r="GD24" s="1233">
        <f t="shared" si="53"/>
        <v>0</v>
      </c>
      <c r="GE24" s="859">
        <f>[1]Субсидия_факт!JR21</f>
        <v>0</v>
      </c>
      <c r="GF24" s="860">
        <f>[1]Субсидия_факт!JV21</f>
        <v>0</v>
      </c>
      <c r="GG24" s="1372">
        <f t="shared" si="54"/>
        <v>0</v>
      </c>
      <c r="GH24" s="862"/>
      <c r="GI24" s="889"/>
      <c r="GJ24" s="1373">
        <f t="shared" si="213"/>
        <v>0</v>
      </c>
      <c r="GK24" s="879">
        <f t="shared" si="214"/>
        <v>0</v>
      </c>
      <c r="GL24" s="1390">
        <f t="shared" si="215"/>
        <v>0</v>
      </c>
      <c r="GM24" s="879">
        <f t="shared" si="216"/>
        <v>0</v>
      </c>
      <c r="GN24" s="1371">
        <f t="shared" si="55"/>
        <v>0</v>
      </c>
      <c r="GO24" s="862">
        <f>[1]Субсидия_факт!KL21</f>
        <v>0</v>
      </c>
      <c r="GP24" s="863">
        <f>[1]Субсидия_факт!KN21</f>
        <v>0</v>
      </c>
      <c r="GQ24" s="862">
        <f>[1]Субсидия_факт!KP21</f>
        <v>0</v>
      </c>
      <c r="GR24" s="897">
        <f t="shared" si="56"/>
        <v>0</v>
      </c>
      <c r="GS24" s="862"/>
      <c r="GT24" s="863"/>
      <c r="GU24" s="866"/>
      <c r="GV24" s="1372">
        <f t="shared" si="217"/>
        <v>0</v>
      </c>
      <c r="GW24" s="862">
        <f>[1]Субсидия_факт!KR21</f>
        <v>0</v>
      </c>
      <c r="GX24" s="1372">
        <f t="shared" si="217"/>
        <v>0</v>
      </c>
      <c r="GY24" s="866"/>
      <c r="GZ24" s="1373">
        <f t="shared" si="218"/>
        <v>0</v>
      </c>
      <c r="HA24" s="1373">
        <f t="shared" si="219"/>
        <v>0</v>
      </c>
      <c r="HB24" s="1373">
        <f t="shared" si="220"/>
        <v>0</v>
      </c>
      <c r="HC24" s="1373">
        <f t="shared" si="221"/>
        <v>0</v>
      </c>
      <c r="HD24" s="939">
        <f t="shared" si="57"/>
        <v>0</v>
      </c>
      <c r="HE24" s="862">
        <f>[1]Субсидия_факт!KV21</f>
        <v>0</v>
      </c>
      <c r="HF24" s="863">
        <f>[1]Субсидия_факт!KX21</f>
        <v>0</v>
      </c>
      <c r="HG24" s="1050">
        <f t="shared" si="58"/>
        <v>0</v>
      </c>
      <c r="HH24" s="862"/>
      <c r="HI24" s="863"/>
      <c r="HJ24" s="939">
        <f t="shared" si="59"/>
        <v>0</v>
      </c>
      <c r="HK24" s="862"/>
      <c r="HL24" s="863"/>
      <c r="HM24" s="1050">
        <f t="shared" si="60"/>
        <v>0</v>
      </c>
      <c r="HN24" s="862"/>
      <c r="HO24" s="863"/>
      <c r="HP24" s="939">
        <f t="shared" si="61"/>
        <v>0</v>
      </c>
      <c r="HQ24" s="862">
        <f>[1]Субсидия_факт!FV21</f>
        <v>0</v>
      </c>
      <c r="HR24" s="863">
        <f>[1]Субсидия_факт!FZ21</f>
        <v>0</v>
      </c>
      <c r="HS24" s="1050">
        <f t="shared" si="62"/>
        <v>0</v>
      </c>
      <c r="HT24" s="862"/>
      <c r="HU24" s="863"/>
      <c r="HV24" s="1369">
        <f t="shared" si="63"/>
        <v>0</v>
      </c>
      <c r="HW24" s="859">
        <f t="shared" si="64"/>
        <v>0</v>
      </c>
      <c r="HX24" s="858">
        <f t="shared" si="64"/>
        <v>0</v>
      </c>
      <c r="HY24" s="878">
        <f t="shared" si="65"/>
        <v>0</v>
      </c>
      <c r="HZ24" s="859">
        <f t="shared" si="66"/>
        <v>0</v>
      </c>
      <c r="IA24" s="858">
        <f t="shared" si="66"/>
        <v>0</v>
      </c>
      <c r="IB24" s="1369">
        <f t="shared" si="67"/>
        <v>0</v>
      </c>
      <c r="IC24" s="859">
        <f>[1]Субсидия_факт!FX21</f>
        <v>0</v>
      </c>
      <c r="ID24" s="858">
        <f>[1]Субсидия_факт!GB21</f>
        <v>0</v>
      </c>
      <c r="IE24" s="878">
        <f t="shared" si="68"/>
        <v>0</v>
      </c>
      <c r="IF24" s="859">
        <f t="shared" si="187"/>
        <v>0</v>
      </c>
      <c r="IG24" s="860">
        <f t="shared" si="188"/>
        <v>0</v>
      </c>
      <c r="IH24" s="939">
        <f t="shared" si="69"/>
        <v>0</v>
      </c>
      <c r="II24" s="859">
        <f>[1]Субсидия_факт!ED21</f>
        <v>0</v>
      </c>
      <c r="IJ24" s="860">
        <f>[1]Субсидия_факт!EF21</f>
        <v>0</v>
      </c>
      <c r="IK24" s="1050">
        <f t="shared" si="70"/>
        <v>0</v>
      </c>
      <c r="IL24" s="862"/>
      <c r="IM24" s="863"/>
      <c r="IN24" s="1233">
        <f t="shared" si="71"/>
        <v>0</v>
      </c>
      <c r="IO24" s="859">
        <f>[1]Субсидия_факт!EH21</f>
        <v>0</v>
      </c>
      <c r="IP24" s="860">
        <f>[1]Субсидия_факт!EL21</f>
        <v>0</v>
      </c>
      <c r="IQ24" s="1392">
        <f t="shared" si="72"/>
        <v>0</v>
      </c>
      <c r="IR24" s="862"/>
      <c r="IS24" s="889"/>
      <c r="IT24" s="1373">
        <f t="shared" si="222"/>
        <v>0</v>
      </c>
      <c r="IU24" s="1373">
        <f t="shared" si="223"/>
        <v>0</v>
      </c>
      <c r="IV24" s="1373">
        <f t="shared" si="224"/>
        <v>0</v>
      </c>
      <c r="IW24" s="879">
        <f t="shared" si="225"/>
        <v>0</v>
      </c>
      <c r="IX24" s="1398">
        <f t="shared" si="73"/>
        <v>0</v>
      </c>
      <c r="IY24" s="859">
        <f>[1]Субсидия_факт!BX21</f>
        <v>0</v>
      </c>
      <c r="IZ24" s="860">
        <f>[1]Субсидия_факт!BZ21</f>
        <v>0</v>
      </c>
      <c r="JA24" s="1050">
        <f t="shared" si="74"/>
        <v>0</v>
      </c>
      <c r="JB24" s="862"/>
      <c r="JC24" s="863"/>
      <c r="JD24" s="939">
        <f t="shared" si="75"/>
        <v>0</v>
      </c>
      <c r="JE24" s="862">
        <f>[1]Субсидия_факт!ET21</f>
        <v>0</v>
      </c>
      <c r="JF24" s="863">
        <f>[1]Субсидия_факт!EV21</f>
        <v>0</v>
      </c>
      <c r="JG24" s="1050">
        <f t="shared" si="76"/>
        <v>0</v>
      </c>
      <c r="JH24" s="862"/>
      <c r="JI24" s="863"/>
      <c r="JJ24" s="1003">
        <f t="shared" si="77"/>
        <v>0</v>
      </c>
      <c r="JK24" s="859">
        <f>[1]Субсидия_факт!EX21</f>
        <v>0</v>
      </c>
      <c r="JL24" s="858">
        <f>[1]Субсидия_факт!FD21</f>
        <v>0</v>
      </c>
      <c r="JM24" s="1003">
        <f t="shared" si="78"/>
        <v>0</v>
      </c>
      <c r="JN24" s="859"/>
      <c r="JO24" s="860"/>
      <c r="JP24" s="1003">
        <f t="shared" si="79"/>
        <v>0</v>
      </c>
      <c r="JQ24" s="859">
        <f>[1]Субсидия_факт!EZ21</f>
        <v>0</v>
      </c>
      <c r="JR24" s="860">
        <f>[1]Субсидия_факт!FF21</f>
        <v>0</v>
      </c>
      <c r="JS24" s="1003">
        <f t="shared" si="80"/>
        <v>0</v>
      </c>
      <c r="JT24" s="850"/>
      <c r="JU24" s="864"/>
      <c r="JV24" s="1003">
        <f t="shared" si="81"/>
        <v>-143326.96</v>
      </c>
      <c r="JW24" s="851">
        <f>'Проверочная  таблица'!JQ24-'Проверочная  таблица'!KC24</f>
        <v>-37265.009999999995</v>
      </c>
      <c r="JX24" s="860">
        <f>'Проверочная  таблица'!JR24-'Проверочная  таблица'!KD24</f>
        <v>-106061.95</v>
      </c>
      <c r="JY24" s="1368">
        <f t="shared" si="82"/>
        <v>0</v>
      </c>
      <c r="JZ24" s="850">
        <f>'Проверочная  таблица'!JT24-'Проверочная  таблица'!KF24</f>
        <v>0</v>
      </c>
      <c r="KA24" s="867">
        <f>'Проверочная  таблица'!JU24-'Проверочная  таблица'!KG24</f>
        <v>0</v>
      </c>
      <c r="KB24" s="1003">
        <f t="shared" si="83"/>
        <v>143326.96</v>
      </c>
      <c r="KC24" s="859">
        <f>[1]Субсидия_факт!FB21</f>
        <v>37265.009999999995</v>
      </c>
      <c r="KD24" s="858">
        <f>[1]Субсидия_факт!FH21</f>
        <v>106061.95</v>
      </c>
      <c r="KE24" s="878">
        <f t="shared" si="84"/>
        <v>0</v>
      </c>
      <c r="KF24" s="859"/>
      <c r="KG24" s="860"/>
      <c r="KH24" s="1352">
        <f t="shared" si="226"/>
        <v>683089.63</v>
      </c>
      <c r="KI24" s="850">
        <f>[1]Субсидия_факт!OD21</f>
        <v>207070</v>
      </c>
      <c r="KJ24" s="860">
        <f>[1]Субсидия_факт!OJ21</f>
        <v>354339.63</v>
      </c>
      <c r="KK24" s="850">
        <f>[1]Субсидия_факт!OR21</f>
        <v>44236.480000000003</v>
      </c>
      <c r="KL24" s="860">
        <f>[1]Субсидия_факт!OT21</f>
        <v>77443.520000000004</v>
      </c>
      <c r="KM24" s="1352">
        <f t="shared" si="85"/>
        <v>0</v>
      </c>
      <c r="KN24" s="850"/>
      <c r="KO24" s="860"/>
      <c r="KP24" s="850"/>
      <c r="KQ24" s="860"/>
      <c r="KR24" s="1352">
        <f t="shared" si="227"/>
        <v>44630</v>
      </c>
      <c r="KS24" s="885">
        <f>[1]Субсидия_факт!OF21</f>
        <v>44630</v>
      </c>
      <c r="KT24" s="863">
        <f>[1]Субсидия_факт!OL21</f>
        <v>0</v>
      </c>
      <c r="KU24" s="885"/>
      <c r="KV24" s="863"/>
      <c r="KW24" s="1352">
        <f t="shared" si="86"/>
        <v>0</v>
      </c>
      <c r="KX24" s="850"/>
      <c r="KY24" s="860"/>
      <c r="KZ24" s="850"/>
      <c r="LA24" s="860"/>
      <c r="LB24" s="1354">
        <f t="shared" si="87"/>
        <v>-32420</v>
      </c>
      <c r="LC24" s="885">
        <f t="shared" si="88"/>
        <v>-32420</v>
      </c>
      <c r="LD24" s="863">
        <f t="shared" si="88"/>
        <v>0</v>
      </c>
      <c r="LE24" s="1354">
        <f t="shared" si="89"/>
        <v>0</v>
      </c>
      <c r="LF24" s="885">
        <f t="shared" si="90"/>
        <v>0</v>
      </c>
      <c r="LG24" s="863">
        <f t="shared" si="90"/>
        <v>0</v>
      </c>
      <c r="LH24" s="1354">
        <f t="shared" si="91"/>
        <v>77050</v>
      </c>
      <c r="LI24" s="859">
        <f>[1]Субсидия_факт!OH21</f>
        <v>77050</v>
      </c>
      <c r="LJ24" s="858">
        <f>[1]Субсидия_факт!ON21</f>
        <v>0</v>
      </c>
      <c r="LK24" s="1354">
        <f t="shared" si="92"/>
        <v>0</v>
      </c>
      <c r="LL24" s="851"/>
      <c r="LM24" s="860"/>
      <c r="LN24" s="1050">
        <f t="shared" si="228"/>
        <v>0</v>
      </c>
      <c r="LO24" s="865">
        <f>[1]Субсидия_факт!DP21</f>
        <v>0</v>
      </c>
      <c r="LP24" s="850">
        <f>[1]Субсидия_факт!CB21</f>
        <v>0</v>
      </c>
      <c r="LQ24" s="860">
        <f>[1]Субсидия_факт!CH21</f>
        <v>0</v>
      </c>
      <c r="LR24" s="1050">
        <f t="shared" si="93"/>
        <v>0</v>
      </c>
      <c r="LS24" s="865"/>
      <c r="LT24" s="850"/>
      <c r="LU24" s="860"/>
      <c r="LV24" s="1050">
        <f t="shared" si="229"/>
        <v>0</v>
      </c>
      <c r="LW24" s="865">
        <f>[1]Субсидия_факт!DR21</f>
        <v>0</v>
      </c>
      <c r="LX24" s="850">
        <f>[1]Субсидия_факт!CD21</f>
        <v>0</v>
      </c>
      <c r="LY24" s="860">
        <f>[1]Субсидия_факт!CJ21</f>
        <v>0</v>
      </c>
      <c r="LZ24" s="1050">
        <f t="shared" si="94"/>
        <v>0</v>
      </c>
      <c r="MA24" s="865"/>
      <c r="MB24" s="850"/>
      <c r="MC24" s="858"/>
      <c r="MD24" s="879">
        <f t="shared" si="95"/>
        <v>0</v>
      </c>
      <c r="ME24" s="862">
        <f>'Проверочная  таблица'!LW24-MM24</f>
        <v>0</v>
      </c>
      <c r="MF24" s="862">
        <f>'Проверочная  таблица'!LX24-MN24</f>
        <v>0</v>
      </c>
      <c r="MG24" s="863">
        <f>'Проверочная  таблица'!LY24-MO24</f>
        <v>0</v>
      </c>
      <c r="MH24" s="879">
        <f t="shared" si="96"/>
        <v>0</v>
      </c>
      <c r="MI24" s="862">
        <f>'Проверочная  таблица'!MA24-MQ24</f>
        <v>0</v>
      </c>
      <c r="MJ24" s="862">
        <f>'Проверочная  таблица'!MB24-MR24</f>
        <v>0</v>
      </c>
      <c r="MK24" s="863">
        <f>'Проверочная  таблица'!MC24-MS24</f>
        <v>0</v>
      </c>
      <c r="ML24" s="879">
        <f t="shared" si="97"/>
        <v>0</v>
      </c>
      <c r="MM24" s="850">
        <f>[1]Субсидия_факт!DT21</f>
        <v>0</v>
      </c>
      <c r="MN24" s="850">
        <f>[1]Субсидия_факт!CF21</f>
        <v>0</v>
      </c>
      <c r="MO24" s="860">
        <f>[1]Субсидия_факт!CL21</f>
        <v>0</v>
      </c>
      <c r="MP24" s="879">
        <f t="shared" si="98"/>
        <v>0</v>
      </c>
      <c r="MQ24" s="850"/>
      <c r="MR24" s="850"/>
      <c r="MS24" s="860"/>
      <c r="MT24" s="1360">
        <f t="shared" si="230"/>
        <v>143326.96</v>
      </c>
      <c r="MU24" s="850">
        <f>[1]Субсидия_факт!CN21</f>
        <v>0</v>
      </c>
      <c r="MV24" s="858">
        <f>[1]Субсидия_факт!CP21</f>
        <v>0</v>
      </c>
      <c r="MW24" s="862">
        <f>[1]Субсидия_факт!CR21</f>
        <v>0</v>
      </c>
      <c r="MX24" s="863">
        <f>[1]Субсидия_факт!CT21</f>
        <v>0</v>
      </c>
      <c r="MY24" s="851">
        <f>[1]Субсидия_факт!DV21</f>
        <v>0</v>
      </c>
      <c r="MZ24" s="859">
        <f>[1]Субсидия_факт!FJ21</f>
        <v>37265.009999999995</v>
      </c>
      <c r="NA24" s="858">
        <f>[1]Субсидия_факт!FP21</f>
        <v>106061.95</v>
      </c>
      <c r="NB24" s="1003">
        <f t="shared" si="99"/>
        <v>143326.96</v>
      </c>
      <c r="NC24" s="850"/>
      <c r="ND24" s="860"/>
      <c r="NE24" s="866"/>
      <c r="NF24" s="890"/>
      <c r="NG24" s="850"/>
      <c r="NH24" s="850">
        <f t="shared" si="250"/>
        <v>37265.009999999995</v>
      </c>
      <c r="NI24" s="860">
        <f t="shared" si="250"/>
        <v>106061.95</v>
      </c>
      <c r="NJ24" s="1003">
        <f t="shared" si="231"/>
        <v>0</v>
      </c>
      <c r="NK24" s="859">
        <f>[1]Субсидия_факт!FL21</f>
        <v>0</v>
      </c>
      <c r="NL24" s="858">
        <f>[1]Субсидия_факт!FR21</f>
        <v>0</v>
      </c>
      <c r="NM24" s="1003">
        <f t="shared" si="101"/>
        <v>0</v>
      </c>
      <c r="NN24" s="851"/>
      <c r="NO24" s="860"/>
      <c r="NP24" s="878">
        <f t="shared" si="102"/>
        <v>0</v>
      </c>
      <c r="NQ24" s="859">
        <f>'Проверочная  таблица'!NK24-NW24</f>
        <v>0</v>
      </c>
      <c r="NR24" s="860">
        <f>'Проверочная  таблица'!NL24-NX24</f>
        <v>0</v>
      </c>
      <c r="NS24" s="878">
        <f t="shared" si="103"/>
        <v>0</v>
      </c>
      <c r="NT24" s="850">
        <f>'Проверочная  таблица'!NN24-NZ24</f>
        <v>0</v>
      </c>
      <c r="NU24" s="867">
        <f>'Проверочная  таблица'!NO24-OA24</f>
        <v>0</v>
      </c>
      <c r="NV24" s="878">
        <f t="shared" si="232"/>
        <v>0</v>
      </c>
      <c r="NW24" s="859">
        <f>[1]Субсидия_факт!FN21</f>
        <v>0</v>
      </c>
      <c r="NX24" s="858">
        <f>[1]Субсидия_факт!FT21</f>
        <v>0</v>
      </c>
      <c r="NY24" s="878">
        <f t="shared" si="104"/>
        <v>0</v>
      </c>
      <c r="NZ24" s="850"/>
      <c r="OA24" s="860"/>
      <c r="OB24" s="1012">
        <f t="shared" si="233"/>
        <v>0</v>
      </c>
      <c r="OC24" s="859">
        <f>[1]Субсидия_факт!AR21</f>
        <v>0</v>
      </c>
      <c r="OD24" s="858">
        <f>[1]Субсидия_факт!AT21</f>
        <v>0</v>
      </c>
      <c r="OE24" s="859">
        <f>[1]Субсидия_факт!AV21</f>
        <v>0</v>
      </c>
      <c r="OF24" s="1050">
        <f t="shared" si="105"/>
        <v>0</v>
      </c>
      <c r="OG24" s="866"/>
      <c r="OH24" s="863"/>
      <c r="OI24" s="866"/>
      <c r="OJ24" s="1376">
        <f t="shared" si="106"/>
        <v>9785831.3900000006</v>
      </c>
      <c r="OK24" s="859">
        <f>[1]Субсидия_факт!GD21</f>
        <v>0</v>
      </c>
      <c r="OL24" s="858">
        <f>[1]Субсидия_факт!GJ21</f>
        <v>9785831.3900000006</v>
      </c>
      <c r="OM24" s="866">
        <f>[1]Субсидия_факт!GP21</f>
        <v>0</v>
      </c>
      <c r="ON24" s="1376">
        <f t="shared" si="107"/>
        <v>0</v>
      </c>
      <c r="OO24" s="851"/>
      <c r="OP24" s="860"/>
      <c r="OQ24" s="850"/>
      <c r="OR24" s="1352">
        <f t="shared" si="234"/>
        <v>9785831.3900000006</v>
      </c>
      <c r="OS24" s="859">
        <f>[1]Субсидия_факт!GF21</f>
        <v>0</v>
      </c>
      <c r="OT24" s="858">
        <f>[1]Субсидия_факт!GL21</f>
        <v>0</v>
      </c>
      <c r="OU24" s="850">
        <f>[1]Субсидия_факт!GR21</f>
        <v>9785831.3900000006</v>
      </c>
      <c r="OV24" s="1352">
        <f t="shared" si="108"/>
        <v>9785831.3900000006</v>
      </c>
      <c r="OW24" s="850"/>
      <c r="OX24" s="867"/>
      <c r="OY24" s="850">
        <v>9785831.3900000006</v>
      </c>
      <c r="OZ24" s="1354">
        <f t="shared" si="109"/>
        <v>9785831.3900000006</v>
      </c>
      <c r="PA24" s="885">
        <f>'Проверочная  таблица'!OS24-PI24</f>
        <v>0</v>
      </c>
      <c r="PB24" s="863">
        <f>'Проверочная  таблица'!OT24-PJ24</f>
        <v>0</v>
      </c>
      <c r="PC24" s="866">
        <f>'Проверочная  таблица'!OU24-PK24</f>
        <v>9785831.3900000006</v>
      </c>
      <c r="PD24" s="1354">
        <f t="shared" si="235"/>
        <v>9785831.3900000006</v>
      </c>
      <c r="PE24" s="851">
        <f>'Проверочная  таблица'!OW24-PM24</f>
        <v>0</v>
      </c>
      <c r="PF24" s="860">
        <f>'Проверочная  таблица'!OX24-PN24</f>
        <v>0</v>
      </c>
      <c r="PG24" s="850">
        <f>'Проверочная  таблица'!OY24-PO24</f>
        <v>9785831.3900000006</v>
      </c>
      <c r="PH24" s="1354">
        <f t="shared" si="110"/>
        <v>0</v>
      </c>
      <c r="PI24" s="859">
        <f>[1]Субсидия_факт!GH21</f>
        <v>0</v>
      </c>
      <c r="PJ24" s="858">
        <f>[1]Субсидия_факт!GN21</f>
        <v>0</v>
      </c>
      <c r="PK24" s="859">
        <f>[1]Субсидия_факт!GT21</f>
        <v>0</v>
      </c>
      <c r="PL24" s="1354">
        <f t="shared" si="111"/>
        <v>0</v>
      </c>
      <c r="PM24" s="851">
        <f t="shared" si="191"/>
        <v>0</v>
      </c>
      <c r="PN24" s="860">
        <f t="shared" si="192"/>
        <v>0</v>
      </c>
      <c r="PO24" s="859"/>
      <c r="PP24" s="1003">
        <f t="shared" si="193"/>
        <v>0</v>
      </c>
      <c r="PQ24" s="862">
        <f>[1]Субсидия_факт!JB21</f>
        <v>0</v>
      </c>
      <c r="PR24" s="863">
        <f>[1]Субсидия_факт!JH21</f>
        <v>0</v>
      </c>
      <c r="PS24" s="862"/>
      <c r="PT24" s="863"/>
      <c r="PU24" s="1003">
        <f t="shared" si="194"/>
        <v>0</v>
      </c>
      <c r="PV24" s="866"/>
      <c r="PW24" s="890"/>
      <c r="PX24" s="866"/>
      <c r="PY24" s="890"/>
      <c r="PZ24" s="1050">
        <f t="shared" si="112"/>
        <v>0</v>
      </c>
      <c r="QA24" s="862">
        <f>[1]Субсидия_факт!JD21</f>
        <v>0</v>
      </c>
      <c r="QB24" s="863">
        <f>[1]Субсидия_факт!JJ21</f>
        <v>0</v>
      </c>
      <c r="QC24" s="1391">
        <f t="shared" si="113"/>
        <v>0</v>
      </c>
      <c r="QD24" s="866"/>
      <c r="QE24" s="890"/>
      <c r="QF24" s="879">
        <f t="shared" si="236"/>
        <v>0</v>
      </c>
      <c r="QG24" s="866">
        <f t="shared" si="114"/>
        <v>0</v>
      </c>
      <c r="QH24" s="863">
        <f t="shared" si="114"/>
        <v>0</v>
      </c>
      <c r="QI24" s="1373">
        <f t="shared" si="115"/>
        <v>0</v>
      </c>
      <c r="QJ24" s="862">
        <f t="shared" si="116"/>
        <v>0</v>
      </c>
      <c r="QK24" s="863">
        <f t="shared" si="116"/>
        <v>0</v>
      </c>
      <c r="QL24" s="1373">
        <f t="shared" si="117"/>
        <v>0</v>
      </c>
      <c r="QM24" s="862">
        <f>[1]Субсидия_факт!JF21</f>
        <v>0</v>
      </c>
      <c r="QN24" s="863">
        <f>[1]Субсидия_факт!JL21</f>
        <v>0</v>
      </c>
      <c r="QO24" s="1016">
        <f t="shared" si="237"/>
        <v>0</v>
      </c>
      <c r="QP24" s="866"/>
      <c r="QQ24" s="890"/>
      <c r="QR24" s="939">
        <f t="shared" si="118"/>
        <v>0</v>
      </c>
      <c r="QS24" s="862">
        <f>[1]Субсидия_факт!CV21</f>
        <v>0</v>
      </c>
      <c r="QT24" s="863">
        <f>[1]Субсидия_факт!CX21</f>
        <v>0</v>
      </c>
      <c r="QU24" s="1050">
        <f t="shared" si="119"/>
        <v>0</v>
      </c>
      <c r="QV24" s="862"/>
      <c r="QW24" s="863"/>
      <c r="QX24" s="897">
        <f t="shared" si="120"/>
        <v>0</v>
      </c>
      <c r="QY24" s="862">
        <f>[1]Субсидия_факт!CZ21</f>
        <v>0</v>
      </c>
      <c r="QZ24" s="863">
        <f>[1]Субсидия_факт!DF21</f>
        <v>0</v>
      </c>
      <c r="RA24" s="1050">
        <f t="shared" si="121"/>
        <v>0</v>
      </c>
      <c r="RB24" s="862"/>
      <c r="RC24" s="863"/>
      <c r="RD24" s="939">
        <f t="shared" si="122"/>
        <v>0</v>
      </c>
      <c r="RE24" s="862">
        <f>[1]Субсидия_факт!DB21</f>
        <v>0</v>
      </c>
      <c r="RF24" s="863">
        <f>[1]Субсидия_факт!DH21</f>
        <v>0</v>
      </c>
      <c r="RG24" s="1050">
        <f t="shared" si="123"/>
        <v>0</v>
      </c>
      <c r="RH24" s="862"/>
      <c r="RI24" s="863"/>
      <c r="RJ24" s="1373">
        <f t="shared" si="124"/>
        <v>0</v>
      </c>
      <c r="RK24" s="862">
        <f t="shared" si="125"/>
        <v>0</v>
      </c>
      <c r="RL24" s="863">
        <f t="shared" si="125"/>
        <v>0</v>
      </c>
      <c r="RM24" s="879">
        <f t="shared" si="126"/>
        <v>0</v>
      </c>
      <c r="RN24" s="862">
        <f t="shared" si="127"/>
        <v>0</v>
      </c>
      <c r="RO24" s="863">
        <f t="shared" si="127"/>
        <v>0</v>
      </c>
      <c r="RP24" s="939">
        <f t="shared" si="128"/>
        <v>0</v>
      </c>
      <c r="RQ24" s="862">
        <f>[1]Субсидия_факт!DD21</f>
        <v>0</v>
      </c>
      <c r="RR24" s="863">
        <f>[1]Субсидия_факт!DJ21</f>
        <v>0</v>
      </c>
      <c r="RS24" s="879">
        <f t="shared" si="129"/>
        <v>0</v>
      </c>
      <c r="RT24" s="862"/>
      <c r="RU24" s="863"/>
      <c r="RV24" s="897">
        <f t="shared" si="130"/>
        <v>0</v>
      </c>
      <c r="RW24" s="862">
        <f>[1]Субсидия_факт!DL21</f>
        <v>0</v>
      </c>
      <c r="RX24" s="863">
        <f>[1]Субсидия_факт!DN21</f>
        <v>0</v>
      </c>
      <c r="RY24" s="1391">
        <f t="shared" si="131"/>
        <v>0</v>
      </c>
      <c r="RZ24" s="885"/>
      <c r="SA24" s="889"/>
      <c r="SB24" s="1050">
        <f t="shared" si="238"/>
        <v>0</v>
      </c>
      <c r="SC24" s="859">
        <f>[1]Субсидия_факт!BJ21</f>
        <v>0</v>
      </c>
      <c r="SD24" s="862">
        <f>[1]Субсидия_факт!BF21</f>
        <v>0</v>
      </c>
      <c r="SE24" s="889">
        <f>[1]Субсидия_факт!BH21</f>
        <v>0</v>
      </c>
      <c r="SF24" s="1050">
        <f t="shared" si="132"/>
        <v>0</v>
      </c>
      <c r="SG24" s="891"/>
      <c r="SH24" s="885"/>
      <c r="SI24" s="889"/>
      <c r="SJ24" s="897">
        <f t="shared" si="133"/>
        <v>0</v>
      </c>
      <c r="SK24" s="862">
        <f>[1]Субсидия_факт!AD21</f>
        <v>0</v>
      </c>
      <c r="SL24" s="863">
        <f>[1]Субсидия_факт!AF21</f>
        <v>0</v>
      </c>
      <c r="SM24" s="1050">
        <f t="shared" si="134"/>
        <v>0</v>
      </c>
      <c r="SN24" s="885"/>
      <c r="SO24" s="889"/>
      <c r="SP24" s="897">
        <f t="shared" si="239"/>
        <v>0</v>
      </c>
      <c r="SQ24" s="862">
        <f>[1]Субсидия_факт!ID21</f>
        <v>0</v>
      </c>
      <c r="SR24" s="863">
        <f>[1]Субсидия_факт!IJ21</f>
        <v>0</v>
      </c>
      <c r="SS24" s="885">
        <f>[1]Субсидия_факт!IP21</f>
        <v>0</v>
      </c>
      <c r="ST24" s="863">
        <f>[1]Субсидия_факт!IV21</f>
        <v>0</v>
      </c>
      <c r="SU24" s="1123">
        <f>[1]Субсидия_факт!JZ21</f>
        <v>0</v>
      </c>
      <c r="SV24" s="889">
        <f>[1]Субсидия_факт!KF21</f>
        <v>0</v>
      </c>
      <c r="SW24" s="1050">
        <f t="shared" si="135"/>
        <v>0</v>
      </c>
      <c r="SX24" s="1244"/>
      <c r="SY24" s="890"/>
      <c r="SZ24" s="1244"/>
      <c r="TA24" s="890"/>
      <c r="TB24" s="1123"/>
      <c r="TC24" s="889"/>
      <c r="TD24" s="939">
        <f t="shared" si="136"/>
        <v>0</v>
      </c>
      <c r="TE24" s="862">
        <f>[1]Субсидия_факт!IF21</f>
        <v>0</v>
      </c>
      <c r="TF24" s="863">
        <f>[1]Субсидия_факт!IL21</f>
        <v>0</v>
      </c>
      <c r="TG24" s="885">
        <f>[1]Субсидия_факт!IR21</f>
        <v>0</v>
      </c>
      <c r="TH24" s="863">
        <f>[1]Субсидия_факт!IX21</f>
        <v>0</v>
      </c>
      <c r="TI24" s="885">
        <f>[1]Субсидия_факт!KB21</f>
        <v>0</v>
      </c>
      <c r="TJ24" s="863">
        <f>[1]Субсидия_факт!KH21</f>
        <v>0</v>
      </c>
      <c r="TK24" s="1050">
        <f t="shared" si="137"/>
        <v>0</v>
      </c>
      <c r="TL24" s="866"/>
      <c r="TM24" s="890"/>
      <c r="TN24" s="1123"/>
      <c r="TO24" s="890"/>
      <c r="TP24" s="866"/>
      <c r="TQ24" s="890"/>
      <c r="TR24" s="1016">
        <f t="shared" si="138"/>
        <v>0</v>
      </c>
      <c r="TS24" s="862">
        <f t="shared" si="139"/>
        <v>0</v>
      </c>
      <c r="TT24" s="863">
        <f t="shared" si="139"/>
        <v>0</v>
      </c>
      <c r="TU24" s="862">
        <f t="shared" si="139"/>
        <v>0</v>
      </c>
      <c r="TV24" s="863">
        <f t="shared" si="139"/>
        <v>0</v>
      </c>
      <c r="TW24" s="885">
        <f t="shared" si="139"/>
        <v>0</v>
      </c>
      <c r="TX24" s="863">
        <f t="shared" si="139"/>
        <v>0</v>
      </c>
      <c r="TY24" s="879">
        <f t="shared" si="140"/>
        <v>0</v>
      </c>
      <c r="TZ24" s="862">
        <f t="shared" si="141"/>
        <v>0</v>
      </c>
      <c r="UA24" s="863">
        <f t="shared" si="141"/>
        <v>0</v>
      </c>
      <c r="UB24" s="862">
        <f t="shared" si="141"/>
        <v>0</v>
      </c>
      <c r="UC24" s="863">
        <f t="shared" si="141"/>
        <v>0</v>
      </c>
      <c r="UD24" s="885">
        <f t="shared" si="141"/>
        <v>0</v>
      </c>
      <c r="UE24" s="863">
        <f t="shared" si="141"/>
        <v>0</v>
      </c>
      <c r="UF24" s="1029">
        <f t="shared" si="142"/>
        <v>0</v>
      </c>
      <c r="UG24" s="862">
        <f>[1]Субсидия_факт!IH21</f>
        <v>0</v>
      </c>
      <c r="UH24" s="863">
        <f>[1]Субсидия_факт!IN21</f>
        <v>0</v>
      </c>
      <c r="UI24" s="885">
        <f>[1]Субсидия_факт!IT21</f>
        <v>0</v>
      </c>
      <c r="UJ24" s="863">
        <f>[1]Субсидия_факт!IZ21</f>
        <v>0</v>
      </c>
      <c r="UK24" s="885">
        <f>[1]Субсидия_факт!KD21</f>
        <v>0</v>
      </c>
      <c r="UL24" s="863">
        <f>[1]Субсидия_факт!KJ21</f>
        <v>0</v>
      </c>
      <c r="UM24" s="879">
        <f t="shared" si="143"/>
        <v>0</v>
      </c>
      <c r="UN24" s="1123"/>
      <c r="UO24" s="890"/>
      <c r="UP24" s="1123"/>
      <c r="UQ24" s="890"/>
      <c r="UR24" s="1123"/>
      <c r="US24" s="890"/>
      <c r="UT24" s="1050">
        <f>'Прочая  субсидия_МР  и  ГО'!B20</f>
        <v>45998286.200000003</v>
      </c>
      <c r="UU24" s="1050">
        <f>'Прочая  субсидия_МР  и  ГО'!C20</f>
        <v>27720732.359999999</v>
      </c>
      <c r="UV24" s="1371">
        <f>'Прочая  субсидия_БП'!B20</f>
        <v>411235.6700000001</v>
      </c>
      <c r="UW24" s="897">
        <f>'Прочая  субсидия_БП'!C20</f>
        <v>323572.83</v>
      </c>
      <c r="UX24" s="1395">
        <f>'Прочая  субсидия_БП'!D20</f>
        <v>411235.6700000001</v>
      </c>
      <c r="UY24" s="1386">
        <f>'Прочая  субсидия_БП'!E20</f>
        <v>323572.83</v>
      </c>
      <c r="UZ24" s="1387">
        <f>'Прочая  субсидия_БП'!F20</f>
        <v>0</v>
      </c>
      <c r="VA24" s="1395">
        <f>'Прочая  субсидия_БП'!G20</f>
        <v>0</v>
      </c>
      <c r="VB24" s="897">
        <f t="shared" si="144"/>
        <v>343219110.14999998</v>
      </c>
      <c r="VC24" s="866">
        <f>'Проверочная  таблица'!WE24+'Проверочная  таблица'!VH24+'Проверочная  таблица'!VJ24+VY24</f>
        <v>336025483.19</v>
      </c>
      <c r="VD24" s="891">
        <f>'Проверочная  таблица'!WF24+'Проверочная  таблица'!VN24+'Проверочная  таблица'!VT24+'Проверочная  таблица'!VP24+'Проверочная  таблица'!VR24+VV24+VZ24+VL24</f>
        <v>7193626.96</v>
      </c>
      <c r="VE24" s="1050">
        <f t="shared" si="145"/>
        <v>270594826.08999997</v>
      </c>
      <c r="VF24" s="866">
        <f>'Проверочная  таблица'!WH24+'Проверочная  таблица'!VI24+'Проверочная  таблица'!VK24+WB24</f>
        <v>265725515.19999999</v>
      </c>
      <c r="VG24" s="891">
        <f>'Проверочная  таблица'!WI24+'Проверочная  таблица'!VO24+'Проверочная  таблица'!VU24+'Проверочная  таблица'!VQ24+'Проверочная  таблица'!VS24+VW24+WC24+VM24</f>
        <v>4869310.8900000006</v>
      </c>
      <c r="VH24" s="1391">
        <f>'Субвенция  на  полномочия'!B20</f>
        <v>322223695.55000001</v>
      </c>
      <c r="VI24" s="1371">
        <f>'Субвенция  на  полномочия'!C20</f>
        <v>256604456.31999999</v>
      </c>
      <c r="VJ24" s="886">
        <f>[1]Субвенция_факт!M20*1000</f>
        <v>10473680</v>
      </c>
      <c r="VK24" s="892">
        <v>6800000</v>
      </c>
      <c r="VL24" s="886">
        <f>[1]Субвенция_факт!AE20*1000</f>
        <v>0</v>
      </c>
      <c r="VM24" s="892"/>
      <c r="VN24" s="886">
        <f>[1]Субвенция_факт!AF20*1000</f>
        <v>1594500</v>
      </c>
      <c r="VO24" s="892">
        <f>ВУС!E123</f>
        <v>961065.50000000012</v>
      </c>
      <c r="VP24" s="1396">
        <f>[1]Субвенция_факт!AG20*1000</f>
        <v>0</v>
      </c>
      <c r="VQ24" s="893"/>
      <c r="VR24" s="888">
        <f>[1]Субвенция_факт!E20*1000</f>
        <v>0</v>
      </c>
      <c r="VS24" s="893"/>
      <c r="VT24" s="888">
        <f>[1]Субвенция_факт!F20*1000</f>
        <v>0</v>
      </c>
      <c r="VU24" s="893"/>
      <c r="VV24" s="887">
        <f>[1]Субвенция_факт!G20*1000</f>
        <v>0</v>
      </c>
      <c r="VW24" s="892"/>
      <c r="VX24" s="897">
        <f t="shared" si="146"/>
        <v>6512333.7300000004</v>
      </c>
      <c r="VY24" s="862">
        <f>[1]Субвенция_факт!P20*1000</f>
        <v>1693206.7700000005</v>
      </c>
      <c r="VZ24" s="863">
        <f>[1]Субвенция_факт!Q20*1000</f>
        <v>4819126.96</v>
      </c>
      <c r="WA24" s="1050">
        <f t="shared" si="147"/>
        <v>4473303.4000000004</v>
      </c>
      <c r="WB24" s="866">
        <v>1163058.8799999999</v>
      </c>
      <c r="WC24" s="894">
        <v>3310244.52</v>
      </c>
      <c r="WD24" s="1050">
        <f t="shared" si="148"/>
        <v>2414900.87</v>
      </c>
      <c r="WE24" s="895">
        <f>[1]Субвенция_факт!X20*1000</f>
        <v>1634900.8699999999</v>
      </c>
      <c r="WF24" s="896">
        <f>[1]Субвенция_факт!W20*1000</f>
        <v>780000</v>
      </c>
      <c r="WG24" s="1050">
        <f t="shared" si="149"/>
        <v>1756000.87</v>
      </c>
      <c r="WH24" s="866">
        <v>1158000</v>
      </c>
      <c r="WI24" s="894">
        <v>598000.87</v>
      </c>
      <c r="WJ24" s="897">
        <f t="shared" si="201"/>
        <v>70445579.020000011</v>
      </c>
      <c r="WK24" s="1050">
        <f t="shared" si="202"/>
        <v>31060170.5</v>
      </c>
      <c r="WL24" s="1391">
        <f t="shared" si="240"/>
        <v>0</v>
      </c>
      <c r="WM24" s="895"/>
      <c r="WN24" s="896">
        <f>'[1]Иные межбюджетные трансферты'!I22</f>
        <v>0</v>
      </c>
      <c r="WO24" s="1391">
        <f t="shared" si="241"/>
        <v>0</v>
      </c>
      <c r="WP24" s="895"/>
      <c r="WQ24" s="896"/>
      <c r="WR24" s="1391">
        <f t="shared" si="152"/>
        <v>1700000</v>
      </c>
      <c r="WS24" s="895">
        <f>'[1]Иные межбюджетные трансферты'!AQ21</f>
        <v>0</v>
      </c>
      <c r="WT24" s="896">
        <f>'[1]Иные межбюджетные трансферты'!AS21</f>
        <v>1700000</v>
      </c>
      <c r="WU24" s="1391">
        <f t="shared" si="153"/>
        <v>0</v>
      </c>
      <c r="WV24" s="895"/>
      <c r="WW24" s="896"/>
      <c r="WX24" s="1050">
        <f t="shared" si="154"/>
        <v>1348095.69</v>
      </c>
      <c r="WY24" s="895">
        <f>'[1]Иные межбюджетные трансферты'!AM21</f>
        <v>67404.78</v>
      </c>
      <c r="WZ24" s="896">
        <f>'[1]Иные межбюджетные трансферты'!AO21</f>
        <v>1280690.9099999999</v>
      </c>
      <c r="XA24" s="1050">
        <f t="shared" si="155"/>
        <v>1011071.78</v>
      </c>
      <c r="XB24" s="895">
        <v>50553.61</v>
      </c>
      <c r="XC24" s="896">
        <v>960518.17</v>
      </c>
      <c r="XD24" s="1050">
        <f t="shared" si="156"/>
        <v>23388288</v>
      </c>
      <c r="XE24" s="895">
        <f>'[1]Иные межбюджетные трансферты'!K21</f>
        <v>10685094</v>
      </c>
      <c r="XF24" s="896">
        <f>'[1]Иные межбюджетные трансферты'!M21</f>
        <v>12703194</v>
      </c>
      <c r="XG24" s="1050">
        <f t="shared" si="242"/>
        <v>12703194</v>
      </c>
      <c r="XH24" s="882"/>
      <c r="XI24" s="896">
        <v>12703194</v>
      </c>
      <c r="XJ24" s="1050">
        <f t="shared" si="158"/>
        <v>0</v>
      </c>
      <c r="XK24" s="885"/>
      <c r="XL24" s="1050">
        <f t="shared" si="159"/>
        <v>0</v>
      </c>
      <c r="XM24" s="885"/>
      <c r="XN24" s="897">
        <f t="shared" si="160"/>
        <v>0</v>
      </c>
      <c r="XO24" s="862">
        <f>'[1]Иные межбюджетные трансферты'!O21</f>
        <v>0</v>
      </c>
      <c r="XP24" s="1050">
        <f t="shared" si="161"/>
        <v>0</v>
      </c>
      <c r="XQ24" s="866"/>
      <c r="XR24" s="1390">
        <f t="shared" si="162"/>
        <v>0</v>
      </c>
      <c r="XS24" s="879">
        <f t="shared" si="163"/>
        <v>0</v>
      </c>
      <c r="XT24" s="1390">
        <f t="shared" si="164"/>
        <v>0</v>
      </c>
      <c r="XU24" s="879">
        <f t="shared" si="165"/>
        <v>0</v>
      </c>
      <c r="XV24" s="1050">
        <f t="shared" si="243"/>
        <v>38255114.18</v>
      </c>
      <c r="XW24" s="883">
        <f>'[1]Иные межбюджетные трансферты'!E21</f>
        <v>0</v>
      </c>
      <c r="XX24" s="895">
        <f>'[1]Иные межбюджетные трансферты'!G21</f>
        <v>11051802</v>
      </c>
      <c r="XY24" s="882">
        <f>'[1]Иные межбюджетные трансферты'!S21</f>
        <v>0</v>
      </c>
      <c r="XZ24" s="883">
        <f>'[1]Иные межбюджетные трансферты'!Y21</f>
        <v>6136480</v>
      </c>
      <c r="YA24" s="882">
        <f>'[1]Иные межбюджетные трансферты'!AA21</f>
        <v>6136480</v>
      </c>
      <c r="YB24" s="1275">
        <f>'[1]Иные межбюджетные трансферты'!AG21</f>
        <v>4498644</v>
      </c>
      <c r="YC24" s="882">
        <f>'[1]Иные межбюджетные трансферты'!AU21</f>
        <v>0</v>
      </c>
      <c r="YD24" s="862">
        <f>'[1]Иные межбюджетные трансферты'!BA21</f>
        <v>2135209.46</v>
      </c>
      <c r="YE24" s="882">
        <f>'[1]Иные межбюджетные трансферты'!BC21</f>
        <v>2773750.37</v>
      </c>
      <c r="YF24" s="1275">
        <f>'[1]Иные межбюджетные трансферты'!BE21</f>
        <v>5522748.3499999996</v>
      </c>
      <c r="YG24" s="1050">
        <f t="shared" si="244"/>
        <v>11659228.35</v>
      </c>
      <c r="YH24" s="882"/>
      <c r="YI24" s="882"/>
      <c r="YJ24" s="851"/>
      <c r="YK24" s="882"/>
      <c r="YL24" s="848">
        <f t="shared" si="245"/>
        <v>6136480</v>
      </c>
      <c r="YM24" s="848"/>
      <c r="YN24" s="848"/>
      <c r="YO24" s="848"/>
      <c r="YP24" s="848"/>
      <c r="YQ24" s="848">
        <v>5522748.3499999996</v>
      </c>
      <c r="YR24" s="1050">
        <f t="shared" si="166"/>
        <v>5754081.1500000004</v>
      </c>
      <c r="YS24" s="895">
        <f>'[1]Иные межбюджетные трансферты'!U21</f>
        <v>1212926</v>
      </c>
      <c r="YT24" s="882">
        <f>'[1]Иные межбюджетные трансферты'!AC21</f>
        <v>0</v>
      </c>
      <c r="YU24" s="1275">
        <f>'[1]Иные межбюджетные трансферты'!AI21</f>
        <v>67404.78</v>
      </c>
      <c r="YV24" s="883">
        <f>'[1]Иные межбюджетные трансферты'!AW21</f>
        <v>1700000</v>
      </c>
      <c r="YW24" s="848">
        <f>'[1]Иные межбюджетные трансферты'!BG21</f>
        <v>2773750.37</v>
      </c>
      <c r="YX24" s="1050">
        <f t="shared" si="167"/>
        <v>5686676.3700000001</v>
      </c>
      <c r="YY24" s="865">
        <v>1212926</v>
      </c>
      <c r="YZ24" s="865">
        <f t="shared" si="247"/>
        <v>0</v>
      </c>
      <c r="ZA24" s="865"/>
      <c r="ZB24" s="848">
        <v>1700000</v>
      </c>
      <c r="ZC24" s="848">
        <v>2773750.37</v>
      </c>
      <c r="ZD24" s="879">
        <f t="shared" si="168"/>
        <v>5754081.1500000004</v>
      </c>
      <c r="ZE24" s="859">
        <f>'Проверочная  таблица'!YS24-ZQ24</f>
        <v>1212926</v>
      </c>
      <c r="ZF24" s="859">
        <f>'Проверочная  таблица'!YT24-ZR24</f>
        <v>0</v>
      </c>
      <c r="ZG24" s="859">
        <f>'Проверочная  таблица'!YU24-ZS24</f>
        <v>67404.78</v>
      </c>
      <c r="ZH24" s="859">
        <f>'Проверочная  таблица'!YV24-ZT24</f>
        <v>1700000</v>
      </c>
      <c r="ZI24" s="859">
        <f>'Проверочная  таблица'!YW24-ZU24</f>
        <v>2773750.37</v>
      </c>
      <c r="ZJ24" s="879">
        <f t="shared" si="169"/>
        <v>5686676.3700000001</v>
      </c>
      <c r="ZK24" s="859">
        <f>'Проверочная  таблица'!YY24-ZW24</f>
        <v>1212926</v>
      </c>
      <c r="ZL24" s="859">
        <f>'Проверочная  таблица'!YZ24-ZX24</f>
        <v>0</v>
      </c>
      <c r="ZM24" s="859">
        <f>'Проверочная  таблица'!ZA24-ZY24</f>
        <v>0</v>
      </c>
      <c r="ZN24" s="859">
        <f>'Проверочная  таблица'!ZB24-ZZ24</f>
        <v>1700000</v>
      </c>
      <c r="ZO24" s="859">
        <f>'Проверочная  таблица'!ZC24-AAA24</f>
        <v>2773750.37</v>
      </c>
      <c r="ZP24" s="879">
        <f t="shared" si="170"/>
        <v>0</v>
      </c>
      <c r="ZQ24" s="895">
        <f>'[1]Иные межбюджетные трансферты'!W21</f>
        <v>0</v>
      </c>
      <c r="ZR24" s="895">
        <f>'[1]Иные межбюджетные трансферты'!AE21</f>
        <v>0</v>
      </c>
      <c r="ZS24" s="882"/>
      <c r="ZT24" s="883">
        <f>'[1]Иные межбюджетные трансферты'!AY21</f>
        <v>0</v>
      </c>
      <c r="ZU24" s="848"/>
      <c r="ZV24" s="879">
        <f t="shared" si="171"/>
        <v>0</v>
      </c>
      <c r="ZW24" s="865"/>
      <c r="ZX24" s="865">
        <f t="shared" si="248"/>
        <v>0</v>
      </c>
      <c r="ZY24" s="865"/>
      <c r="ZZ24" s="848"/>
      <c r="AAA24" s="848"/>
      <c r="AAB24" s="1050">
        <f>AAD24+'Проверочная  таблица'!AAL24+AAH24+'Проверочная  таблица'!AAP24+AAJ24+'Проверочная  таблица'!AAR24</f>
        <v>0</v>
      </c>
      <c r="AAC24" s="1050">
        <f>AAE24+'Проверочная  таблица'!AAM24+AAI24+'Проверочная  таблица'!AAQ24+AAK24+'Проверочная  таблица'!AAS24</f>
        <v>0</v>
      </c>
      <c r="AAD24" s="897"/>
      <c r="AAE24" s="897"/>
      <c r="AAF24" s="897"/>
      <c r="AAG24" s="897"/>
      <c r="AAH24" s="1373">
        <f t="shared" si="172"/>
        <v>0</v>
      </c>
      <c r="AAI24" s="879">
        <f t="shared" si="172"/>
        <v>0</v>
      </c>
      <c r="AAJ24" s="898"/>
      <c r="AAK24" s="879"/>
      <c r="AAL24" s="897"/>
      <c r="AAM24" s="897"/>
      <c r="AAN24" s="897"/>
      <c r="AAO24" s="897"/>
      <c r="AAP24" s="1373">
        <f t="shared" si="173"/>
        <v>0</v>
      </c>
      <c r="AAQ24" s="879">
        <f t="shared" si="173"/>
        <v>0</v>
      </c>
      <c r="AAR24" s="879"/>
      <c r="AAS24" s="879"/>
      <c r="AAT24" s="1384">
        <f>'Проверочная  таблица'!AAL24+'Проверочная  таблица'!AAN24</f>
        <v>0</v>
      </c>
      <c r="AAU24" s="1384">
        <f>'Проверочная  таблица'!AAM24+'Проверочная  таблица'!AAO24</f>
        <v>0</v>
      </c>
    </row>
    <row r="25" spans="1:723" ht="20.45" customHeight="1" x14ac:dyDescent="0.25">
      <c r="A25" s="1049" t="s">
        <v>1294</v>
      </c>
      <c r="B25" s="897">
        <f>D25+AN25+'Проверочная  таблица'!VB25+'Проверочная  таблица'!WJ25</f>
        <v>2142474190.4899998</v>
      </c>
      <c r="C25" s="1050">
        <f>E25+'Проверочная  таблица'!VE25+AO25+'Проверочная  таблица'!WK25</f>
        <v>1354729602.4699998</v>
      </c>
      <c r="D25" s="1371">
        <f t="shared" si="0"/>
        <v>133814905.73</v>
      </c>
      <c r="E25" s="897">
        <f t="shared" si="1"/>
        <v>104918158</v>
      </c>
      <c r="F25" s="1376">
        <f>'[1]Дотация  из  ОБ_факт'!M20</f>
        <v>64470007</v>
      </c>
      <c r="G25" s="1385">
        <v>48352500</v>
      </c>
      <c r="H25" s="1376">
        <f>'[1]Дотация  из  ОБ_факт'!G20</f>
        <v>15140742.73</v>
      </c>
      <c r="I25" s="1385">
        <v>11355552</v>
      </c>
      <c r="J25" s="1386">
        <f t="shared" si="2"/>
        <v>15140742.73</v>
      </c>
      <c r="K25" s="1387">
        <f t="shared" si="2"/>
        <v>11355552</v>
      </c>
      <c r="L25" s="1386">
        <f>'[1]Дотация  из  ОБ_факт'!K20</f>
        <v>0</v>
      </c>
      <c r="M25" s="881"/>
      <c r="N25" s="1376">
        <f>'[1]Дотация  из  ОБ_факт'!Q20</f>
        <v>524000</v>
      </c>
      <c r="O25" s="1385">
        <v>524000</v>
      </c>
      <c r="P25" s="1376">
        <f>'[1]Дотация  из  ОБ_факт'!S20</f>
        <v>51569281</v>
      </c>
      <c r="Q25" s="1405">
        <v>42575231</v>
      </c>
      <c r="R25" s="1386">
        <f t="shared" si="3"/>
        <v>51569281</v>
      </c>
      <c r="S25" s="1387">
        <f t="shared" si="3"/>
        <v>42575231</v>
      </c>
      <c r="T25" s="1386">
        <f>'[1]Дотация  из  ОБ_факт'!W20</f>
        <v>0</v>
      </c>
      <c r="U25" s="881"/>
      <c r="V25" s="886">
        <f t="shared" si="4"/>
        <v>600000</v>
      </c>
      <c r="W25" s="1388">
        <f>'[1]Дотация  из  ОБ_факт'!AA20</f>
        <v>0</v>
      </c>
      <c r="X25" s="1389">
        <f>'[1]Дотация  из  ОБ_факт'!AC20</f>
        <v>600000</v>
      </c>
      <c r="Y25" s="1389">
        <f>'[1]Дотация  из  ОБ_факт'!AG20</f>
        <v>0</v>
      </c>
      <c r="Z25" s="887">
        <f t="shared" si="5"/>
        <v>600000</v>
      </c>
      <c r="AA25" s="848">
        <f t="shared" si="177"/>
        <v>0</v>
      </c>
      <c r="AB25" s="848">
        <f t="shared" si="177"/>
        <v>600000</v>
      </c>
      <c r="AC25" s="882"/>
      <c r="AD25" s="886">
        <f t="shared" si="6"/>
        <v>1510875</v>
      </c>
      <c r="AE25" s="1388">
        <f>'[1]Дотация  из  ОБ_факт'!Y20</f>
        <v>1510875</v>
      </c>
      <c r="AF25" s="1389">
        <f>'[1]Дотация  из  ОБ_факт'!AE20</f>
        <v>0</v>
      </c>
      <c r="AG25" s="886">
        <f t="shared" si="7"/>
        <v>1510875</v>
      </c>
      <c r="AH25" s="1359">
        <f t="shared" si="178"/>
        <v>1510875</v>
      </c>
      <c r="AI25" s="848">
        <f t="shared" si="179"/>
        <v>0</v>
      </c>
      <c r="AJ25" s="1386">
        <f t="shared" si="8"/>
        <v>1510875</v>
      </c>
      <c r="AK25" s="1387">
        <f t="shared" si="9"/>
        <v>1510875</v>
      </c>
      <c r="AL25" s="1386">
        <f>'[1]Дотация  из  ОБ_факт'!AE20</f>
        <v>0</v>
      </c>
      <c r="AM25" s="884"/>
      <c r="AN25" s="1012">
        <f>'Проверочная  таблица'!UT25+'Проверочная  таблица'!UV25+BL25+BN25+BZ25+CB25+AZ25+BD25+'Проверочная  таблица'!MT25+'Проверочная  таблица'!NJ25+'Проверочная  таблица'!DT25+'Проверочная  таблица'!OB25+DL25+'Проверочная  таблица'!JJ25+'Проверочная  таблица'!JP25+'Проверочная  таблица'!OJ25+'Проверочная  таблица'!OR25+JD25+AP25+AV25+ET25+EZ25+CN25+SP25+DZ25+TD25+PZ25+EF25+EN25+LN25+LV25+SJ25+GN25+RV25+QX25+KH25+KR25+RD25+SB25+CH25+QR25+HD25+FX25+HJ25+HP25+FR25+DB25+PP25+BT25+IH25+IX25+GV25+GD25+IN25</f>
        <v>940043444.13999999</v>
      </c>
      <c r="AO25" s="1013">
        <f>'Проверочная  таблица'!UU25+'Проверочная  таблица'!UW25+BM25+BO25+CA25+CC25+BB25+BF25+'Проверочная  таблица'!NB25+'Проверочная  таблица'!NM25+'Проверочная  таблица'!DW25+'Проверочная  таблица'!OF25+DP25+'Проверочная  таблица'!JM25+'Проверочная  таблица'!JS25+'Проверочная  таблица'!ON25+'Проверочная  таблица'!OV25+JG25+AS25+AX25+EW25+FC25+CU25+SW25+EC25+TK25+QC25+EJ25+EQ25+LR25+LZ25+SM25+GR25+RY25+RA25+KM25+KW25+RG25+SF25+CK25+QU25+HG25+GA25+HM25+HS25+FU25+DE25+PU25+BW25+IK25+JA25+GX25+GG25+IQ25</f>
        <v>331809159.80000001</v>
      </c>
      <c r="AP25" s="1014">
        <f t="shared" si="10"/>
        <v>198119482.24000001</v>
      </c>
      <c r="AQ25" s="885">
        <f>[1]Субсидия_факт!HV22</f>
        <v>198119482.24000001</v>
      </c>
      <c r="AR25" s="866">
        <f>[1]Субсидия_факт!MR22</f>
        <v>0</v>
      </c>
      <c r="AS25" s="1014">
        <f t="shared" si="11"/>
        <v>7193777.2800000003</v>
      </c>
      <c r="AT25" s="866">
        <v>7193777.2800000003</v>
      </c>
      <c r="AU25" s="885"/>
      <c r="AV25" s="1003">
        <f t="shared" si="12"/>
        <v>0</v>
      </c>
      <c r="AW25" s="866">
        <f>[1]Субсидия_факт!MV22</f>
        <v>0</v>
      </c>
      <c r="AX25" s="1360">
        <f t="shared" si="13"/>
        <v>0</v>
      </c>
      <c r="AY25" s="866"/>
      <c r="AZ25" s="897">
        <f t="shared" si="14"/>
        <v>0</v>
      </c>
      <c r="BA25" s="866">
        <f>[1]Субсидия_факт!KZ22</f>
        <v>0</v>
      </c>
      <c r="BB25" s="1050">
        <f t="shared" si="15"/>
        <v>0</v>
      </c>
      <c r="BC25" s="866"/>
      <c r="BD25" s="897">
        <f t="shared" si="16"/>
        <v>0</v>
      </c>
      <c r="BE25" s="866">
        <f>[1]Субсидия_факт!LB22</f>
        <v>0</v>
      </c>
      <c r="BF25" s="1050">
        <f t="shared" si="17"/>
        <v>0</v>
      </c>
      <c r="BG25" s="866"/>
      <c r="BH25" s="1373">
        <f t="shared" si="18"/>
        <v>0</v>
      </c>
      <c r="BI25" s="879">
        <f t="shared" si="19"/>
        <v>0</v>
      </c>
      <c r="BJ25" s="1390">
        <f t="shared" si="20"/>
        <v>0</v>
      </c>
      <c r="BK25" s="1373">
        <f t="shared" si="21"/>
        <v>0</v>
      </c>
      <c r="BL25" s="897">
        <f>[1]Субсидия_факт!GV22</f>
        <v>0</v>
      </c>
      <c r="BM25" s="886"/>
      <c r="BN25" s="1391">
        <f>[1]Субсидия_факт!GX22</f>
        <v>0</v>
      </c>
      <c r="BO25" s="887"/>
      <c r="BP25" s="1390">
        <f t="shared" si="22"/>
        <v>0</v>
      </c>
      <c r="BQ25" s="1373">
        <f t="shared" si="22"/>
        <v>0</v>
      </c>
      <c r="BR25" s="879">
        <f>[1]Субсидия_факт!GZ22</f>
        <v>0</v>
      </c>
      <c r="BS25" s="881"/>
      <c r="BT25" s="939">
        <f t="shared" si="23"/>
        <v>198119482.24000001</v>
      </c>
      <c r="BU25" s="862">
        <f>[1]Субсидия_факт!HL22</f>
        <v>198119482.24000001</v>
      </c>
      <c r="BV25" s="866">
        <f>[1]Субсидия_факт!HN22</f>
        <v>0</v>
      </c>
      <c r="BW25" s="1014">
        <f t="shared" si="24"/>
        <v>0</v>
      </c>
      <c r="BX25" s="866"/>
      <c r="BY25" s="866"/>
      <c r="BZ25" s="1050">
        <f>[1]Субсидия_факт!HB22</f>
        <v>0</v>
      </c>
      <c r="CA25" s="888"/>
      <c r="CB25" s="1050">
        <f>[1]Субсидия_факт!HD22</f>
        <v>0</v>
      </c>
      <c r="CC25" s="887"/>
      <c r="CD25" s="1367">
        <f t="shared" si="25"/>
        <v>0</v>
      </c>
      <c r="CE25" s="878">
        <f t="shared" si="25"/>
        <v>0</v>
      </c>
      <c r="CF25" s="1368">
        <f>[1]Субсидия_факт!HF22</f>
        <v>0</v>
      </c>
      <c r="CG25" s="849"/>
      <c r="CH25" s="939">
        <f t="shared" si="26"/>
        <v>0</v>
      </c>
      <c r="CI25" s="862">
        <f>[1]Субсидия_факт!HP22</f>
        <v>0</v>
      </c>
      <c r="CJ25" s="866">
        <f>[1]Субсидия_факт!HR22</f>
        <v>0</v>
      </c>
      <c r="CK25" s="1014">
        <f t="shared" si="27"/>
        <v>0</v>
      </c>
      <c r="CL25" s="866"/>
      <c r="CM25" s="866"/>
      <c r="CN25" s="1003">
        <f t="shared" si="28"/>
        <v>290000000</v>
      </c>
      <c r="CO25" s="859">
        <f>[1]Субсидия_факт!LR22</f>
        <v>0</v>
      </c>
      <c r="CP25" s="858">
        <f>[1]Субсидия_факт!LT22</f>
        <v>0</v>
      </c>
      <c r="CQ25" s="850">
        <f>[1]Субсидия_факт!LV22</f>
        <v>14500000</v>
      </c>
      <c r="CR25" s="858">
        <f>[1]Субсидия_факт!MB22</f>
        <v>275500000</v>
      </c>
      <c r="CS25" s="850">
        <f>[1]Субсидия_факт!MH22</f>
        <v>0</v>
      </c>
      <c r="CT25" s="858">
        <f>[1]Субсидия_факт!MJ22</f>
        <v>0</v>
      </c>
      <c r="CU25" s="1003">
        <f t="shared" si="29"/>
        <v>147326618.09</v>
      </c>
      <c r="CV25" s="851"/>
      <c r="CW25" s="858"/>
      <c r="CX25" s="850">
        <v>7366330.9000000004</v>
      </c>
      <c r="CY25" s="858">
        <v>139960287.19</v>
      </c>
      <c r="CZ25" s="850"/>
      <c r="DA25" s="858"/>
      <c r="DB25" s="1013">
        <f t="shared" si="205"/>
        <v>0</v>
      </c>
      <c r="DC25" s="859">
        <f>[1]Субсидия_факт!LX22</f>
        <v>0</v>
      </c>
      <c r="DD25" s="858">
        <f>[1]Субсидия_факт!MD22</f>
        <v>0</v>
      </c>
      <c r="DE25" s="1003">
        <f t="shared" si="31"/>
        <v>0</v>
      </c>
      <c r="DF25" s="859"/>
      <c r="DG25" s="860"/>
      <c r="DH25" s="1367">
        <f t="shared" si="206"/>
        <v>0</v>
      </c>
      <c r="DI25" s="878">
        <f t="shared" si="207"/>
        <v>0</v>
      </c>
      <c r="DJ25" s="1368">
        <f t="shared" si="208"/>
        <v>0</v>
      </c>
      <c r="DK25" s="849">
        <f t="shared" si="209"/>
        <v>0</v>
      </c>
      <c r="DL25" s="1050">
        <f t="shared" si="210"/>
        <v>3200000</v>
      </c>
      <c r="DM25" s="885">
        <f>[1]Субсидия_факт!R22</f>
        <v>3200000</v>
      </c>
      <c r="DN25" s="862">
        <f>[1]Субсидия_факт!T22</f>
        <v>0</v>
      </c>
      <c r="DO25" s="866">
        <f>[1]Субсидия_факт!V22</f>
        <v>0</v>
      </c>
      <c r="DP25" s="1050">
        <f t="shared" si="211"/>
        <v>0</v>
      </c>
      <c r="DQ25" s="902"/>
      <c r="DR25" s="902"/>
      <c r="DS25" s="902"/>
      <c r="DT25" s="939">
        <f t="shared" si="32"/>
        <v>0</v>
      </c>
      <c r="DU25" s="862">
        <f>[1]Субсидия_факт!AX22</f>
        <v>0</v>
      </c>
      <c r="DV25" s="863">
        <f>[1]Субсидия_факт!AZ22</f>
        <v>0</v>
      </c>
      <c r="DW25" s="1050">
        <f t="shared" si="33"/>
        <v>0</v>
      </c>
      <c r="DX25" s="885"/>
      <c r="DY25" s="889"/>
      <c r="DZ25" s="897">
        <f t="shared" si="34"/>
        <v>0</v>
      </c>
      <c r="EA25" s="862">
        <f>[1]Субсидия_факт!X22</f>
        <v>0</v>
      </c>
      <c r="EB25" s="863">
        <f>[1]Субсидия_факт!Z22</f>
        <v>0</v>
      </c>
      <c r="EC25" s="1050">
        <f t="shared" si="35"/>
        <v>0</v>
      </c>
      <c r="ED25" s="862"/>
      <c r="EE25" s="863"/>
      <c r="EF25" s="1013">
        <f t="shared" si="212"/>
        <v>0</v>
      </c>
      <c r="EG25" s="859">
        <f>[1]Субсидия_факт!AP22</f>
        <v>0</v>
      </c>
      <c r="EH25" s="859">
        <f>[1]Субсидия_факт!AL22</f>
        <v>0</v>
      </c>
      <c r="EI25" s="860">
        <f>[1]Субсидия_факт!AN22</f>
        <v>0</v>
      </c>
      <c r="EJ25" s="1013">
        <f t="shared" si="36"/>
        <v>0</v>
      </c>
      <c r="EK25" s="859"/>
      <c r="EL25" s="859"/>
      <c r="EM25" s="860"/>
      <c r="EN25" s="1013">
        <f t="shared" si="37"/>
        <v>0</v>
      </c>
      <c r="EO25" s="859">
        <f>[1]Субсидия_факт!HH22</f>
        <v>0</v>
      </c>
      <c r="EP25" s="858">
        <f>[1]Субсидия_факт!HJ22</f>
        <v>0</v>
      </c>
      <c r="EQ25" s="1003">
        <f t="shared" si="38"/>
        <v>0</v>
      </c>
      <c r="ER25" s="859"/>
      <c r="ES25" s="858"/>
      <c r="ET25" s="1013">
        <f t="shared" si="39"/>
        <v>0</v>
      </c>
      <c r="EU25" s="862">
        <f>[1]Субсидия_факт!PK22</f>
        <v>0</v>
      </c>
      <c r="EV25" s="863">
        <f>[1]Субсидия_факт!PQ22</f>
        <v>0</v>
      </c>
      <c r="EW25" s="1003">
        <f t="shared" si="40"/>
        <v>0</v>
      </c>
      <c r="EX25" s="859"/>
      <c r="EY25" s="860"/>
      <c r="EZ25" s="1013">
        <f t="shared" si="41"/>
        <v>0</v>
      </c>
      <c r="FA25" s="859">
        <f>[1]Субсидия_факт!PM22</f>
        <v>0</v>
      </c>
      <c r="FB25" s="858">
        <f>[1]Субсидия_факт!PS22</f>
        <v>0</v>
      </c>
      <c r="FC25" s="1003">
        <f t="shared" si="42"/>
        <v>0</v>
      </c>
      <c r="FD25" s="859"/>
      <c r="FE25" s="860"/>
      <c r="FF25" s="1369">
        <f t="shared" si="43"/>
        <v>0</v>
      </c>
      <c r="FG25" s="859">
        <f t="shared" si="44"/>
        <v>0</v>
      </c>
      <c r="FH25" s="858">
        <f t="shared" si="44"/>
        <v>0</v>
      </c>
      <c r="FI25" s="878">
        <f t="shared" si="45"/>
        <v>0</v>
      </c>
      <c r="FJ25" s="859">
        <f t="shared" si="46"/>
        <v>0</v>
      </c>
      <c r="FK25" s="858">
        <f t="shared" si="46"/>
        <v>0</v>
      </c>
      <c r="FL25" s="1369">
        <f t="shared" si="47"/>
        <v>0</v>
      </c>
      <c r="FM25" s="859">
        <f>[1]Субсидия_факт!PO22</f>
        <v>0</v>
      </c>
      <c r="FN25" s="858">
        <f>[1]Субсидия_факт!PU22</f>
        <v>0</v>
      </c>
      <c r="FO25" s="878">
        <f t="shared" si="48"/>
        <v>0</v>
      </c>
      <c r="FP25" s="859"/>
      <c r="FQ25" s="860"/>
      <c r="FR25" s="1013">
        <f t="shared" si="49"/>
        <v>0</v>
      </c>
      <c r="FS25" s="862">
        <f>[1]Субсидия_факт!EP22</f>
        <v>0</v>
      </c>
      <c r="FT25" s="863">
        <f>[1]Субсидия_факт!ER22</f>
        <v>0</v>
      </c>
      <c r="FU25" s="1371">
        <f t="shared" si="50"/>
        <v>0</v>
      </c>
      <c r="FV25" s="862"/>
      <c r="FW25" s="863"/>
      <c r="FX25" s="897">
        <f t="shared" si="51"/>
        <v>0</v>
      </c>
      <c r="FY25" s="862">
        <f>[1]Субсидия_факт!JN22</f>
        <v>0</v>
      </c>
      <c r="FZ25" s="863">
        <f>[1]Субсидия_факт!JP22</f>
        <v>0</v>
      </c>
      <c r="GA25" s="897">
        <f t="shared" si="52"/>
        <v>0</v>
      </c>
      <c r="GB25" s="862"/>
      <c r="GC25" s="863"/>
      <c r="GD25" s="1372">
        <f t="shared" si="53"/>
        <v>0</v>
      </c>
      <c r="GE25" s="859">
        <f>[1]Субсидия_факт!JR22</f>
        <v>0</v>
      </c>
      <c r="GF25" s="860">
        <f>[1]Субсидия_факт!JV22</f>
        <v>0</v>
      </c>
      <c r="GG25" s="1372">
        <f t="shared" si="54"/>
        <v>0</v>
      </c>
      <c r="GH25" s="862"/>
      <c r="GI25" s="889"/>
      <c r="GJ25" s="1373">
        <f t="shared" si="213"/>
        <v>0</v>
      </c>
      <c r="GK25" s="879">
        <f t="shared" si="214"/>
        <v>0</v>
      </c>
      <c r="GL25" s="1390">
        <f t="shared" si="215"/>
        <v>0</v>
      </c>
      <c r="GM25" s="879">
        <f t="shared" si="216"/>
        <v>0</v>
      </c>
      <c r="GN25" s="1371">
        <f t="shared" si="55"/>
        <v>0</v>
      </c>
      <c r="GO25" s="862">
        <f>[1]Субсидия_факт!KL22</f>
        <v>0</v>
      </c>
      <c r="GP25" s="863">
        <f>[1]Субсидия_факт!KN22</f>
        <v>0</v>
      </c>
      <c r="GQ25" s="862">
        <f>[1]Субсидия_факт!KP22</f>
        <v>0</v>
      </c>
      <c r="GR25" s="897">
        <f t="shared" si="56"/>
        <v>0</v>
      </c>
      <c r="GS25" s="862"/>
      <c r="GT25" s="863"/>
      <c r="GU25" s="866"/>
      <c r="GV25" s="1372">
        <f t="shared" si="217"/>
        <v>0</v>
      </c>
      <c r="GW25" s="862">
        <f>[1]Субсидия_факт!KR22</f>
        <v>0</v>
      </c>
      <c r="GX25" s="1372">
        <f t="shared" si="217"/>
        <v>0</v>
      </c>
      <c r="GY25" s="866"/>
      <c r="GZ25" s="1373">
        <f t="shared" si="218"/>
        <v>0</v>
      </c>
      <c r="HA25" s="1373">
        <f t="shared" si="219"/>
        <v>0</v>
      </c>
      <c r="HB25" s="1373">
        <f t="shared" si="220"/>
        <v>0</v>
      </c>
      <c r="HC25" s="1373">
        <f t="shared" si="221"/>
        <v>0</v>
      </c>
      <c r="HD25" s="897">
        <f t="shared" si="57"/>
        <v>0</v>
      </c>
      <c r="HE25" s="862">
        <f>[1]Субсидия_факт!KV22</f>
        <v>0</v>
      </c>
      <c r="HF25" s="863">
        <f>[1]Субсидия_факт!KX22</f>
        <v>0</v>
      </c>
      <c r="HG25" s="1050">
        <f t="shared" si="58"/>
        <v>0</v>
      </c>
      <c r="HH25" s="862"/>
      <c r="HI25" s="863"/>
      <c r="HJ25" s="897">
        <f t="shared" si="59"/>
        <v>0</v>
      </c>
      <c r="HK25" s="862"/>
      <c r="HL25" s="863"/>
      <c r="HM25" s="1050">
        <f t="shared" si="60"/>
        <v>0</v>
      </c>
      <c r="HN25" s="862"/>
      <c r="HO25" s="863"/>
      <c r="HP25" s="897">
        <f t="shared" si="61"/>
        <v>0</v>
      </c>
      <c r="HQ25" s="862">
        <f>[1]Субсидия_факт!FV22</f>
        <v>0</v>
      </c>
      <c r="HR25" s="863">
        <f>[1]Субсидия_факт!FZ22</f>
        <v>0</v>
      </c>
      <c r="HS25" s="1050">
        <f t="shared" si="62"/>
        <v>0</v>
      </c>
      <c r="HT25" s="862"/>
      <c r="HU25" s="863"/>
      <c r="HV25" s="1369">
        <f t="shared" si="63"/>
        <v>0</v>
      </c>
      <c r="HW25" s="859">
        <f t="shared" si="64"/>
        <v>0</v>
      </c>
      <c r="HX25" s="858">
        <f t="shared" si="64"/>
        <v>0</v>
      </c>
      <c r="HY25" s="878">
        <f t="shared" si="65"/>
        <v>0</v>
      </c>
      <c r="HZ25" s="859">
        <f t="shared" si="66"/>
        <v>0</v>
      </c>
      <c r="IA25" s="858">
        <f t="shared" si="66"/>
        <v>0</v>
      </c>
      <c r="IB25" s="1369">
        <f t="shared" si="67"/>
        <v>0</v>
      </c>
      <c r="IC25" s="859">
        <f>[1]Субсидия_факт!FX22</f>
        <v>0</v>
      </c>
      <c r="ID25" s="858">
        <f>[1]Субсидия_факт!GB22</f>
        <v>0</v>
      </c>
      <c r="IE25" s="878">
        <f t="shared" si="68"/>
        <v>0</v>
      </c>
      <c r="IF25" s="859">
        <f t="shared" si="187"/>
        <v>0</v>
      </c>
      <c r="IG25" s="860">
        <f t="shared" si="188"/>
        <v>0</v>
      </c>
      <c r="IH25" s="897">
        <f t="shared" si="69"/>
        <v>0</v>
      </c>
      <c r="II25" s="859">
        <f>[1]Субсидия_факт!ED22</f>
        <v>0</v>
      </c>
      <c r="IJ25" s="860">
        <f>[1]Субсидия_факт!EF22</f>
        <v>0</v>
      </c>
      <c r="IK25" s="1050">
        <f t="shared" si="70"/>
        <v>0</v>
      </c>
      <c r="IL25" s="862"/>
      <c r="IM25" s="863"/>
      <c r="IN25" s="1372">
        <f t="shared" si="71"/>
        <v>0</v>
      </c>
      <c r="IO25" s="859">
        <f>[1]Субсидия_факт!EH22</f>
        <v>0</v>
      </c>
      <c r="IP25" s="860">
        <f>[1]Субсидия_факт!EL22</f>
        <v>0</v>
      </c>
      <c r="IQ25" s="1392">
        <f t="shared" si="72"/>
        <v>0</v>
      </c>
      <c r="IR25" s="862"/>
      <c r="IS25" s="889"/>
      <c r="IT25" s="1373">
        <f t="shared" si="222"/>
        <v>0</v>
      </c>
      <c r="IU25" s="1373">
        <f t="shared" si="223"/>
        <v>0</v>
      </c>
      <c r="IV25" s="1373">
        <f t="shared" si="224"/>
        <v>0</v>
      </c>
      <c r="IW25" s="879">
        <f t="shared" si="225"/>
        <v>0</v>
      </c>
      <c r="IX25" s="1371">
        <f t="shared" si="73"/>
        <v>0</v>
      </c>
      <c r="IY25" s="859">
        <f>[1]Субсидия_факт!BX22</f>
        <v>0</v>
      </c>
      <c r="IZ25" s="860">
        <f>[1]Субсидия_факт!BZ22</f>
        <v>0</v>
      </c>
      <c r="JA25" s="1050">
        <f t="shared" si="74"/>
        <v>0</v>
      </c>
      <c r="JB25" s="862"/>
      <c r="JC25" s="863"/>
      <c r="JD25" s="897">
        <f t="shared" si="75"/>
        <v>0</v>
      </c>
      <c r="JE25" s="862">
        <f>[1]Субсидия_факт!ET22</f>
        <v>0</v>
      </c>
      <c r="JF25" s="863">
        <f>[1]Субсидия_факт!EV22</f>
        <v>0</v>
      </c>
      <c r="JG25" s="1050">
        <f t="shared" si="76"/>
        <v>0</v>
      </c>
      <c r="JH25" s="862"/>
      <c r="JI25" s="863"/>
      <c r="JJ25" s="1003">
        <f t="shared" si="77"/>
        <v>0</v>
      </c>
      <c r="JK25" s="859">
        <f>[1]Субсидия_факт!EX22</f>
        <v>0</v>
      </c>
      <c r="JL25" s="858">
        <f>[1]Субсидия_факт!FD22</f>
        <v>0</v>
      </c>
      <c r="JM25" s="1003">
        <f t="shared" si="78"/>
        <v>0</v>
      </c>
      <c r="JN25" s="859"/>
      <c r="JO25" s="860"/>
      <c r="JP25" s="1003">
        <f t="shared" si="79"/>
        <v>0</v>
      </c>
      <c r="JQ25" s="859">
        <f>[1]Субсидия_факт!EZ22</f>
        <v>0</v>
      </c>
      <c r="JR25" s="860">
        <f>[1]Субсидия_факт!FF22</f>
        <v>0</v>
      </c>
      <c r="JS25" s="1003">
        <f t="shared" si="80"/>
        <v>0</v>
      </c>
      <c r="JT25" s="850"/>
      <c r="JU25" s="864"/>
      <c r="JV25" s="1003">
        <f t="shared" si="81"/>
        <v>-140950.64000000001</v>
      </c>
      <c r="JW25" s="851">
        <f>'Проверочная  таблица'!JQ25-'Проверочная  таблица'!KC25</f>
        <v>-36647.170000000013</v>
      </c>
      <c r="JX25" s="860">
        <f>'Проверочная  таблица'!JR25-'Проверочная  таблица'!KD25</f>
        <v>-104303.47</v>
      </c>
      <c r="JY25" s="1368">
        <f t="shared" si="82"/>
        <v>0</v>
      </c>
      <c r="JZ25" s="850">
        <f>'Проверочная  таблица'!JT25-'Проверочная  таблица'!KF25</f>
        <v>0</v>
      </c>
      <c r="KA25" s="867">
        <f>'Проверочная  таблица'!JU25-'Проверочная  таблица'!KG25</f>
        <v>0</v>
      </c>
      <c r="KB25" s="1003">
        <f t="shared" si="83"/>
        <v>140950.64000000001</v>
      </c>
      <c r="KC25" s="859">
        <f>[1]Субсидия_факт!FB22</f>
        <v>36647.170000000013</v>
      </c>
      <c r="KD25" s="858">
        <f>[1]Субсидия_факт!FH22</f>
        <v>104303.47</v>
      </c>
      <c r="KE25" s="878">
        <f t="shared" si="84"/>
        <v>0</v>
      </c>
      <c r="KF25" s="859"/>
      <c r="KG25" s="860"/>
      <c r="KH25" s="1352">
        <f t="shared" si="226"/>
        <v>4354579.2700000005</v>
      </c>
      <c r="KI25" s="850">
        <f>[1]Субсидия_факт!OD22</f>
        <v>1716530</v>
      </c>
      <c r="KJ25" s="860">
        <f>[1]Субсидия_факт!OJ22</f>
        <v>253019.27</v>
      </c>
      <c r="KK25" s="850">
        <f>[1]Субсидия_факт!OR22</f>
        <v>867072.14</v>
      </c>
      <c r="KL25" s="860">
        <f>[1]Субсидия_факт!OT22</f>
        <v>1517957.86</v>
      </c>
      <c r="KM25" s="1352">
        <f t="shared" si="85"/>
        <v>0</v>
      </c>
      <c r="KN25" s="850"/>
      <c r="KO25" s="860"/>
      <c r="KP25" s="850"/>
      <c r="KQ25" s="860"/>
      <c r="KR25" s="1352">
        <f t="shared" si="227"/>
        <v>851160</v>
      </c>
      <c r="KS25" s="885">
        <f>[1]Субсидия_факт!OF22</f>
        <v>851160</v>
      </c>
      <c r="KT25" s="863">
        <f>[1]Субсидия_факт!OL22</f>
        <v>0</v>
      </c>
      <c r="KU25" s="885"/>
      <c r="KV25" s="863"/>
      <c r="KW25" s="1352">
        <f t="shared" si="86"/>
        <v>0</v>
      </c>
      <c r="KX25" s="850"/>
      <c r="KY25" s="860"/>
      <c r="KZ25" s="850"/>
      <c r="LA25" s="860"/>
      <c r="LB25" s="1354">
        <f t="shared" si="87"/>
        <v>-682710</v>
      </c>
      <c r="LC25" s="885">
        <f t="shared" si="88"/>
        <v>-682710</v>
      </c>
      <c r="LD25" s="863">
        <f t="shared" si="88"/>
        <v>0</v>
      </c>
      <c r="LE25" s="1354">
        <f t="shared" si="89"/>
        <v>0</v>
      </c>
      <c r="LF25" s="885">
        <f t="shared" si="90"/>
        <v>0</v>
      </c>
      <c r="LG25" s="863">
        <f t="shared" si="90"/>
        <v>0</v>
      </c>
      <c r="LH25" s="1354">
        <f t="shared" si="91"/>
        <v>1533870</v>
      </c>
      <c r="LI25" s="859">
        <f>[1]Субсидия_факт!OH22</f>
        <v>1533870</v>
      </c>
      <c r="LJ25" s="858">
        <f>[1]Субсидия_факт!ON22</f>
        <v>0</v>
      </c>
      <c r="LK25" s="1354">
        <f t="shared" si="92"/>
        <v>0</v>
      </c>
      <c r="LL25" s="851"/>
      <c r="LM25" s="860"/>
      <c r="LN25" s="1050">
        <f t="shared" si="228"/>
        <v>0</v>
      </c>
      <c r="LO25" s="865">
        <f>[1]Субсидия_факт!DP22</f>
        <v>0</v>
      </c>
      <c r="LP25" s="850">
        <f>[1]Субсидия_факт!CB22</f>
        <v>0</v>
      </c>
      <c r="LQ25" s="860">
        <f>[1]Субсидия_факт!CH22</f>
        <v>0</v>
      </c>
      <c r="LR25" s="1050">
        <f t="shared" si="93"/>
        <v>0</v>
      </c>
      <c r="LS25" s="865"/>
      <c r="LT25" s="850"/>
      <c r="LU25" s="860"/>
      <c r="LV25" s="1050">
        <f t="shared" si="229"/>
        <v>20828108.109999999</v>
      </c>
      <c r="LW25" s="865">
        <f>[1]Субсидия_факт!DR22</f>
        <v>0</v>
      </c>
      <c r="LX25" s="850">
        <f>[1]Субсидия_факт!CD22</f>
        <v>5415308.1099999994</v>
      </c>
      <c r="LY25" s="860">
        <f>[1]Субсидия_факт!CJ22</f>
        <v>15412800</v>
      </c>
      <c r="LZ25" s="1050">
        <f t="shared" si="94"/>
        <v>13782397.710000001</v>
      </c>
      <c r="MA25" s="865"/>
      <c r="MB25" s="850">
        <v>3583423.4</v>
      </c>
      <c r="MC25" s="858">
        <v>10198974.310000001</v>
      </c>
      <c r="MD25" s="879">
        <f t="shared" si="95"/>
        <v>20828108.109999999</v>
      </c>
      <c r="ME25" s="862">
        <f>'Проверочная  таблица'!LW25-MM25</f>
        <v>0</v>
      </c>
      <c r="MF25" s="862">
        <f>'Проверочная  таблица'!LX25-MN25</f>
        <v>5415308.1099999994</v>
      </c>
      <c r="MG25" s="863">
        <f>'Проверочная  таблица'!LY25-MO25</f>
        <v>15412800</v>
      </c>
      <c r="MH25" s="879">
        <f t="shared" si="96"/>
        <v>13782397.710000001</v>
      </c>
      <c r="MI25" s="862">
        <f>'Проверочная  таблица'!MA25-MQ25</f>
        <v>0</v>
      </c>
      <c r="MJ25" s="862">
        <f>'Проверочная  таблица'!MB25-MR25</f>
        <v>3583423.4</v>
      </c>
      <c r="MK25" s="863">
        <f>'Проверочная  таблица'!MC25-MS25</f>
        <v>10198974.310000001</v>
      </c>
      <c r="ML25" s="879">
        <f t="shared" si="97"/>
        <v>0</v>
      </c>
      <c r="MM25" s="850">
        <f>[1]Субсидия_факт!DT22</f>
        <v>0</v>
      </c>
      <c r="MN25" s="850">
        <f>[1]Субсидия_факт!CF22</f>
        <v>0</v>
      </c>
      <c r="MO25" s="860">
        <f>[1]Субсидия_факт!CL22</f>
        <v>0</v>
      </c>
      <c r="MP25" s="879">
        <f t="shared" si="98"/>
        <v>0</v>
      </c>
      <c r="MQ25" s="850"/>
      <c r="MR25" s="850"/>
      <c r="MS25" s="860"/>
      <c r="MT25" s="1360">
        <f t="shared" si="230"/>
        <v>140950.64000000001</v>
      </c>
      <c r="MU25" s="850">
        <f>[1]Субсидия_факт!CN22</f>
        <v>0</v>
      </c>
      <c r="MV25" s="858">
        <f>[1]Субсидия_факт!CP22</f>
        <v>0</v>
      </c>
      <c r="MW25" s="862">
        <f>[1]Субсидия_факт!CR22</f>
        <v>0</v>
      </c>
      <c r="MX25" s="863">
        <f>[1]Субсидия_факт!CT22</f>
        <v>0</v>
      </c>
      <c r="MY25" s="851">
        <f>[1]Субсидия_факт!DV22</f>
        <v>0</v>
      </c>
      <c r="MZ25" s="859">
        <f>[1]Субсидия_факт!FJ22</f>
        <v>36647.170000000013</v>
      </c>
      <c r="NA25" s="858">
        <f>[1]Субсидия_факт!FP22</f>
        <v>104303.47</v>
      </c>
      <c r="NB25" s="1003">
        <f t="shared" si="99"/>
        <v>140950.64000000001</v>
      </c>
      <c r="NC25" s="850"/>
      <c r="ND25" s="860"/>
      <c r="NE25" s="866"/>
      <c r="NF25" s="890"/>
      <c r="NG25" s="850"/>
      <c r="NH25" s="850">
        <f>MZ25</f>
        <v>36647.170000000013</v>
      </c>
      <c r="NI25" s="860">
        <f t="shared" ref="NI25:NI27" si="251">NA25</f>
        <v>104303.47</v>
      </c>
      <c r="NJ25" s="1003">
        <f t="shared" si="231"/>
        <v>0</v>
      </c>
      <c r="NK25" s="859">
        <f>[1]Субсидия_факт!FL22</f>
        <v>0</v>
      </c>
      <c r="NL25" s="858">
        <f>[1]Субсидия_факт!FR22</f>
        <v>0</v>
      </c>
      <c r="NM25" s="1003">
        <f t="shared" si="101"/>
        <v>0</v>
      </c>
      <c r="NN25" s="851"/>
      <c r="NO25" s="860"/>
      <c r="NP25" s="878">
        <f t="shared" si="102"/>
        <v>0</v>
      </c>
      <c r="NQ25" s="859">
        <f>'Проверочная  таблица'!NK25-NW25</f>
        <v>0</v>
      </c>
      <c r="NR25" s="860">
        <f>'Проверочная  таблица'!NL25-NX25</f>
        <v>0</v>
      </c>
      <c r="NS25" s="878">
        <f t="shared" si="103"/>
        <v>0</v>
      </c>
      <c r="NT25" s="850">
        <f>'Проверочная  таблица'!NN25-NZ25</f>
        <v>0</v>
      </c>
      <c r="NU25" s="867">
        <f>'Проверочная  таблица'!NO25-OA25</f>
        <v>0</v>
      </c>
      <c r="NV25" s="878">
        <f t="shared" si="232"/>
        <v>0</v>
      </c>
      <c r="NW25" s="859">
        <f>[1]Субсидия_факт!FN22</f>
        <v>0</v>
      </c>
      <c r="NX25" s="858">
        <f>[1]Субсидия_факт!FT22</f>
        <v>0</v>
      </c>
      <c r="NY25" s="878">
        <f t="shared" si="104"/>
        <v>0</v>
      </c>
      <c r="NZ25" s="850"/>
      <c r="OA25" s="860"/>
      <c r="OB25" s="1012">
        <f t="shared" si="233"/>
        <v>0</v>
      </c>
      <c r="OC25" s="859">
        <f>[1]Субсидия_факт!AR22</f>
        <v>0</v>
      </c>
      <c r="OD25" s="858">
        <f>[1]Субсидия_факт!AT22</f>
        <v>0</v>
      </c>
      <c r="OE25" s="859">
        <f>[1]Субсидия_факт!AV22</f>
        <v>0</v>
      </c>
      <c r="OF25" s="1050">
        <f t="shared" si="105"/>
        <v>0</v>
      </c>
      <c r="OG25" s="866"/>
      <c r="OH25" s="863"/>
      <c r="OI25" s="866"/>
      <c r="OJ25" s="1376">
        <f t="shared" si="106"/>
        <v>14087061.09</v>
      </c>
      <c r="OK25" s="859">
        <f>[1]Субсидия_факт!GD22</f>
        <v>0</v>
      </c>
      <c r="OL25" s="858">
        <f>[1]Субсидия_факт!GJ22</f>
        <v>14087061.09</v>
      </c>
      <c r="OM25" s="866">
        <f>[1]Субсидия_факт!GP22</f>
        <v>0</v>
      </c>
      <c r="ON25" s="1376">
        <f t="shared" si="107"/>
        <v>0</v>
      </c>
      <c r="OO25" s="851"/>
      <c r="OP25" s="860"/>
      <c r="OQ25" s="850"/>
      <c r="OR25" s="1352">
        <f t="shared" si="234"/>
        <v>14087061.09</v>
      </c>
      <c r="OS25" s="859">
        <f>[1]Субсидия_факт!GF22</f>
        <v>0</v>
      </c>
      <c r="OT25" s="858">
        <f>[1]Субсидия_факт!GL22</f>
        <v>0</v>
      </c>
      <c r="OU25" s="850">
        <f>[1]Субсидия_факт!GR22</f>
        <v>14087061.09</v>
      </c>
      <c r="OV25" s="1352">
        <f t="shared" si="108"/>
        <v>7597893.7699999996</v>
      </c>
      <c r="OW25" s="850"/>
      <c r="OX25" s="867"/>
      <c r="OY25" s="850">
        <v>7597893.7699999996</v>
      </c>
      <c r="OZ25" s="1354">
        <f t="shared" si="109"/>
        <v>14087061.09</v>
      </c>
      <c r="PA25" s="885">
        <f>'Проверочная  таблица'!OS25-PI25</f>
        <v>0</v>
      </c>
      <c r="PB25" s="863">
        <f>'Проверочная  таблица'!OT25-PJ25</f>
        <v>0</v>
      </c>
      <c r="PC25" s="866">
        <f>'Проверочная  таблица'!OU25-PK25</f>
        <v>14087061.09</v>
      </c>
      <c r="PD25" s="1354">
        <f t="shared" si="235"/>
        <v>7597893.7699999996</v>
      </c>
      <c r="PE25" s="851">
        <f>'Проверочная  таблица'!OW25-PM25</f>
        <v>0</v>
      </c>
      <c r="PF25" s="860">
        <f>'Проверочная  таблица'!OX25-PN25</f>
        <v>0</v>
      </c>
      <c r="PG25" s="850">
        <f>'Проверочная  таблица'!OY25-PO25</f>
        <v>7597893.7699999996</v>
      </c>
      <c r="PH25" s="1354">
        <f t="shared" si="110"/>
        <v>0</v>
      </c>
      <c r="PI25" s="859">
        <f>[1]Субсидия_факт!GH22</f>
        <v>0</v>
      </c>
      <c r="PJ25" s="858">
        <f>[1]Субсидия_факт!GN22</f>
        <v>0</v>
      </c>
      <c r="PK25" s="859">
        <f>[1]Субсидия_факт!GT22</f>
        <v>0</v>
      </c>
      <c r="PL25" s="1354">
        <f t="shared" si="111"/>
        <v>0</v>
      </c>
      <c r="PM25" s="851">
        <f t="shared" si="191"/>
        <v>0</v>
      </c>
      <c r="PN25" s="860">
        <f t="shared" si="192"/>
        <v>0</v>
      </c>
      <c r="PO25" s="859"/>
      <c r="PP25" s="1003">
        <f t="shared" si="193"/>
        <v>0</v>
      </c>
      <c r="PQ25" s="862">
        <f>[1]Субсидия_факт!JB22</f>
        <v>0</v>
      </c>
      <c r="PR25" s="863">
        <f>[1]Субсидия_факт!JH22</f>
        <v>0</v>
      </c>
      <c r="PS25" s="862"/>
      <c r="PT25" s="863"/>
      <c r="PU25" s="1003">
        <f t="shared" si="194"/>
        <v>0</v>
      </c>
      <c r="PV25" s="866"/>
      <c r="PW25" s="890"/>
      <c r="PX25" s="866"/>
      <c r="PY25" s="890"/>
      <c r="PZ25" s="1050">
        <f t="shared" si="112"/>
        <v>1614205</v>
      </c>
      <c r="QA25" s="862">
        <f>[1]Субсидия_факт!JD22</f>
        <v>80710.25</v>
      </c>
      <c r="QB25" s="863">
        <f>[1]Субсидия_факт!JJ22</f>
        <v>1533494.75</v>
      </c>
      <c r="QC25" s="1391">
        <f t="shared" si="113"/>
        <v>1614205</v>
      </c>
      <c r="QD25" s="866">
        <v>80710.25</v>
      </c>
      <c r="QE25" s="890">
        <v>1533494.75</v>
      </c>
      <c r="QF25" s="879">
        <f t="shared" si="236"/>
        <v>1614205</v>
      </c>
      <c r="QG25" s="866">
        <f t="shared" si="114"/>
        <v>80710.25</v>
      </c>
      <c r="QH25" s="863">
        <f t="shared" si="114"/>
        <v>1533494.75</v>
      </c>
      <c r="QI25" s="1373">
        <f t="shared" si="115"/>
        <v>1614205</v>
      </c>
      <c r="QJ25" s="862">
        <f t="shared" si="116"/>
        <v>80710.25</v>
      </c>
      <c r="QK25" s="863">
        <f t="shared" si="116"/>
        <v>1533494.75</v>
      </c>
      <c r="QL25" s="1373">
        <f t="shared" si="117"/>
        <v>0</v>
      </c>
      <c r="QM25" s="862">
        <f>[1]Субсидия_факт!JF22</f>
        <v>0</v>
      </c>
      <c r="QN25" s="863">
        <f>[1]Субсидия_факт!JL22</f>
        <v>0</v>
      </c>
      <c r="QO25" s="879">
        <f t="shared" si="237"/>
        <v>0</v>
      </c>
      <c r="QP25" s="866"/>
      <c r="QQ25" s="890"/>
      <c r="QR25" s="897">
        <f t="shared" si="118"/>
        <v>0</v>
      </c>
      <c r="QS25" s="862">
        <f>[1]Субсидия_факт!CV22</f>
        <v>0</v>
      </c>
      <c r="QT25" s="863">
        <f>[1]Субсидия_факт!CX22</f>
        <v>0</v>
      </c>
      <c r="QU25" s="1050">
        <f t="shared" si="119"/>
        <v>0</v>
      </c>
      <c r="QV25" s="862"/>
      <c r="QW25" s="863"/>
      <c r="QX25" s="897">
        <f t="shared" si="120"/>
        <v>0</v>
      </c>
      <c r="QY25" s="862">
        <f>[1]Субсидия_факт!CZ22</f>
        <v>0</v>
      </c>
      <c r="QZ25" s="863">
        <f>[1]Субсидия_факт!DF22</f>
        <v>0</v>
      </c>
      <c r="RA25" s="1050">
        <f t="shared" si="121"/>
        <v>0</v>
      </c>
      <c r="RB25" s="862"/>
      <c r="RC25" s="863"/>
      <c r="RD25" s="897">
        <f t="shared" si="122"/>
        <v>0</v>
      </c>
      <c r="RE25" s="862">
        <f>[1]Субсидия_факт!DB22</f>
        <v>0</v>
      </c>
      <c r="RF25" s="863">
        <f>[1]Субсидия_факт!DH22</f>
        <v>0</v>
      </c>
      <c r="RG25" s="1050">
        <f t="shared" si="123"/>
        <v>0</v>
      </c>
      <c r="RH25" s="862"/>
      <c r="RI25" s="863"/>
      <c r="RJ25" s="1373">
        <f t="shared" si="124"/>
        <v>0</v>
      </c>
      <c r="RK25" s="862">
        <f t="shared" si="125"/>
        <v>0</v>
      </c>
      <c r="RL25" s="863">
        <f t="shared" si="125"/>
        <v>0</v>
      </c>
      <c r="RM25" s="879">
        <f t="shared" si="126"/>
        <v>0</v>
      </c>
      <c r="RN25" s="862">
        <f t="shared" si="127"/>
        <v>0</v>
      </c>
      <c r="RO25" s="863">
        <f t="shared" si="127"/>
        <v>0</v>
      </c>
      <c r="RP25" s="897">
        <f t="shared" si="128"/>
        <v>0</v>
      </c>
      <c r="RQ25" s="862">
        <f>[1]Субсидия_факт!DD22</f>
        <v>0</v>
      </c>
      <c r="RR25" s="863">
        <f>[1]Субсидия_факт!DJ22</f>
        <v>0</v>
      </c>
      <c r="RS25" s="879">
        <f t="shared" si="129"/>
        <v>0</v>
      </c>
      <c r="RT25" s="862"/>
      <c r="RU25" s="863"/>
      <c r="RV25" s="897">
        <f t="shared" si="130"/>
        <v>0</v>
      </c>
      <c r="RW25" s="862">
        <f>[1]Субсидия_факт!DL22</f>
        <v>0</v>
      </c>
      <c r="RX25" s="863">
        <f>[1]Субсидия_факт!DN22</f>
        <v>0</v>
      </c>
      <c r="RY25" s="1391">
        <f t="shared" si="131"/>
        <v>0</v>
      </c>
      <c r="RZ25" s="885"/>
      <c r="SA25" s="889"/>
      <c r="SB25" s="1050">
        <f t="shared" si="238"/>
        <v>0</v>
      </c>
      <c r="SC25" s="859">
        <f>[1]Субсидия_факт!BJ22</f>
        <v>0</v>
      </c>
      <c r="SD25" s="862">
        <f>[1]Субсидия_факт!BF22</f>
        <v>0</v>
      </c>
      <c r="SE25" s="889">
        <f>[1]Субсидия_факт!BH22</f>
        <v>0</v>
      </c>
      <c r="SF25" s="1050">
        <f t="shared" si="132"/>
        <v>0</v>
      </c>
      <c r="SG25" s="891"/>
      <c r="SH25" s="885"/>
      <c r="SI25" s="889"/>
      <c r="SJ25" s="897">
        <f t="shared" si="133"/>
        <v>0</v>
      </c>
      <c r="SK25" s="862">
        <f>[1]Субсидия_факт!AD22</f>
        <v>0</v>
      </c>
      <c r="SL25" s="863">
        <f>[1]Субсидия_факт!AF22</f>
        <v>0</v>
      </c>
      <c r="SM25" s="1050">
        <f t="shared" si="134"/>
        <v>0</v>
      </c>
      <c r="SN25" s="885"/>
      <c r="SO25" s="889"/>
      <c r="SP25" s="897">
        <f t="shared" si="239"/>
        <v>0</v>
      </c>
      <c r="SQ25" s="862">
        <f>[1]Субсидия_факт!ID22</f>
        <v>0</v>
      </c>
      <c r="SR25" s="863">
        <f>[1]Субсидия_факт!IJ22</f>
        <v>0</v>
      </c>
      <c r="SS25" s="885">
        <f>[1]Субсидия_факт!IP22</f>
        <v>0</v>
      </c>
      <c r="ST25" s="863">
        <f>[1]Субсидия_факт!IV22</f>
        <v>0</v>
      </c>
      <c r="SU25" s="1123">
        <f>[1]Субсидия_факт!JZ22</f>
        <v>0</v>
      </c>
      <c r="SV25" s="889">
        <f>[1]Субсидия_факт!KF22</f>
        <v>0</v>
      </c>
      <c r="SW25" s="1050">
        <f t="shared" si="135"/>
        <v>0</v>
      </c>
      <c r="SX25" s="1244"/>
      <c r="SY25" s="890"/>
      <c r="SZ25" s="1244"/>
      <c r="TA25" s="890"/>
      <c r="TB25" s="1123"/>
      <c r="TC25" s="889"/>
      <c r="TD25" s="897">
        <f t="shared" si="136"/>
        <v>0</v>
      </c>
      <c r="TE25" s="862">
        <f>[1]Субсидия_факт!IF22</f>
        <v>0</v>
      </c>
      <c r="TF25" s="863">
        <f>[1]Субсидия_факт!IL22</f>
        <v>0</v>
      </c>
      <c r="TG25" s="885">
        <f>[1]Субсидия_факт!IR22</f>
        <v>0</v>
      </c>
      <c r="TH25" s="863">
        <f>[1]Субсидия_факт!IX22</f>
        <v>0</v>
      </c>
      <c r="TI25" s="885">
        <f>[1]Субсидия_факт!KB22</f>
        <v>0</v>
      </c>
      <c r="TJ25" s="863">
        <f>[1]Субсидия_факт!KH22</f>
        <v>0</v>
      </c>
      <c r="TK25" s="1050">
        <f t="shared" si="137"/>
        <v>0</v>
      </c>
      <c r="TL25" s="866"/>
      <c r="TM25" s="890"/>
      <c r="TN25" s="1123"/>
      <c r="TO25" s="890"/>
      <c r="TP25" s="866"/>
      <c r="TQ25" s="890"/>
      <c r="TR25" s="879">
        <f t="shared" si="138"/>
        <v>-1999900</v>
      </c>
      <c r="TS25" s="862">
        <f t="shared" si="139"/>
        <v>0</v>
      </c>
      <c r="TT25" s="863">
        <f t="shared" si="139"/>
        <v>0</v>
      </c>
      <c r="TU25" s="862">
        <f t="shared" si="139"/>
        <v>-99995</v>
      </c>
      <c r="TV25" s="863">
        <f t="shared" si="139"/>
        <v>-1899905</v>
      </c>
      <c r="TW25" s="885">
        <f t="shared" si="139"/>
        <v>0</v>
      </c>
      <c r="TX25" s="863">
        <f t="shared" si="139"/>
        <v>0</v>
      </c>
      <c r="TY25" s="879">
        <f t="shared" si="140"/>
        <v>0</v>
      </c>
      <c r="TZ25" s="862">
        <f t="shared" si="141"/>
        <v>0</v>
      </c>
      <c r="UA25" s="863">
        <f t="shared" si="141"/>
        <v>0</v>
      </c>
      <c r="UB25" s="862">
        <f t="shared" si="141"/>
        <v>0</v>
      </c>
      <c r="UC25" s="863">
        <f t="shared" si="141"/>
        <v>0</v>
      </c>
      <c r="UD25" s="885">
        <f t="shared" si="141"/>
        <v>0</v>
      </c>
      <c r="UE25" s="863">
        <f t="shared" si="141"/>
        <v>0</v>
      </c>
      <c r="UF25" s="1373">
        <f t="shared" si="142"/>
        <v>1999900</v>
      </c>
      <c r="UG25" s="862">
        <f>[1]Субсидия_факт!IH22</f>
        <v>0</v>
      </c>
      <c r="UH25" s="863">
        <f>[1]Субсидия_факт!IN22</f>
        <v>0</v>
      </c>
      <c r="UI25" s="885">
        <f>[1]Субсидия_факт!IT22</f>
        <v>99995</v>
      </c>
      <c r="UJ25" s="863">
        <f>[1]Субсидия_факт!IZ22</f>
        <v>1899905</v>
      </c>
      <c r="UK25" s="885">
        <f>[1]Субсидия_факт!KD22</f>
        <v>0</v>
      </c>
      <c r="UL25" s="863">
        <f>[1]Субсидия_факт!KJ22</f>
        <v>0</v>
      </c>
      <c r="UM25" s="879">
        <f t="shared" si="143"/>
        <v>0</v>
      </c>
      <c r="UN25" s="1123"/>
      <c r="UO25" s="890"/>
      <c r="UP25" s="1123"/>
      <c r="UQ25" s="890"/>
      <c r="UR25" s="1123"/>
      <c r="US25" s="890"/>
      <c r="UT25" s="1050">
        <f>'Прочая  субсидия_МР  и  ГО'!B21</f>
        <v>191772795.96000001</v>
      </c>
      <c r="UU25" s="1050">
        <f>'Прочая  субсидия_МР  и  ГО'!C21</f>
        <v>152285748.93000001</v>
      </c>
      <c r="UV25" s="1371">
        <f>'Прочая  субсидия_БП'!B21</f>
        <v>2868558.5</v>
      </c>
      <c r="UW25" s="897">
        <f>'Прочая  субсидия_БП'!C21</f>
        <v>1867568.3800000001</v>
      </c>
      <c r="UX25" s="1395">
        <f>'Прочая  субсидия_БП'!D21</f>
        <v>2868558.5</v>
      </c>
      <c r="UY25" s="1386">
        <f>'Прочая  субсидия_БП'!E21</f>
        <v>1867568.3800000001</v>
      </c>
      <c r="UZ25" s="1387">
        <f>'Прочая  субсидия_БП'!F21</f>
        <v>0</v>
      </c>
      <c r="VA25" s="1395">
        <f>'Прочая  субсидия_БП'!G21</f>
        <v>0</v>
      </c>
      <c r="VB25" s="897">
        <f t="shared" si="144"/>
        <v>939079888.56000006</v>
      </c>
      <c r="VC25" s="866">
        <f>'Проверочная  таблица'!WE25+'Проверочная  таблица'!VH25+'Проверочная  таблица'!VJ25+VY25</f>
        <v>913651139.42000008</v>
      </c>
      <c r="VD25" s="891">
        <f>'Проверочная  таблица'!WF25+'Проверочная  таблица'!VN25+'Проверочная  таблица'!VT25+'Проверочная  таблица'!VP25+'Проверочная  таблица'!VR25+VV25+VZ25+VL25</f>
        <v>25428749.140000001</v>
      </c>
      <c r="VE25" s="1050">
        <f t="shared" si="145"/>
        <v>878800349.83999991</v>
      </c>
      <c r="VF25" s="866">
        <f>'Проверочная  таблица'!WH25+'Проверочная  таблица'!VI25+'Проверочная  таблица'!VK25+WB25</f>
        <v>860905955.7299999</v>
      </c>
      <c r="VG25" s="891">
        <f>'Проверочная  таблица'!WI25+'Проверочная  таблица'!VO25+'Проверочная  таблица'!VU25+'Проверочная  таблица'!VQ25+'Проверочная  таблица'!VS25+VW25+WC25+VM25</f>
        <v>17894394.109999999</v>
      </c>
      <c r="VH25" s="1391">
        <f>'Субвенция  на  полномочия'!B21</f>
        <v>875806478.49000001</v>
      </c>
      <c r="VI25" s="1371">
        <f>'Субвенция  на  полномочия'!C21</f>
        <v>837454020.80999994</v>
      </c>
      <c r="VJ25" s="886">
        <f>[1]Субвенция_факт!M21*1000</f>
        <v>28902300</v>
      </c>
      <c r="VK25" s="892">
        <v>17000000</v>
      </c>
      <c r="VL25" s="886">
        <f>[1]Субвенция_факт!AE21*1000</f>
        <v>0</v>
      </c>
      <c r="VM25" s="892"/>
      <c r="VN25" s="886">
        <f>[1]Субвенция_факт!AF21*1000</f>
        <v>4907000</v>
      </c>
      <c r="VO25" s="892">
        <f>ВУС!E133</f>
        <v>2746903.5100000002</v>
      </c>
      <c r="VP25" s="1396">
        <f>[1]Субвенция_факт!AG21*1000</f>
        <v>0</v>
      </c>
      <c r="VQ25" s="893"/>
      <c r="VR25" s="888">
        <f>[1]Субвенция_факт!E21*1000</f>
        <v>0</v>
      </c>
      <c r="VS25" s="893"/>
      <c r="VT25" s="888">
        <f>[1]Субвенция_факт!F21*1000</f>
        <v>0</v>
      </c>
      <c r="VU25" s="893"/>
      <c r="VV25" s="887">
        <f>[1]Субвенция_факт!G21*1000</f>
        <v>0</v>
      </c>
      <c r="VW25" s="892"/>
      <c r="VX25" s="897">
        <f t="shared" si="146"/>
        <v>26509120.460000001</v>
      </c>
      <c r="VY25" s="862">
        <f>[1]Субвенция_факт!P21*1000</f>
        <v>6892371.3200000003</v>
      </c>
      <c r="VZ25" s="863">
        <f>[1]Субвенция_факт!Q21*1000</f>
        <v>19616749.140000001</v>
      </c>
      <c r="WA25" s="1050">
        <f t="shared" si="147"/>
        <v>19392057.420000002</v>
      </c>
      <c r="WB25" s="866">
        <v>5041934.92</v>
      </c>
      <c r="WC25" s="894">
        <v>14350122.5</v>
      </c>
      <c r="WD25" s="1050">
        <f t="shared" si="148"/>
        <v>2954989.6100000003</v>
      </c>
      <c r="WE25" s="895">
        <f>[1]Субвенция_факт!X21*1000</f>
        <v>2049989.61</v>
      </c>
      <c r="WF25" s="896">
        <f>[1]Субвенция_факт!W21*1000</f>
        <v>905000</v>
      </c>
      <c r="WG25" s="1050">
        <f t="shared" si="149"/>
        <v>2207368.1</v>
      </c>
      <c r="WH25" s="866">
        <v>1410000</v>
      </c>
      <c r="WI25" s="894">
        <v>797368.1</v>
      </c>
      <c r="WJ25" s="897">
        <f t="shared" si="201"/>
        <v>129535952.06</v>
      </c>
      <c r="WK25" s="1050">
        <f t="shared" si="202"/>
        <v>39201934.829999998</v>
      </c>
      <c r="WL25" s="1391">
        <f t="shared" si="240"/>
        <v>0</v>
      </c>
      <c r="WM25" s="895"/>
      <c r="WN25" s="896">
        <f>'[1]Иные межбюджетные трансферты'!I23</f>
        <v>0</v>
      </c>
      <c r="WO25" s="1391">
        <f t="shared" si="241"/>
        <v>0</v>
      </c>
      <c r="WP25" s="895"/>
      <c r="WQ25" s="896"/>
      <c r="WR25" s="1391">
        <f t="shared" si="152"/>
        <v>0</v>
      </c>
      <c r="WS25" s="895">
        <f>'[1]Иные межбюджетные трансферты'!AQ22</f>
        <v>0</v>
      </c>
      <c r="WT25" s="896">
        <f>'[1]Иные межбюджетные трансферты'!AS22</f>
        <v>0</v>
      </c>
      <c r="WU25" s="1391">
        <f t="shared" si="153"/>
        <v>0</v>
      </c>
      <c r="WV25" s="895"/>
      <c r="WW25" s="896"/>
      <c r="WX25" s="1050">
        <f t="shared" si="154"/>
        <v>3235429.67</v>
      </c>
      <c r="WY25" s="895">
        <f>'[1]Иные межбюджетные трансферты'!AM22</f>
        <v>161771.49</v>
      </c>
      <c r="WZ25" s="896">
        <f>'[1]Иные межбюджетные трансферты'!AO22</f>
        <v>3073658.1799999997</v>
      </c>
      <c r="XA25" s="1050">
        <f t="shared" si="155"/>
        <v>2227481.73</v>
      </c>
      <c r="XB25" s="895">
        <v>111374.07</v>
      </c>
      <c r="XC25" s="896">
        <v>2116107.66</v>
      </c>
      <c r="XD25" s="1050">
        <f t="shared" si="156"/>
        <v>51063552</v>
      </c>
      <c r="XE25" s="895">
        <f>'[1]Иные межбюджетные трансферты'!K22</f>
        <v>23565756</v>
      </c>
      <c r="XF25" s="896">
        <f>'[1]Иные межбюджетные трансферты'!M22</f>
        <v>27497796</v>
      </c>
      <c r="XG25" s="1050">
        <f t="shared" si="242"/>
        <v>25355407.309999999</v>
      </c>
      <c r="XH25" s="882"/>
      <c r="XI25" s="896">
        <v>25355407.309999999</v>
      </c>
      <c r="XJ25" s="1050">
        <f t="shared" si="158"/>
        <v>0</v>
      </c>
      <c r="XK25" s="885"/>
      <c r="XL25" s="1050">
        <f t="shared" si="159"/>
        <v>0</v>
      </c>
      <c r="XM25" s="885"/>
      <c r="XN25" s="897">
        <f t="shared" si="160"/>
        <v>0</v>
      </c>
      <c r="XO25" s="862">
        <f>'[1]Иные межбюджетные трансферты'!O22</f>
        <v>0</v>
      </c>
      <c r="XP25" s="1050">
        <f t="shared" si="161"/>
        <v>0</v>
      </c>
      <c r="XQ25" s="866"/>
      <c r="XR25" s="1390">
        <f t="shared" si="162"/>
        <v>0</v>
      </c>
      <c r="XS25" s="879">
        <f t="shared" si="163"/>
        <v>0</v>
      </c>
      <c r="XT25" s="1390">
        <f t="shared" si="164"/>
        <v>0</v>
      </c>
      <c r="XU25" s="879">
        <f t="shared" si="165"/>
        <v>0</v>
      </c>
      <c r="XV25" s="1050">
        <f t="shared" si="243"/>
        <v>28413187.439999998</v>
      </c>
      <c r="XW25" s="883">
        <f>'[1]Иные межбюджетные трансферты'!E22</f>
        <v>0</v>
      </c>
      <c r="XX25" s="895">
        <f>'[1]Иные межбюджетные трансферты'!G22</f>
        <v>13660680</v>
      </c>
      <c r="XY25" s="882">
        <f>'[1]Иные межбюджетные трансферты'!S22</f>
        <v>0</v>
      </c>
      <c r="XZ25" s="883">
        <f>'[1]Иные межбюджетные трансферты'!Y22</f>
        <v>0</v>
      </c>
      <c r="YA25" s="882">
        <f>'[1]Иные межбюджетные трансферты'!AA22</f>
        <v>0</v>
      </c>
      <c r="YB25" s="1275">
        <f>'[1]Иные межбюджетные трансферты'!AG22</f>
        <v>0</v>
      </c>
      <c r="YC25" s="882">
        <f>'[1]Иные межбюджетные трансферты'!AU22</f>
        <v>0</v>
      </c>
      <c r="YD25" s="862">
        <f>'[1]Иные межбюджетные трансферты'!BA22</f>
        <v>3027971.71</v>
      </c>
      <c r="YE25" s="882">
        <f>'[1]Иные межбюджетные трансферты'!BC22</f>
        <v>6864373.0800000001</v>
      </c>
      <c r="YF25" s="1275">
        <f>'[1]Иные межбюджетные трансферты'!BE22</f>
        <v>4860162.6500000004</v>
      </c>
      <c r="YG25" s="1050">
        <f t="shared" si="244"/>
        <v>4860162.6500000004</v>
      </c>
      <c r="YH25" s="882"/>
      <c r="YI25" s="882"/>
      <c r="YJ25" s="851"/>
      <c r="YK25" s="882"/>
      <c r="YL25" s="848">
        <f t="shared" si="245"/>
        <v>0</v>
      </c>
      <c r="YM25" s="848"/>
      <c r="YN25" s="848"/>
      <c r="YO25" s="848"/>
      <c r="YP25" s="848"/>
      <c r="YQ25" s="848">
        <v>4860162.6500000004</v>
      </c>
      <c r="YR25" s="1050">
        <f t="shared" si="166"/>
        <v>46823782.949999996</v>
      </c>
      <c r="YS25" s="895">
        <f>'[1]Иные межбюджетные трансферты'!U22</f>
        <v>831546.72000000009</v>
      </c>
      <c r="YT25" s="882">
        <f>'[1]Иные межбюджетные трансферты'!AC22</f>
        <v>0</v>
      </c>
      <c r="YU25" s="1275">
        <f>'[1]Иные межбюджетные трансферты'!AI22</f>
        <v>31068513.449999999</v>
      </c>
      <c r="YV25" s="883">
        <f>'[1]Иные межбюджетные трансферты'!AW22</f>
        <v>8059349.7000000002</v>
      </c>
      <c r="YW25" s="848">
        <f>'[1]Иные межбюджетные трансферты'!BG22</f>
        <v>6864373.0800000001</v>
      </c>
      <c r="YX25" s="1050">
        <f t="shared" si="167"/>
        <v>6758883.1400000015</v>
      </c>
      <c r="YY25" s="865"/>
      <c r="YZ25" s="865">
        <f t="shared" si="247"/>
        <v>0</v>
      </c>
      <c r="ZA25" s="865"/>
      <c r="ZB25" s="848"/>
      <c r="ZC25" s="848">
        <v>6758883.1400000015</v>
      </c>
      <c r="ZD25" s="879">
        <f t="shared" si="168"/>
        <v>46823782.949999996</v>
      </c>
      <c r="ZE25" s="859">
        <f>'Проверочная  таблица'!YS25-ZQ25</f>
        <v>831546.72000000009</v>
      </c>
      <c r="ZF25" s="859">
        <f>'Проверочная  таблица'!YT25-ZR25</f>
        <v>0</v>
      </c>
      <c r="ZG25" s="859">
        <f>'Проверочная  таблица'!YU25-ZS25</f>
        <v>31068513.449999999</v>
      </c>
      <c r="ZH25" s="859">
        <f>'Проверочная  таблица'!YV25-ZT25</f>
        <v>8059349.7000000002</v>
      </c>
      <c r="ZI25" s="859">
        <f>'Проверочная  таблица'!YW25-ZU25</f>
        <v>6864373.0800000001</v>
      </c>
      <c r="ZJ25" s="879">
        <f t="shared" si="169"/>
        <v>6758883.1400000015</v>
      </c>
      <c r="ZK25" s="859">
        <f>'Проверочная  таблица'!YY25-ZW25</f>
        <v>0</v>
      </c>
      <c r="ZL25" s="859">
        <f>'Проверочная  таблица'!YZ25-ZX25</f>
        <v>0</v>
      </c>
      <c r="ZM25" s="859">
        <f>'Проверочная  таблица'!ZA25-ZY25</f>
        <v>0</v>
      </c>
      <c r="ZN25" s="859">
        <f>'Проверочная  таблица'!ZB25-ZZ25</f>
        <v>0</v>
      </c>
      <c r="ZO25" s="859">
        <f>'Проверочная  таблица'!ZC25-AAA25</f>
        <v>6758883.1400000015</v>
      </c>
      <c r="ZP25" s="879">
        <f t="shared" si="170"/>
        <v>0</v>
      </c>
      <c r="ZQ25" s="895">
        <f>'[1]Иные межбюджетные трансферты'!W22</f>
        <v>0</v>
      </c>
      <c r="ZR25" s="895">
        <f>'[1]Иные межбюджетные трансферты'!AE22</f>
        <v>0</v>
      </c>
      <c r="ZS25" s="882"/>
      <c r="ZT25" s="883">
        <f>'[1]Иные межбюджетные трансферты'!AY22</f>
        <v>0</v>
      </c>
      <c r="ZU25" s="848"/>
      <c r="ZV25" s="879">
        <f t="shared" si="171"/>
        <v>0</v>
      </c>
      <c r="ZW25" s="865"/>
      <c r="ZX25" s="865">
        <f t="shared" si="248"/>
        <v>0</v>
      </c>
      <c r="ZY25" s="865"/>
      <c r="ZZ25" s="848"/>
      <c r="AAA25" s="848"/>
      <c r="AAB25" s="1050">
        <f>AAD25+'Проверочная  таблица'!AAL25+AAH25+'Проверочная  таблица'!AAP25+AAJ25+'Проверочная  таблица'!AAR25</f>
        <v>0</v>
      </c>
      <c r="AAC25" s="1050">
        <f>AAE25+'Проверочная  таблица'!AAM25+AAI25+'Проверочная  таблица'!AAQ25+AAK25+'Проверочная  таблица'!AAS25</f>
        <v>0</v>
      </c>
      <c r="AAD25" s="897"/>
      <c r="AAE25" s="897"/>
      <c r="AAF25" s="897"/>
      <c r="AAG25" s="897"/>
      <c r="AAH25" s="1373">
        <f t="shared" si="172"/>
        <v>0</v>
      </c>
      <c r="AAI25" s="879">
        <f t="shared" si="172"/>
        <v>0</v>
      </c>
      <c r="AAJ25" s="898"/>
      <c r="AAK25" s="879"/>
      <c r="AAL25" s="897"/>
      <c r="AAM25" s="897"/>
      <c r="AAN25" s="897"/>
      <c r="AAO25" s="897"/>
      <c r="AAP25" s="1373">
        <f t="shared" si="173"/>
        <v>0</v>
      </c>
      <c r="AAQ25" s="879">
        <f t="shared" si="173"/>
        <v>0</v>
      </c>
      <c r="AAR25" s="879"/>
      <c r="AAS25" s="879"/>
      <c r="AAT25" s="1384">
        <f>'Проверочная  таблица'!AAL25+'Проверочная  таблица'!AAN25</f>
        <v>0</v>
      </c>
      <c r="AAU25" s="1384">
        <f>'Проверочная  таблица'!AAM25+'Проверочная  таблица'!AAO25</f>
        <v>0</v>
      </c>
    </row>
    <row r="26" spans="1:723" ht="20.45" customHeight="1" x14ac:dyDescent="0.25">
      <c r="A26" s="899" t="s">
        <v>1295</v>
      </c>
      <c r="B26" s="897">
        <f>D26+AN26+'Проверочная  таблица'!VB26+'Проверочная  таблица'!WJ26</f>
        <v>755407590.88999999</v>
      </c>
      <c r="C26" s="1050">
        <f>E26+'Проверочная  таблица'!VE26+AO26+'Проверочная  таблица'!WK26</f>
        <v>504139091.08000004</v>
      </c>
      <c r="D26" s="1371">
        <f t="shared" si="0"/>
        <v>91725904.609999999</v>
      </c>
      <c r="E26" s="897">
        <f t="shared" si="1"/>
        <v>71239819.609999999</v>
      </c>
      <c r="F26" s="1376">
        <f>'[1]Дотация  из  ОБ_факт'!M22</f>
        <v>36851869</v>
      </c>
      <c r="G26" s="1385">
        <v>27638901</v>
      </c>
      <c r="H26" s="1376">
        <f>'[1]Дотация  из  ОБ_факт'!G22</f>
        <v>26867877.609999999</v>
      </c>
      <c r="I26" s="1385">
        <v>21324941.609999999</v>
      </c>
      <c r="J26" s="1386">
        <f t="shared" si="2"/>
        <v>26867877.609999999</v>
      </c>
      <c r="K26" s="1387">
        <f t="shared" si="2"/>
        <v>21324941.609999999</v>
      </c>
      <c r="L26" s="1386">
        <f>'[1]Дотация  из  ОБ_факт'!K22</f>
        <v>0</v>
      </c>
      <c r="M26" s="881"/>
      <c r="N26" s="1376">
        <f>'[1]Дотация  из  ОБ_факт'!Q22</f>
        <v>0</v>
      </c>
      <c r="O26" s="1385"/>
      <c r="P26" s="1376">
        <f>'[1]Дотация  из  ОБ_факт'!S22</f>
        <v>26836033</v>
      </c>
      <c r="Q26" s="1385">
        <v>21105852</v>
      </c>
      <c r="R26" s="1386">
        <f t="shared" si="3"/>
        <v>26836033</v>
      </c>
      <c r="S26" s="1387">
        <f t="shared" si="3"/>
        <v>21105852</v>
      </c>
      <c r="T26" s="1386">
        <f>'[1]Дотация  из  ОБ_факт'!W22</f>
        <v>0</v>
      </c>
      <c r="U26" s="881"/>
      <c r="V26" s="886">
        <f t="shared" si="4"/>
        <v>1100000</v>
      </c>
      <c r="W26" s="1388">
        <f>'[1]Дотация  из  ОБ_факт'!AA22</f>
        <v>0</v>
      </c>
      <c r="X26" s="1389">
        <f>'[1]Дотация  из  ОБ_факт'!AC22</f>
        <v>1100000</v>
      </c>
      <c r="Y26" s="1389">
        <f>'[1]Дотация  из  ОБ_факт'!AG22</f>
        <v>0</v>
      </c>
      <c r="Z26" s="887">
        <f t="shared" si="5"/>
        <v>1100000</v>
      </c>
      <c r="AA26" s="848">
        <f t="shared" si="177"/>
        <v>0</v>
      </c>
      <c r="AB26" s="848">
        <f t="shared" si="177"/>
        <v>1100000</v>
      </c>
      <c r="AC26" s="882"/>
      <c r="AD26" s="886">
        <f t="shared" si="6"/>
        <v>70125</v>
      </c>
      <c r="AE26" s="1388">
        <f>'[1]Дотация  из  ОБ_факт'!Y22</f>
        <v>70125</v>
      </c>
      <c r="AF26" s="1389">
        <f>'[1]Дотация  из  ОБ_факт'!AE22</f>
        <v>0</v>
      </c>
      <c r="AG26" s="886">
        <f t="shared" si="7"/>
        <v>70125</v>
      </c>
      <c r="AH26" s="1359">
        <f t="shared" si="178"/>
        <v>70125</v>
      </c>
      <c r="AI26" s="848">
        <f t="shared" si="179"/>
        <v>0</v>
      </c>
      <c r="AJ26" s="1386">
        <f t="shared" si="8"/>
        <v>70125</v>
      </c>
      <c r="AK26" s="1387">
        <f t="shared" si="9"/>
        <v>70125</v>
      </c>
      <c r="AL26" s="1386">
        <f>'[1]Дотация  из  ОБ_факт'!AE22</f>
        <v>0</v>
      </c>
      <c r="AM26" s="884"/>
      <c r="AN26" s="1012">
        <f>'Проверочная  таблица'!UT26+'Проверочная  таблица'!UV26+BL26+BN26+BZ26+CB26+AZ26+BD26+'Проверочная  таблица'!MT26+'Проверочная  таблица'!NJ26+'Проверочная  таблица'!DT26+'Проверочная  таблица'!OB26+DL26+'Проверочная  таблица'!JJ26+'Проверочная  таблица'!JP26+'Проверочная  таблица'!OJ26+'Проверочная  таблица'!OR26+JD26+AP26+AV26+ET26+EZ26+CN26+SP26+DZ26+TD26+PZ26+EF26+EN26+LN26+LV26+SJ26+GN26+RV26+QX26+KH26+KR26+RD26+SB26+CH26+QR26+HD26+FX26+HJ26+HP26+FR26+DB26+PP26+BT26+IH26+IX26+GV26+GD26+IN26</f>
        <v>141944415.34999999</v>
      </c>
      <c r="AO26" s="1013">
        <f>'Проверочная  таблица'!UU26+'Проверочная  таблица'!UW26+BM26+BO26+CA26+CC26+BB26+BF26+'Проверочная  таблица'!NB26+'Проверочная  таблица'!NM26+'Проверочная  таблица'!DW26+'Проверочная  таблица'!OF26+DP26+'Проверочная  таблица'!JM26+'Проверочная  таблица'!JS26+'Проверочная  таблица'!ON26+'Проверочная  таблица'!OV26+JG26+AS26+AX26+EW26+FC26+CU26+SW26+EC26+TK26+QC26+EJ26+EQ26+LR26+LZ26+SM26+GR26+RY26+RA26+KM26+KW26+RG26+SF26+CK26+QU26+HG26+GA26+HM26+HS26+FU26+DE26+PU26+BW26+IK26+JA26+GX26+GG26+IQ26</f>
        <v>56482161.530000001</v>
      </c>
      <c r="AP26" s="1050">
        <f t="shared" si="10"/>
        <v>31928425.460000001</v>
      </c>
      <c r="AQ26" s="885">
        <f>[1]Субсидия_факт!HV24</f>
        <v>31928425.460000001</v>
      </c>
      <c r="AR26" s="866">
        <f>[1]Субсидия_факт!MR24</f>
        <v>0</v>
      </c>
      <c r="AS26" s="1050">
        <f t="shared" si="11"/>
        <v>4781422.42</v>
      </c>
      <c r="AT26" s="866">
        <v>4781422.42</v>
      </c>
      <c r="AU26" s="885"/>
      <c r="AV26" s="1003">
        <f t="shared" si="12"/>
        <v>0</v>
      </c>
      <c r="AW26" s="866">
        <f>[1]Субсидия_факт!MV24</f>
        <v>0</v>
      </c>
      <c r="AX26" s="1360">
        <f t="shared" si="13"/>
        <v>0</v>
      </c>
      <c r="AY26" s="866"/>
      <c r="AZ26" s="897">
        <f t="shared" si="14"/>
        <v>0</v>
      </c>
      <c r="BA26" s="866">
        <f>[1]Субсидия_факт!KZ24</f>
        <v>0</v>
      </c>
      <c r="BB26" s="1050">
        <f t="shared" si="15"/>
        <v>0</v>
      </c>
      <c r="BC26" s="866"/>
      <c r="BD26" s="897">
        <f t="shared" si="16"/>
        <v>0</v>
      </c>
      <c r="BE26" s="866">
        <f>[1]Субсидия_факт!LB24</f>
        <v>0</v>
      </c>
      <c r="BF26" s="1050">
        <f t="shared" si="17"/>
        <v>0</v>
      </c>
      <c r="BG26" s="866"/>
      <c r="BH26" s="1373">
        <f t="shared" si="18"/>
        <v>0</v>
      </c>
      <c r="BI26" s="879">
        <f t="shared" si="19"/>
        <v>0</v>
      </c>
      <c r="BJ26" s="1390">
        <f t="shared" si="20"/>
        <v>0</v>
      </c>
      <c r="BK26" s="1373">
        <f t="shared" si="21"/>
        <v>0</v>
      </c>
      <c r="BL26" s="897">
        <f>[1]Субсидия_факт!GV24</f>
        <v>0</v>
      </c>
      <c r="BM26" s="886"/>
      <c r="BN26" s="1391">
        <f>[1]Субсидия_факт!GX24</f>
        <v>0</v>
      </c>
      <c r="BO26" s="887"/>
      <c r="BP26" s="1390">
        <f t="shared" si="22"/>
        <v>0</v>
      </c>
      <c r="BQ26" s="1373">
        <f t="shared" si="22"/>
        <v>0</v>
      </c>
      <c r="BR26" s="879">
        <f>[1]Субсидия_факт!GZ24</f>
        <v>0</v>
      </c>
      <c r="BS26" s="881"/>
      <c r="BT26" s="897">
        <f t="shared" si="23"/>
        <v>20694920.82</v>
      </c>
      <c r="BU26" s="862">
        <f>[1]Субсидия_факт!HL24</f>
        <v>20694920.82</v>
      </c>
      <c r="BV26" s="866">
        <f>[1]Субсидия_факт!HN24</f>
        <v>0</v>
      </c>
      <c r="BW26" s="1050">
        <f t="shared" si="24"/>
        <v>0</v>
      </c>
      <c r="BX26" s="866"/>
      <c r="BY26" s="866"/>
      <c r="BZ26" s="1050">
        <f>[1]Субсидия_факт!HB24</f>
        <v>0</v>
      </c>
      <c r="CA26" s="888"/>
      <c r="CB26" s="1050">
        <f>[1]Субсидия_факт!HD24</f>
        <v>0</v>
      </c>
      <c r="CC26" s="887"/>
      <c r="CD26" s="1367">
        <f t="shared" si="25"/>
        <v>0</v>
      </c>
      <c r="CE26" s="878">
        <f t="shared" si="25"/>
        <v>0</v>
      </c>
      <c r="CF26" s="1368">
        <f>[1]Субсидия_факт!HF24</f>
        <v>0</v>
      </c>
      <c r="CG26" s="849"/>
      <c r="CH26" s="897">
        <f t="shared" si="26"/>
        <v>0</v>
      </c>
      <c r="CI26" s="862">
        <f>[1]Субсидия_факт!HP24</f>
        <v>0</v>
      </c>
      <c r="CJ26" s="866">
        <f>[1]Субсидия_факт!HR24</f>
        <v>0</v>
      </c>
      <c r="CK26" s="1050">
        <f t="shared" si="27"/>
        <v>0</v>
      </c>
      <c r="CL26" s="866"/>
      <c r="CM26" s="866"/>
      <c r="CN26" s="1003">
        <f t="shared" si="28"/>
        <v>0</v>
      </c>
      <c r="CO26" s="859">
        <f>[1]Субсидия_факт!LR24</f>
        <v>0</v>
      </c>
      <c r="CP26" s="858">
        <f>[1]Субсидия_факт!LT24</f>
        <v>0</v>
      </c>
      <c r="CQ26" s="850">
        <f>[1]Субсидия_факт!LV24</f>
        <v>0</v>
      </c>
      <c r="CR26" s="858">
        <f>[1]Субсидия_факт!MB24</f>
        <v>0</v>
      </c>
      <c r="CS26" s="850">
        <f>[1]Субсидия_факт!MH24</f>
        <v>0</v>
      </c>
      <c r="CT26" s="858">
        <f>[1]Субсидия_факт!MJ24</f>
        <v>0</v>
      </c>
      <c r="CU26" s="1003">
        <f t="shared" si="29"/>
        <v>0</v>
      </c>
      <c r="CV26" s="851"/>
      <c r="CW26" s="858"/>
      <c r="CX26" s="850"/>
      <c r="CY26" s="858"/>
      <c r="CZ26" s="850"/>
      <c r="DA26" s="858"/>
      <c r="DB26" s="1013">
        <f t="shared" si="205"/>
        <v>0</v>
      </c>
      <c r="DC26" s="859">
        <f>[1]Субсидия_факт!LX24</f>
        <v>0</v>
      </c>
      <c r="DD26" s="858">
        <f>[1]Субсидия_факт!MD24</f>
        <v>0</v>
      </c>
      <c r="DE26" s="1003">
        <f t="shared" si="31"/>
        <v>0</v>
      </c>
      <c r="DF26" s="859"/>
      <c r="DG26" s="860"/>
      <c r="DH26" s="1367">
        <f t="shared" si="206"/>
        <v>0</v>
      </c>
      <c r="DI26" s="878">
        <f t="shared" si="207"/>
        <v>0</v>
      </c>
      <c r="DJ26" s="1368">
        <f t="shared" si="208"/>
        <v>0</v>
      </c>
      <c r="DK26" s="849">
        <f t="shared" si="209"/>
        <v>0</v>
      </c>
      <c r="DL26" s="1050">
        <f t="shared" si="210"/>
        <v>0</v>
      </c>
      <c r="DM26" s="885">
        <f>[1]Субсидия_факт!R24</f>
        <v>0</v>
      </c>
      <c r="DN26" s="862">
        <f>[1]Субсидия_факт!T24</f>
        <v>0</v>
      </c>
      <c r="DO26" s="866">
        <f>[1]Субсидия_факт!V24</f>
        <v>0</v>
      </c>
      <c r="DP26" s="1050">
        <f t="shared" si="211"/>
        <v>0</v>
      </c>
      <c r="DQ26" s="866"/>
      <c r="DR26" s="866"/>
      <c r="DS26" s="866"/>
      <c r="DT26" s="897">
        <f t="shared" si="32"/>
        <v>0</v>
      </c>
      <c r="DU26" s="862">
        <f>[1]Субсидия_факт!AX24</f>
        <v>0</v>
      </c>
      <c r="DV26" s="863">
        <f>[1]Субсидия_факт!AZ24</f>
        <v>0</v>
      </c>
      <c r="DW26" s="1050">
        <f t="shared" ref="DW26:DW29" si="252">SUM(DX26:DY26)</f>
        <v>0</v>
      </c>
      <c r="DX26" s="885"/>
      <c r="DY26" s="889"/>
      <c r="DZ26" s="897">
        <f t="shared" si="34"/>
        <v>0</v>
      </c>
      <c r="EA26" s="862">
        <f>[1]Субсидия_факт!X24</f>
        <v>0</v>
      </c>
      <c r="EB26" s="863">
        <f>[1]Субсидия_факт!Z24</f>
        <v>0</v>
      </c>
      <c r="EC26" s="1050">
        <f t="shared" si="35"/>
        <v>0</v>
      </c>
      <c r="ED26" s="862"/>
      <c r="EE26" s="863"/>
      <c r="EF26" s="1013">
        <f t="shared" si="212"/>
        <v>0</v>
      </c>
      <c r="EG26" s="859">
        <f>[1]Субсидия_факт!AP24</f>
        <v>0</v>
      </c>
      <c r="EH26" s="859">
        <f>[1]Субсидия_факт!AL24</f>
        <v>0</v>
      </c>
      <c r="EI26" s="860">
        <f>[1]Субсидия_факт!AN24</f>
        <v>0</v>
      </c>
      <c r="EJ26" s="1013">
        <f t="shared" si="36"/>
        <v>0</v>
      </c>
      <c r="EK26" s="859"/>
      <c r="EL26" s="859"/>
      <c r="EM26" s="860"/>
      <c r="EN26" s="1013">
        <f t="shared" si="37"/>
        <v>0</v>
      </c>
      <c r="EO26" s="859">
        <f>[1]Субсидия_факт!HH24</f>
        <v>0</v>
      </c>
      <c r="EP26" s="858">
        <f>[1]Субсидия_факт!HJ24</f>
        <v>0</v>
      </c>
      <c r="EQ26" s="1003">
        <f t="shared" si="38"/>
        <v>0</v>
      </c>
      <c r="ER26" s="859"/>
      <c r="ES26" s="858"/>
      <c r="ET26" s="1013">
        <f t="shared" si="39"/>
        <v>0</v>
      </c>
      <c r="EU26" s="862">
        <f>[1]Субсидия_факт!PK24</f>
        <v>0</v>
      </c>
      <c r="EV26" s="863">
        <f>[1]Субсидия_факт!PQ24</f>
        <v>0</v>
      </c>
      <c r="EW26" s="1003">
        <f t="shared" si="40"/>
        <v>0</v>
      </c>
      <c r="EX26" s="859"/>
      <c r="EY26" s="860"/>
      <c r="EZ26" s="1013">
        <f t="shared" si="41"/>
        <v>2384624.2599999998</v>
      </c>
      <c r="FA26" s="859">
        <f>[1]Субсидия_факт!PM24</f>
        <v>622417.85999999987</v>
      </c>
      <c r="FB26" s="858">
        <f>[1]Субсидия_факт!PS24</f>
        <v>1762206.4</v>
      </c>
      <c r="FC26" s="1003">
        <f t="shared" si="42"/>
        <v>1951271.4199999997</v>
      </c>
      <c r="FD26" s="859">
        <v>509307.14999999997</v>
      </c>
      <c r="FE26" s="860">
        <v>1441964.2699999998</v>
      </c>
      <c r="FF26" s="1369">
        <f t="shared" si="43"/>
        <v>2384624.2599999998</v>
      </c>
      <c r="FG26" s="859">
        <f t="shared" si="44"/>
        <v>622417.85999999987</v>
      </c>
      <c r="FH26" s="858">
        <f t="shared" si="44"/>
        <v>1762206.4</v>
      </c>
      <c r="FI26" s="878">
        <f t="shared" si="45"/>
        <v>1951271.4199999997</v>
      </c>
      <c r="FJ26" s="859">
        <f t="shared" si="46"/>
        <v>509307.14999999997</v>
      </c>
      <c r="FK26" s="858">
        <f t="shared" si="46"/>
        <v>1441964.2699999998</v>
      </c>
      <c r="FL26" s="1369">
        <f t="shared" si="47"/>
        <v>0</v>
      </c>
      <c r="FM26" s="859">
        <f>[1]Субсидия_факт!PO24</f>
        <v>0</v>
      </c>
      <c r="FN26" s="858">
        <f>[1]Субсидия_факт!PU24</f>
        <v>0</v>
      </c>
      <c r="FO26" s="878">
        <f t="shared" si="48"/>
        <v>0</v>
      </c>
      <c r="FP26" s="859"/>
      <c r="FQ26" s="860"/>
      <c r="FR26" s="1013">
        <f t="shared" si="49"/>
        <v>0</v>
      </c>
      <c r="FS26" s="862">
        <f>[1]Субсидия_факт!EP24</f>
        <v>0</v>
      </c>
      <c r="FT26" s="863">
        <f>[1]Субсидия_факт!ER24</f>
        <v>0</v>
      </c>
      <c r="FU26" s="1371">
        <f t="shared" si="50"/>
        <v>0</v>
      </c>
      <c r="FV26" s="862"/>
      <c r="FW26" s="863"/>
      <c r="FX26" s="897">
        <f t="shared" si="51"/>
        <v>0</v>
      </c>
      <c r="FY26" s="862">
        <f>[1]Субсидия_факт!JN24</f>
        <v>0</v>
      </c>
      <c r="FZ26" s="863">
        <f>[1]Субсидия_факт!JP24</f>
        <v>0</v>
      </c>
      <c r="GA26" s="897">
        <f t="shared" si="52"/>
        <v>0</v>
      </c>
      <c r="GB26" s="862"/>
      <c r="GC26" s="863"/>
      <c r="GD26" s="1372">
        <f t="shared" si="53"/>
        <v>0</v>
      </c>
      <c r="GE26" s="859">
        <f>[1]Субсидия_факт!JR24</f>
        <v>0</v>
      </c>
      <c r="GF26" s="860">
        <f>[1]Субсидия_факт!JV24</f>
        <v>0</v>
      </c>
      <c r="GG26" s="1372">
        <f t="shared" si="54"/>
        <v>0</v>
      </c>
      <c r="GH26" s="862"/>
      <c r="GI26" s="889"/>
      <c r="GJ26" s="1373">
        <f t="shared" si="213"/>
        <v>0</v>
      </c>
      <c r="GK26" s="879">
        <f t="shared" si="214"/>
        <v>0</v>
      </c>
      <c r="GL26" s="1390">
        <f t="shared" si="215"/>
        <v>0</v>
      </c>
      <c r="GM26" s="879">
        <f t="shared" si="216"/>
        <v>0</v>
      </c>
      <c r="GN26" s="1371">
        <f t="shared" si="55"/>
        <v>0</v>
      </c>
      <c r="GO26" s="862">
        <f>[1]Субсидия_факт!KL24</f>
        <v>0</v>
      </c>
      <c r="GP26" s="863">
        <f>[1]Субсидия_факт!KN24</f>
        <v>0</v>
      </c>
      <c r="GQ26" s="862">
        <f>[1]Субсидия_факт!KP24</f>
        <v>0</v>
      </c>
      <c r="GR26" s="897">
        <f t="shared" si="56"/>
        <v>0</v>
      </c>
      <c r="GS26" s="862"/>
      <c r="GT26" s="863"/>
      <c r="GU26" s="866"/>
      <c r="GV26" s="1372">
        <f t="shared" si="217"/>
        <v>0</v>
      </c>
      <c r="GW26" s="862">
        <f>[1]Субсидия_факт!KR24</f>
        <v>0</v>
      </c>
      <c r="GX26" s="1372">
        <f t="shared" si="217"/>
        <v>0</v>
      </c>
      <c r="GY26" s="866"/>
      <c r="GZ26" s="1373">
        <f t="shared" si="218"/>
        <v>0</v>
      </c>
      <c r="HA26" s="1373">
        <f t="shared" si="219"/>
        <v>0</v>
      </c>
      <c r="HB26" s="1373">
        <f t="shared" si="220"/>
        <v>0</v>
      </c>
      <c r="HC26" s="1373">
        <f t="shared" si="221"/>
        <v>0</v>
      </c>
      <c r="HD26" s="897">
        <f t="shared" si="57"/>
        <v>0</v>
      </c>
      <c r="HE26" s="862">
        <f>[1]Субсидия_факт!KV24</f>
        <v>0</v>
      </c>
      <c r="HF26" s="863">
        <f>[1]Субсидия_факт!KX24</f>
        <v>0</v>
      </c>
      <c r="HG26" s="1050">
        <f t="shared" si="58"/>
        <v>0</v>
      </c>
      <c r="HH26" s="862"/>
      <c r="HI26" s="863"/>
      <c r="HJ26" s="897">
        <f t="shared" si="59"/>
        <v>0</v>
      </c>
      <c r="HK26" s="862"/>
      <c r="HL26" s="863"/>
      <c r="HM26" s="1050">
        <f t="shared" si="60"/>
        <v>0</v>
      </c>
      <c r="HN26" s="862"/>
      <c r="HO26" s="863"/>
      <c r="HP26" s="897">
        <f t="shared" si="61"/>
        <v>0</v>
      </c>
      <c r="HQ26" s="862">
        <f>[1]Субсидия_факт!FV24</f>
        <v>0</v>
      </c>
      <c r="HR26" s="863">
        <f>[1]Субсидия_факт!FZ24</f>
        <v>0</v>
      </c>
      <c r="HS26" s="1050">
        <f t="shared" si="62"/>
        <v>0</v>
      </c>
      <c r="HT26" s="862"/>
      <c r="HU26" s="863"/>
      <c r="HV26" s="1369">
        <f t="shared" si="63"/>
        <v>0</v>
      </c>
      <c r="HW26" s="859">
        <f t="shared" si="64"/>
        <v>0</v>
      </c>
      <c r="HX26" s="858">
        <f t="shared" si="64"/>
        <v>0</v>
      </c>
      <c r="HY26" s="878">
        <f t="shared" si="65"/>
        <v>0</v>
      </c>
      <c r="HZ26" s="859">
        <f t="shared" si="66"/>
        <v>0</v>
      </c>
      <c r="IA26" s="858">
        <f t="shared" si="66"/>
        <v>0</v>
      </c>
      <c r="IB26" s="1369">
        <f t="shared" si="67"/>
        <v>0</v>
      </c>
      <c r="IC26" s="859">
        <f>[1]Субсидия_факт!FX24</f>
        <v>0</v>
      </c>
      <c r="ID26" s="858">
        <f>[1]Субсидия_факт!GB24</f>
        <v>0</v>
      </c>
      <c r="IE26" s="878">
        <f t="shared" si="68"/>
        <v>0</v>
      </c>
      <c r="IF26" s="859">
        <f t="shared" si="187"/>
        <v>0</v>
      </c>
      <c r="IG26" s="860">
        <f t="shared" si="188"/>
        <v>0</v>
      </c>
      <c r="IH26" s="897">
        <f t="shared" si="69"/>
        <v>0</v>
      </c>
      <c r="II26" s="859">
        <f>[1]Субсидия_факт!ED24</f>
        <v>0</v>
      </c>
      <c r="IJ26" s="860">
        <f>[1]Субсидия_факт!EF24</f>
        <v>0</v>
      </c>
      <c r="IK26" s="1050">
        <f t="shared" si="70"/>
        <v>0</v>
      </c>
      <c r="IL26" s="862"/>
      <c r="IM26" s="863"/>
      <c r="IN26" s="1372">
        <f t="shared" si="71"/>
        <v>0</v>
      </c>
      <c r="IO26" s="859">
        <f>[1]Субсидия_факт!EH24</f>
        <v>0</v>
      </c>
      <c r="IP26" s="860">
        <f>[1]Субсидия_факт!EL24</f>
        <v>0</v>
      </c>
      <c r="IQ26" s="1392">
        <f t="shared" si="72"/>
        <v>0</v>
      </c>
      <c r="IR26" s="862"/>
      <c r="IS26" s="889"/>
      <c r="IT26" s="1373">
        <f t="shared" si="222"/>
        <v>0</v>
      </c>
      <c r="IU26" s="1373">
        <f t="shared" si="223"/>
        <v>0</v>
      </c>
      <c r="IV26" s="1373">
        <f t="shared" si="224"/>
        <v>0</v>
      </c>
      <c r="IW26" s="879">
        <f t="shared" si="225"/>
        <v>0</v>
      </c>
      <c r="IX26" s="1371">
        <f t="shared" si="73"/>
        <v>0</v>
      </c>
      <c r="IY26" s="859">
        <f>[1]Субсидия_факт!BX24</f>
        <v>0</v>
      </c>
      <c r="IZ26" s="860">
        <f>[1]Субсидия_факт!BZ24</f>
        <v>0</v>
      </c>
      <c r="JA26" s="1050">
        <f t="shared" si="74"/>
        <v>0</v>
      </c>
      <c r="JB26" s="862"/>
      <c r="JC26" s="863"/>
      <c r="JD26" s="897">
        <f t="shared" si="75"/>
        <v>0</v>
      </c>
      <c r="JE26" s="862">
        <f>[1]Субсидия_факт!ET24</f>
        <v>0</v>
      </c>
      <c r="JF26" s="863">
        <f>[1]Субсидия_факт!EV24</f>
        <v>0</v>
      </c>
      <c r="JG26" s="1050">
        <f t="shared" si="76"/>
        <v>0</v>
      </c>
      <c r="JH26" s="862"/>
      <c r="JI26" s="863"/>
      <c r="JJ26" s="1003">
        <f t="shared" si="77"/>
        <v>0</v>
      </c>
      <c r="JK26" s="859">
        <f>[1]Субсидия_факт!EX24</f>
        <v>0</v>
      </c>
      <c r="JL26" s="858">
        <f>[1]Субсидия_факт!FD24</f>
        <v>0</v>
      </c>
      <c r="JM26" s="1003">
        <f t="shared" si="78"/>
        <v>0</v>
      </c>
      <c r="JN26" s="859"/>
      <c r="JO26" s="860"/>
      <c r="JP26" s="1003">
        <f t="shared" si="79"/>
        <v>0</v>
      </c>
      <c r="JQ26" s="859">
        <f>[1]Субсидия_факт!EZ24</f>
        <v>0</v>
      </c>
      <c r="JR26" s="860">
        <f>[1]Субсидия_факт!FF24</f>
        <v>0</v>
      </c>
      <c r="JS26" s="1003">
        <f t="shared" si="80"/>
        <v>0</v>
      </c>
      <c r="JT26" s="850"/>
      <c r="JU26" s="864"/>
      <c r="JV26" s="878">
        <f t="shared" si="81"/>
        <v>-204047.43</v>
      </c>
      <c r="JW26" s="851">
        <f>'Проверочная  таблица'!JQ26-'Проверочная  таблица'!KC26</f>
        <v>-53052.329999999987</v>
      </c>
      <c r="JX26" s="860">
        <f>'Проверочная  таблица'!JR26-'Проверочная  таблица'!KD26</f>
        <v>-150995.1</v>
      </c>
      <c r="JY26" s="1368">
        <f t="shared" si="82"/>
        <v>0</v>
      </c>
      <c r="JZ26" s="850">
        <f>'Проверочная  таблица'!JT26-'Проверочная  таблица'!KF26</f>
        <v>0</v>
      </c>
      <c r="KA26" s="867">
        <f>'Проверочная  таблица'!JU26-'Проверочная  таблица'!KG26</f>
        <v>0</v>
      </c>
      <c r="KB26" s="878">
        <f t="shared" si="83"/>
        <v>204047.43</v>
      </c>
      <c r="KC26" s="859">
        <f>[1]Субсидия_факт!FB24</f>
        <v>53052.329999999987</v>
      </c>
      <c r="KD26" s="858">
        <f>[1]Субсидия_факт!FH24</f>
        <v>150995.1</v>
      </c>
      <c r="KE26" s="878">
        <f t="shared" ref="KE26:KE29" si="253">SUM(KF26:KG26)</f>
        <v>0</v>
      </c>
      <c r="KF26" s="859"/>
      <c r="KG26" s="860"/>
      <c r="KH26" s="1352">
        <f t="shared" si="226"/>
        <v>460205.67000000004</v>
      </c>
      <c r="KI26" s="850">
        <f>[1]Субсидия_факт!OD24</f>
        <v>105320</v>
      </c>
      <c r="KJ26" s="860">
        <f>[1]Субсидия_факт!OJ24</f>
        <v>211295.67</v>
      </c>
      <c r="KK26" s="850">
        <f>[1]Субсидия_факт!OR24</f>
        <v>52201.81</v>
      </c>
      <c r="KL26" s="860">
        <f>[1]Субсидия_факт!OT24</f>
        <v>91388.19</v>
      </c>
      <c r="KM26" s="1352">
        <f t="shared" si="85"/>
        <v>0</v>
      </c>
      <c r="KN26" s="850"/>
      <c r="KO26" s="860"/>
      <c r="KP26" s="850"/>
      <c r="KQ26" s="860"/>
      <c r="KR26" s="1352">
        <f t="shared" si="227"/>
        <v>51600</v>
      </c>
      <c r="KS26" s="885">
        <f>[1]Субсидия_факт!OF24</f>
        <v>51600</v>
      </c>
      <c r="KT26" s="863">
        <f>[1]Субсидия_факт!OL24</f>
        <v>0</v>
      </c>
      <c r="KU26" s="885"/>
      <c r="KV26" s="863"/>
      <c r="KW26" s="1352">
        <f t="shared" si="86"/>
        <v>0</v>
      </c>
      <c r="KX26" s="850"/>
      <c r="KY26" s="860"/>
      <c r="KZ26" s="850"/>
      <c r="LA26" s="860"/>
      <c r="LB26" s="1354">
        <f t="shared" si="87"/>
        <v>-40390</v>
      </c>
      <c r="LC26" s="885">
        <f t="shared" si="88"/>
        <v>-40390</v>
      </c>
      <c r="LD26" s="863">
        <f t="shared" si="88"/>
        <v>0</v>
      </c>
      <c r="LE26" s="1354">
        <f t="shared" si="89"/>
        <v>0</v>
      </c>
      <c r="LF26" s="885">
        <f t="shared" si="90"/>
        <v>0</v>
      </c>
      <c r="LG26" s="863">
        <f t="shared" si="90"/>
        <v>0</v>
      </c>
      <c r="LH26" s="1354">
        <f t="shared" si="91"/>
        <v>91990</v>
      </c>
      <c r="LI26" s="859">
        <f>[1]Субсидия_факт!OH24</f>
        <v>91990</v>
      </c>
      <c r="LJ26" s="858">
        <f>[1]Субсидия_факт!ON24</f>
        <v>0</v>
      </c>
      <c r="LK26" s="1354">
        <f t="shared" si="92"/>
        <v>0</v>
      </c>
      <c r="LL26" s="851"/>
      <c r="LM26" s="860"/>
      <c r="LN26" s="1050">
        <f t="shared" si="228"/>
        <v>0</v>
      </c>
      <c r="LO26" s="865">
        <f>[1]Субсидия_факт!DP24</f>
        <v>0</v>
      </c>
      <c r="LP26" s="850">
        <f>[1]Субсидия_факт!CB24</f>
        <v>0</v>
      </c>
      <c r="LQ26" s="860">
        <f>[1]Субсидия_факт!CH24</f>
        <v>0</v>
      </c>
      <c r="LR26" s="1050">
        <f t="shared" si="93"/>
        <v>0</v>
      </c>
      <c r="LS26" s="865"/>
      <c r="LT26" s="850"/>
      <c r="LU26" s="860"/>
      <c r="LV26" s="1050">
        <f t="shared" si="229"/>
        <v>0</v>
      </c>
      <c r="LW26" s="865">
        <f>[1]Субсидия_факт!DR24</f>
        <v>0</v>
      </c>
      <c r="LX26" s="850">
        <f>[1]Субсидия_факт!CD24</f>
        <v>0</v>
      </c>
      <c r="LY26" s="860">
        <f>[1]Субсидия_факт!CJ24</f>
        <v>0</v>
      </c>
      <c r="LZ26" s="1050">
        <f t="shared" si="94"/>
        <v>0</v>
      </c>
      <c r="MA26" s="865"/>
      <c r="MB26" s="850"/>
      <c r="MC26" s="858"/>
      <c r="MD26" s="879">
        <f t="shared" si="95"/>
        <v>0</v>
      </c>
      <c r="ME26" s="862">
        <f>'Проверочная  таблица'!LW26-MM26</f>
        <v>0</v>
      </c>
      <c r="MF26" s="862">
        <f>'Проверочная  таблица'!LX26-MN26</f>
        <v>0</v>
      </c>
      <c r="MG26" s="863">
        <f>'Проверочная  таблица'!LY26-MO26</f>
        <v>0</v>
      </c>
      <c r="MH26" s="879">
        <f t="shared" si="96"/>
        <v>0</v>
      </c>
      <c r="MI26" s="862">
        <f>'Проверочная  таблица'!MA26-MQ26</f>
        <v>0</v>
      </c>
      <c r="MJ26" s="862">
        <f>'Проверочная  таблица'!MB26-MR26</f>
        <v>0</v>
      </c>
      <c r="MK26" s="863">
        <f>'Проверочная  таблица'!MC26-MS26</f>
        <v>0</v>
      </c>
      <c r="ML26" s="879">
        <f t="shared" si="97"/>
        <v>0</v>
      </c>
      <c r="MM26" s="850">
        <f>[1]Субсидия_факт!DT24</f>
        <v>0</v>
      </c>
      <c r="MN26" s="850">
        <f>[1]Субсидия_факт!CF24</f>
        <v>0</v>
      </c>
      <c r="MO26" s="860">
        <f>[1]Субсидия_факт!CL24</f>
        <v>0</v>
      </c>
      <c r="MP26" s="879">
        <f t="shared" si="98"/>
        <v>0</v>
      </c>
      <c r="MQ26" s="850"/>
      <c r="MR26" s="850"/>
      <c r="MS26" s="860"/>
      <c r="MT26" s="1360">
        <f t="shared" si="230"/>
        <v>204047.43</v>
      </c>
      <c r="MU26" s="850">
        <f>[1]Субсидия_факт!CN24</f>
        <v>0</v>
      </c>
      <c r="MV26" s="858">
        <f>[1]Субсидия_факт!CP24</f>
        <v>0</v>
      </c>
      <c r="MW26" s="862">
        <f>[1]Субсидия_факт!CR24</f>
        <v>0</v>
      </c>
      <c r="MX26" s="863">
        <f>[1]Субсидия_факт!CT24</f>
        <v>0</v>
      </c>
      <c r="MY26" s="851">
        <f>[1]Субсидия_факт!DV24</f>
        <v>0</v>
      </c>
      <c r="MZ26" s="859">
        <f>[1]Субсидия_факт!FJ24</f>
        <v>53052.329999999987</v>
      </c>
      <c r="NA26" s="858">
        <f>[1]Субсидия_факт!FP24</f>
        <v>150995.1</v>
      </c>
      <c r="NB26" s="1003">
        <f t="shared" si="99"/>
        <v>204047.43</v>
      </c>
      <c r="NC26" s="850"/>
      <c r="ND26" s="860"/>
      <c r="NE26" s="866"/>
      <c r="NF26" s="890"/>
      <c r="NG26" s="850"/>
      <c r="NH26" s="850">
        <f>MZ26</f>
        <v>53052.329999999987</v>
      </c>
      <c r="NI26" s="860">
        <f t="shared" si="251"/>
        <v>150995.1</v>
      </c>
      <c r="NJ26" s="1003">
        <f t="shared" si="231"/>
        <v>0</v>
      </c>
      <c r="NK26" s="859">
        <f>[1]Субсидия_факт!FL24</f>
        <v>0</v>
      </c>
      <c r="NL26" s="858">
        <f>[1]Субсидия_факт!FR24</f>
        <v>0</v>
      </c>
      <c r="NM26" s="1003">
        <f t="shared" si="101"/>
        <v>0</v>
      </c>
      <c r="NN26" s="851"/>
      <c r="NO26" s="860"/>
      <c r="NP26" s="878">
        <f t="shared" si="102"/>
        <v>0</v>
      </c>
      <c r="NQ26" s="859">
        <f>'Проверочная  таблица'!NK26-NW26</f>
        <v>0</v>
      </c>
      <c r="NR26" s="860">
        <f>'Проверочная  таблица'!NL26-NX26</f>
        <v>0</v>
      </c>
      <c r="NS26" s="878">
        <f t="shared" si="103"/>
        <v>0</v>
      </c>
      <c r="NT26" s="850">
        <f>'Проверочная  таблица'!NN26-NZ26</f>
        <v>0</v>
      </c>
      <c r="NU26" s="867">
        <f>'Проверочная  таблица'!NO26-OA26</f>
        <v>0</v>
      </c>
      <c r="NV26" s="878">
        <f t="shared" si="232"/>
        <v>0</v>
      </c>
      <c r="NW26" s="859">
        <f>[1]Субсидия_факт!FN24</f>
        <v>0</v>
      </c>
      <c r="NX26" s="858">
        <f>[1]Субсидия_факт!FT24</f>
        <v>0</v>
      </c>
      <c r="NY26" s="878">
        <f t="shared" ref="NY26:NY29" si="254">SUM(NZ26:OA26)</f>
        <v>0</v>
      </c>
      <c r="NZ26" s="850"/>
      <c r="OA26" s="860"/>
      <c r="OB26" s="1012">
        <f t="shared" si="233"/>
        <v>0</v>
      </c>
      <c r="OC26" s="859">
        <f>[1]Субсидия_факт!AR24</f>
        <v>0</v>
      </c>
      <c r="OD26" s="858">
        <f>[1]Субсидия_факт!AT24</f>
        <v>0</v>
      </c>
      <c r="OE26" s="859">
        <f>[1]Субсидия_факт!AV24</f>
        <v>0</v>
      </c>
      <c r="OF26" s="1050">
        <f t="shared" si="105"/>
        <v>0</v>
      </c>
      <c r="OG26" s="866"/>
      <c r="OH26" s="863"/>
      <c r="OI26" s="866"/>
      <c r="OJ26" s="1376">
        <f t="shared" si="106"/>
        <v>5000000</v>
      </c>
      <c r="OK26" s="859">
        <f>[1]Субсидия_факт!GD24</f>
        <v>0</v>
      </c>
      <c r="OL26" s="858">
        <f>[1]Субсидия_факт!GJ24</f>
        <v>5000000</v>
      </c>
      <c r="OM26" s="866">
        <f>[1]Субсидия_факт!GP24</f>
        <v>0</v>
      </c>
      <c r="ON26" s="1376">
        <f t="shared" si="107"/>
        <v>0</v>
      </c>
      <c r="OO26" s="851"/>
      <c r="OP26" s="860"/>
      <c r="OQ26" s="850"/>
      <c r="OR26" s="1352">
        <f t="shared" si="234"/>
        <v>5000000</v>
      </c>
      <c r="OS26" s="859">
        <f>[1]Субсидия_факт!GF24</f>
        <v>0</v>
      </c>
      <c r="OT26" s="858">
        <f>[1]Субсидия_факт!GL24</f>
        <v>0</v>
      </c>
      <c r="OU26" s="850">
        <f>[1]Субсидия_факт!GR24</f>
        <v>5000000</v>
      </c>
      <c r="OV26" s="1352">
        <f t="shared" si="108"/>
        <v>0</v>
      </c>
      <c r="OW26" s="850"/>
      <c r="OX26" s="867"/>
      <c r="OY26" s="850">
        <v>0</v>
      </c>
      <c r="OZ26" s="1354">
        <f t="shared" si="109"/>
        <v>5000000</v>
      </c>
      <c r="PA26" s="885">
        <f>'Проверочная  таблица'!OS26-PI26</f>
        <v>0</v>
      </c>
      <c r="PB26" s="863">
        <f>'Проверочная  таблица'!OT26-PJ26</f>
        <v>0</v>
      </c>
      <c r="PC26" s="866">
        <f>'Проверочная  таблица'!OU26-PK26</f>
        <v>5000000</v>
      </c>
      <c r="PD26" s="1354">
        <f t="shared" si="235"/>
        <v>0</v>
      </c>
      <c r="PE26" s="851">
        <f>'Проверочная  таблица'!OW26-PM26</f>
        <v>0</v>
      </c>
      <c r="PF26" s="860">
        <f>'Проверочная  таблица'!OX26-PN26</f>
        <v>0</v>
      </c>
      <c r="PG26" s="850">
        <f>'Проверочная  таблица'!OY26-PO26</f>
        <v>0</v>
      </c>
      <c r="PH26" s="1354">
        <f t="shared" si="110"/>
        <v>0</v>
      </c>
      <c r="PI26" s="859">
        <f>[1]Субсидия_факт!GH24</f>
        <v>0</v>
      </c>
      <c r="PJ26" s="858">
        <f>[1]Субсидия_факт!GN24</f>
        <v>0</v>
      </c>
      <c r="PK26" s="859">
        <f>[1]Субсидия_факт!GT24</f>
        <v>0</v>
      </c>
      <c r="PL26" s="1354">
        <f t="shared" si="111"/>
        <v>0</v>
      </c>
      <c r="PM26" s="851">
        <f t="shared" si="191"/>
        <v>0</v>
      </c>
      <c r="PN26" s="860">
        <f t="shared" si="192"/>
        <v>0</v>
      </c>
      <c r="PO26" s="859"/>
      <c r="PP26" s="1003">
        <f t="shared" si="193"/>
        <v>0</v>
      </c>
      <c r="PQ26" s="862">
        <f>[1]Субсидия_факт!JB24</f>
        <v>0</v>
      </c>
      <c r="PR26" s="863">
        <f>[1]Субсидия_факт!JH24</f>
        <v>0</v>
      </c>
      <c r="PS26" s="862"/>
      <c r="PT26" s="863"/>
      <c r="PU26" s="1003">
        <f t="shared" si="194"/>
        <v>0</v>
      </c>
      <c r="PV26" s="866"/>
      <c r="PW26" s="890"/>
      <c r="PX26" s="866"/>
      <c r="PY26" s="890"/>
      <c r="PZ26" s="1050">
        <f t="shared" si="112"/>
        <v>0</v>
      </c>
      <c r="QA26" s="862">
        <f>[1]Субсидия_факт!JD24</f>
        <v>0</v>
      </c>
      <c r="QB26" s="863">
        <f>[1]Субсидия_факт!JJ24</f>
        <v>0</v>
      </c>
      <c r="QC26" s="1391">
        <f t="shared" si="113"/>
        <v>0</v>
      </c>
      <c r="QD26" s="866"/>
      <c r="QE26" s="890"/>
      <c r="QF26" s="879">
        <f t="shared" si="236"/>
        <v>0</v>
      </c>
      <c r="QG26" s="866">
        <f t="shared" si="114"/>
        <v>0</v>
      </c>
      <c r="QH26" s="863">
        <f t="shared" si="114"/>
        <v>0</v>
      </c>
      <c r="QI26" s="1373">
        <f t="shared" si="115"/>
        <v>0</v>
      </c>
      <c r="QJ26" s="862">
        <f t="shared" si="116"/>
        <v>0</v>
      </c>
      <c r="QK26" s="863">
        <f t="shared" si="116"/>
        <v>0</v>
      </c>
      <c r="QL26" s="1373">
        <f t="shared" si="117"/>
        <v>0</v>
      </c>
      <c r="QM26" s="862">
        <f>[1]Субсидия_факт!JF24</f>
        <v>0</v>
      </c>
      <c r="QN26" s="863">
        <f>[1]Субсидия_факт!JL24</f>
        <v>0</v>
      </c>
      <c r="QO26" s="879">
        <f t="shared" si="237"/>
        <v>0</v>
      </c>
      <c r="QP26" s="866"/>
      <c r="QQ26" s="890"/>
      <c r="QR26" s="897">
        <f t="shared" si="118"/>
        <v>0</v>
      </c>
      <c r="QS26" s="862">
        <f>[1]Субсидия_факт!CV24</f>
        <v>0</v>
      </c>
      <c r="QT26" s="863">
        <f>[1]Субсидия_факт!CX24</f>
        <v>0</v>
      </c>
      <c r="QU26" s="1050">
        <f t="shared" si="119"/>
        <v>0</v>
      </c>
      <c r="QV26" s="862"/>
      <c r="QW26" s="863"/>
      <c r="QX26" s="897">
        <f t="shared" si="120"/>
        <v>0</v>
      </c>
      <c r="QY26" s="862">
        <f>[1]Субсидия_факт!CZ24</f>
        <v>0</v>
      </c>
      <c r="QZ26" s="863">
        <f>[1]Субсидия_факт!DF24</f>
        <v>0</v>
      </c>
      <c r="RA26" s="1050">
        <f t="shared" si="121"/>
        <v>0</v>
      </c>
      <c r="RB26" s="862"/>
      <c r="RC26" s="863"/>
      <c r="RD26" s="897">
        <f t="shared" si="122"/>
        <v>0</v>
      </c>
      <c r="RE26" s="862">
        <f>[1]Субсидия_факт!DB24</f>
        <v>0</v>
      </c>
      <c r="RF26" s="863">
        <f>[1]Субсидия_факт!DH24</f>
        <v>0</v>
      </c>
      <c r="RG26" s="1050">
        <f t="shared" si="123"/>
        <v>0</v>
      </c>
      <c r="RH26" s="862"/>
      <c r="RI26" s="863"/>
      <c r="RJ26" s="1373">
        <f t="shared" si="124"/>
        <v>0</v>
      </c>
      <c r="RK26" s="862">
        <f t="shared" si="125"/>
        <v>0</v>
      </c>
      <c r="RL26" s="863">
        <f t="shared" si="125"/>
        <v>0</v>
      </c>
      <c r="RM26" s="879">
        <f t="shared" si="126"/>
        <v>0</v>
      </c>
      <c r="RN26" s="862">
        <f t="shared" si="127"/>
        <v>0</v>
      </c>
      <c r="RO26" s="863">
        <f t="shared" si="127"/>
        <v>0</v>
      </c>
      <c r="RP26" s="1373">
        <f t="shared" si="128"/>
        <v>0</v>
      </c>
      <c r="RQ26" s="862">
        <f>[1]Субсидия_факт!DD24</f>
        <v>0</v>
      </c>
      <c r="RR26" s="863">
        <f>[1]Субсидия_факт!DJ24</f>
        <v>0</v>
      </c>
      <c r="RS26" s="879">
        <f t="shared" si="129"/>
        <v>0</v>
      </c>
      <c r="RT26" s="862"/>
      <c r="RU26" s="863"/>
      <c r="RV26" s="897">
        <f t="shared" si="130"/>
        <v>0</v>
      </c>
      <c r="RW26" s="862">
        <f>[1]Субсидия_факт!DL24</f>
        <v>0</v>
      </c>
      <c r="RX26" s="863">
        <f>[1]Субсидия_факт!DN24</f>
        <v>0</v>
      </c>
      <c r="RY26" s="1391">
        <f t="shared" si="131"/>
        <v>0</v>
      </c>
      <c r="RZ26" s="885"/>
      <c r="SA26" s="889"/>
      <c r="SB26" s="1050">
        <f t="shared" si="238"/>
        <v>0</v>
      </c>
      <c r="SC26" s="859">
        <f>[1]Субсидия_факт!BJ24</f>
        <v>0</v>
      </c>
      <c r="SD26" s="862">
        <f>[1]Субсидия_факт!BF24</f>
        <v>0</v>
      </c>
      <c r="SE26" s="889">
        <f>[1]Субсидия_факт!BH24</f>
        <v>0</v>
      </c>
      <c r="SF26" s="1050">
        <f t="shared" si="132"/>
        <v>0</v>
      </c>
      <c r="SG26" s="891"/>
      <c r="SH26" s="885"/>
      <c r="SI26" s="889"/>
      <c r="SJ26" s="897">
        <f t="shared" si="133"/>
        <v>0</v>
      </c>
      <c r="SK26" s="862">
        <f>[1]Субсидия_факт!AD24</f>
        <v>0</v>
      </c>
      <c r="SL26" s="863">
        <f>[1]Субсидия_факт!AF24</f>
        <v>0</v>
      </c>
      <c r="SM26" s="1050">
        <f t="shared" si="134"/>
        <v>0</v>
      </c>
      <c r="SN26" s="885"/>
      <c r="SO26" s="889"/>
      <c r="SP26" s="897">
        <f t="shared" si="239"/>
        <v>0</v>
      </c>
      <c r="SQ26" s="862">
        <f>[1]Субсидия_факт!ID24</f>
        <v>0</v>
      </c>
      <c r="SR26" s="863">
        <f>[1]Субсидия_факт!IJ24</f>
        <v>0</v>
      </c>
      <c r="SS26" s="885">
        <f>[1]Субсидия_факт!IP24</f>
        <v>0</v>
      </c>
      <c r="ST26" s="863">
        <f>[1]Субсидия_факт!IV24</f>
        <v>0</v>
      </c>
      <c r="SU26" s="1123">
        <f>[1]Субсидия_факт!JZ24</f>
        <v>0</v>
      </c>
      <c r="SV26" s="889">
        <f>[1]Субсидия_факт!KF24</f>
        <v>0</v>
      </c>
      <c r="SW26" s="1050">
        <f t="shared" si="135"/>
        <v>0</v>
      </c>
      <c r="SX26" s="1244"/>
      <c r="SY26" s="890"/>
      <c r="SZ26" s="1244"/>
      <c r="TA26" s="890"/>
      <c r="TB26" s="1123"/>
      <c r="TC26" s="889"/>
      <c r="TD26" s="897">
        <f t="shared" si="136"/>
        <v>0</v>
      </c>
      <c r="TE26" s="862">
        <f>[1]Субсидия_факт!IF24</f>
        <v>0</v>
      </c>
      <c r="TF26" s="863">
        <f>[1]Субсидия_факт!IL24</f>
        <v>0</v>
      </c>
      <c r="TG26" s="885">
        <f>[1]Субсидия_факт!IR24</f>
        <v>0</v>
      </c>
      <c r="TH26" s="863">
        <f>[1]Субсидия_факт!IX24</f>
        <v>0</v>
      </c>
      <c r="TI26" s="885">
        <f>[1]Субсидия_факт!KB24</f>
        <v>0</v>
      </c>
      <c r="TJ26" s="863">
        <f>[1]Субсидия_факт!KH24</f>
        <v>0</v>
      </c>
      <c r="TK26" s="1050">
        <f t="shared" si="137"/>
        <v>0</v>
      </c>
      <c r="TL26" s="866"/>
      <c r="TM26" s="890"/>
      <c r="TN26" s="1123"/>
      <c r="TO26" s="890"/>
      <c r="TP26" s="866"/>
      <c r="TQ26" s="890"/>
      <c r="TR26" s="879">
        <f t="shared" si="138"/>
        <v>0</v>
      </c>
      <c r="TS26" s="862">
        <f t="shared" si="139"/>
        <v>0</v>
      </c>
      <c r="TT26" s="863">
        <f t="shared" si="139"/>
        <v>0</v>
      </c>
      <c r="TU26" s="862">
        <f t="shared" si="139"/>
        <v>0</v>
      </c>
      <c r="TV26" s="863">
        <f t="shared" si="139"/>
        <v>0</v>
      </c>
      <c r="TW26" s="885">
        <f t="shared" si="139"/>
        <v>0</v>
      </c>
      <c r="TX26" s="863">
        <f t="shared" si="139"/>
        <v>0</v>
      </c>
      <c r="TY26" s="879">
        <f t="shared" si="140"/>
        <v>0</v>
      </c>
      <c r="TZ26" s="862">
        <f t="shared" si="141"/>
        <v>0</v>
      </c>
      <c r="UA26" s="863">
        <f t="shared" si="141"/>
        <v>0</v>
      </c>
      <c r="UB26" s="862">
        <f t="shared" si="141"/>
        <v>0</v>
      </c>
      <c r="UC26" s="863">
        <f t="shared" si="141"/>
        <v>0</v>
      </c>
      <c r="UD26" s="885">
        <f t="shared" si="141"/>
        <v>0</v>
      </c>
      <c r="UE26" s="863">
        <f t="shared" si="141"/>
        <v>0</v>
      </c>
      <c r="UF26" s="1373">
        <f t="shared" si="142"/>
        <v>0</v>
      </c>
      <c r="UG26" s="862">
        <f>[1]Субсидия_факт!IH24</f>
        <v>0</v>
      </c>
      <c r="UH26" s="863">
        <f>[1]Субсидия_факт!IN24</f>
        <v>0</v>
      </c>
      <c r="UI26" s="885">
        <f>[1]Субсидия_факт!IT24</f>
        <v>0</v>
      </c>
      <c r="UJ26" s="863">
        <f>[1]Субсидия_факт!IZ24</f>
        <v>0</v>
      </c>
      <c r="UK26" s="885">
        <f>[1]Субсидия_факт!KD24</f>
        <v>0</v>
      </c>
      <c r="UL26" s="863">
        <f>[1]Субсидия_факт!KJ24</f>
        <v>0</v>
      </c>
      <c r="UM26" s="879">
        <f t="shared" si="143"/>
        <v>0</v>
      </c>
      <c r="UN26" s="1123"/>
      <c r="UO26" s="890"/>
      <c r="UP26" s="1123"/>
      <c r="UQ26" s="890"/>
      <c r="UR26" s="1123"/>
      <c r="US26" s="890"/>
      <c r="UT26" s="1050">
        <f>'Прочая  субсидия_МР  и  ГО'!B22</f>
        <v>73531341.359999999</v>
      </c>
      <c r="UU26" s="1050">
        <f>'Прочая  субсидия_МР  и  ГО'!C22</f>
        <v>47798709.379999995</v>
      </c>
      <c r="UV26" s="1371">
        <f>'Прочая  субсидия_БП'!B22</f>
        <v>2689250.35</v>
      </c>
      <c r="UW26" s="897">
        <f>'Прочая  субсидия_БП'!C22</f>
        <v>1746710.88</v>
      </c>
      <c r="UX26" s="1408">
        <f>'Прочая  субсидия_БП'!D22</f>
        <v>2689250.35</v>
      </c>
      <c r="UY26" s="1051">
        <f>'Прочая  субсидия_БП'!E22</f>
        <v>1746710.88</v>
      </c>
      <c r="UZ26" s="1409">
        <f>'Прочая  субсидия_БП'!F22</f>
        <v>0</v>
      </c>
      <c r="VA26" s="1408">
        <f>'Прочая  субсидия_БП'!G22</f>
        <v>0</v>
      </c>
      <c r="VB26" s="897">
        <f t="shared" si="144"/>
        <v>408202790.3499999</v>
      </c>
      <c r="VC26" s="866">
        <f>'Проверочная  таблица'!WE26+'Проверочная  таблица'!VH26+'Проверочная  таблица'!VJ26+VY26</f>
        <v>398343905.81999993</v>
      </c>
      <c r="VD26" s="891">
        <f>'Проверочная  таблица'!WF26+'Проверочная  таблица'!VN26+'Проверочная  таблица'!VT26+'Проверочная  таблица'!VP26+'Проверочная  таблица'!VR26+VV26+VZ26+VL26</f>
        <v>9858884.5300000012</v>
      </c>
      <c r="VE26" s="1050">
        <f t="shared" si="145"/>
        <v>306715255.31</v>
      </c>
      <c r="VF26" s="866">
        <f>'Проверочная  таблица'!WH26+'Проверочная  таблица'!VI26+'Проверочная  таблица'!VK26+WB26</f>
        <v>300630888.70999998</v>
      </c>
      <c r="VG26" s="891">
        <f>'Проверочная  таблица'!WI26+'Проверочная  таблица'!VO26+'Проверочная  таблица'!VU26+'Проверочная  таблица'!VQ26+'Проверочная  таблица'!VS26+VW26+WC26+VM26</f>
        <v>6084366.5999999996</v>
      </c>
      <c r="VH26" s="1391">
        <f>'Субвенция  на  полномочия'!B22</f>
        <v>389511840.21999997</v>
      </c>
      <c r="VI26" s="1371">
        <f>'Субвенция  на  полномочия'!C22</f>
        <v>294101827.25</v>
      </c>
      <c r="VJ26" s="886">
        <f>[1]Субвенция_факт!M23*1000</f>
        <v>4924810</v>
      </c>
      <c r="VK26" s="892">
        <v>4047000</v>
      </c>
      <c r="VL26" s="886">
        <f>[1]Субвенция_факт!AE23*1000</f>
        <v>0</v>
      </c>
      <c r="VM26" s="892"/>
      <c r="VN26" s="886">
        <f>[1]Субвенция_факт!AF23*1000</f>
        <v>2118700</v>
      </c>
      <c r="VO26" s="892">
        <f>ВУС!E154</f>
        <v>1423209.6099999999</v>
      </c>
      <c r="VP26" s="1396">
        <f>[1]Субвенция_факт!AG23*1000</f>
        <v>0</v>
      </c>
      <c r="VQ26" s="893"/>
      <c r="VR26" s="888">
        <f>[1]Субвенция_факт!E23*1000</f>
        <v>0</v>
      </c>
      <c r="VS26" s="893"/>
      <c r="VT26" s="888">
        <f>[1]Субвенция_факт!F23*1000</f>
        <v>0</v>
      </c>
      <c r="VU26" s="893"/>
      <c r="VV26" s="887">
        <f>[1]Субвенция_факт!G23*1000</f>
        <v>0</v>
      </c>
      <c r="VW26" s="892"/>
      <c r="VX26" s="897">
        <f t="shared" si="146"/>
        <v>9365114.2300000004</v>
      </c>
      <c r="VY26" s="862">
        <f>[1]Субвенция_факт!P23*1000</f>
        <v>2434929.7000000002</v>
      </c>
      <c r="VZ26" s="863">
        <f>[1]Субвенция_факт!Q23*1000</f>
        <v>6930184.5300000003</v>
      </c>
      <c r="WA26" s="1050">
        <f t="shared" si="147"/>
        <v>5527159.46</v>
      </c>
      <c r="WB26" s="866">
        <v>1437061.46</v>
      </c>
      <c r="WC26" s="894">
        <v>4090098</v>
      </c>
      <c r="WD26" s="1050">
        <f t="shared" si="148"/>
        <v>2282325.9000000004</v>
      </c>
      <c r="WE26" s="895">
        <f>[1]Субвенция_факт!X23*1000</f>
        <v>1472325.9000000001</v>
      </c>
      <c r="WF26" s="896">
        <f>[1]Субвенция_факт!W23*1000</f>
        <v>810000</v>
      </c>
      <c r="WG26" s="1050">
        <f t="shared" si="149"/>
        <v>1616058.99</v>
      </c>
      <c r="WH26" s="866">
        <v>1045000</v>
      </c>
      <c r="WI26" s="894">
        <v>571058.99</v>
      </c>
      <c r="WJ26" s="897">
        <f t="shared" si="201"/>
        <v>113534480.58</v>
      </c>
      <c r="WK26" s="1050">
        <f t="shared" si="202"/>
        <v>69701854.629999995</v>
      </c>
      <c r="WL26" s="1391">
        <f t="shared" si="240"/>
        <v>0</v>
      </c>
      <c r="WM26" s="895"/>
      <c r="WN26" s="896">
        <f>'[1]Иные межбюджетные трансферты'!I24</f>
        <v>0</v>
      </c>
      <c r="WO26" s="1391">
        <f t="shared" si="241"/>
        <v>0</v>
      </c>
      <c r="WP26" s="895"/>
      <c r="WQ26" s="896"/>
      <c r="WR26" s="1391">
        <f t="shared" si="152"/>
        <v>2037837.3699999999</v>
      </c>
      <c r="WS26" s="895">
        <f>'[1]Иные межбюджетные трансферты'!AQ24</f>
        <v>0</v>
      </c>
      <c r="WT26" s="896">
        <f>'[1]Иные межбюджетные трансферты'!AS24</f>
        <v>2037837.3699999999</v>
      </c>
      <c r="WU26" s="1391">
        <f t="shared" si="153"/>
        <v>0</v>
      </c>
      <c r="WV26" s="895"/>
      <c r="WW26" s="896"/>
      <c r="WX26" s="1050">
        <f t="shared" si="154"/>
        <v>1887333.97</v>
      </c>
      <c r="WY26" s="895">
        <f>'[1]Иные межбюджетные трансферты'!AM24</f>
        <v>94366.7</v>
      </c>
      <c r="WZ26" s="896">
        <f>'[1]Иные межбюджетные трансферты'!AO24</f>
        <v>1792967.27</v>
      </c>
      <c r="XA26" s="1050">
        <f t="shared" si="155"/>
        <v>1503128.49</v>
      </c>
      <c r="XB26" s="895">
        <v>75156.429999999993</v>
      </c>
      <c r="XC26" s="896">
        <v>1427972.06</v>
      </c>
      <c r="XD26" s="1050">
        <f t="shared" si="156"/>
        <v>27321402</v>
      </c>
      <c r="XE26" s="895">
        <f>'[1]Иные межбюджетные трансферты'!K24</f>
        <v>12612591</v>
      </c>
      <c r="XF26" s="896">
        <f>'[1]Иные межбюджетные трансферты'!M24</f>
        <v>14708811</v>
      </c>
      <c r="XG26" s="1050">
        <f t="shared" si="242"/>
        <v>14708811</v>
      </c>
      <c r="XH26" s="882"/>
      <c r="XI26" s="896">
        <v>14708811</v>
      </c>
      <c r="XJ26" s="1050">
        <f t="shared" si="158"/>
        <v>0</v>
      </c>
      <c r="XK26" s="885"/>
      <c r="XL26" s="1050">
        <f t="shared" si="159"/>
        <v>0</v>
      </c>
      <c r="XM26" s="885"/>
      <c r="XN26" s="897">
        <f t="shared" si="160"/>
        <v>0</v>
      </c>
      <c r="XO26" s="862">
        <f>'[1]Иные межбюджетные трансферты'!O24</f>
        <v>0</v>
      </c>
      <c r="XP26" s="1050">
        <f t="shared" si="161"/>
        <v>0</v>
      </c>
      <c r="XQ26" s="866"/>
      <c r="XR26" s="1390">
        <f t="shared" si="162"/>
        <v>0</v>
      </c>
      <c r="XS26" s="879">
        <f t="shared" si="163"/>
        <v>0</v>
      </c>
      <c r="XT26" s="1390">
        <f t="shared" si="164"/>
        <v>0</v>
      </c>
      <c r="XU26" s="879">
        <f t="shared" si="165"/>
        <v>0</v>
      </c>
      <c r="XV26" s="1050">
        <f t="shared" si="243"/>
        <v>74503249.969999999</v>
      </c>
      <c r="XW26" s="883">
        <f>'[1]Иные межбюджетные трансферты'!E24</f>
        <v>0</v>
      </c>
      <c r="XX26" s="895">
        <f>'[1]Иные межбюджетные трансферты'!G24</f>
        <v>21826031.32</v>
      </c>
      <c r="XY26" s="882">
        <f>'[1]Иные межбюджетные трансферты'!S24</f>
        <v>0</v>
      </c>
      <c r="XZ26" s="883">
        <f>'[1]Иные межбюджетные трансферты'!Y24</f>
        <v>19937960</v>
      </c>
      <c r="YA26" s="882">
        <f>'[1]Иные межбюджетные трансферты'!AA24</f>
        <v>19937960</v>
      </c>
      <c r="YB26" s="1275">
        <f>'[1]Иные межбюджетные трансферты'!AG24</f>
        <v>0</v>
      </c>
      <c r="YC26" s="882">
        <f>'[1]Иные межбюджетные трансферты'!AU24</f>
        <v>0</v>
      </c>
      <c r="YD26" s="862">
        <f>'[1]Иные межбюджетные трансферты'!BA24</f>
        <v>2940071.23</v>
      </c>
      <c r="YE26" s="882">
        <f>'[1]Иные межбюджетные трансферты'!BC24</f>
        <v>4213520.41</v>
      </c>
      <c r="YF26" s="1275">
        <f>'[1]Иные межбюджетные трансферты'!BE24</f>
        <v>5647707.0099999998</v>
      </c>
      <c r="YG26" s="1050">
        <f t="shared" si="244"/>
        <v>47411698.329999998</v>
      </c>
      <c r="YH26" s="882"/>
      <c r="YI26" s="882">
        <v>21826031.32</v>
      </c>
      <c r="YJ26" s="851"/>
      <c r="YK26" s="882"/>
      <c r="YL26" s="848">
        <f t="shared" si="245"/>
        <v>19937960</v>
      </c>
      <c r="YM26" s="848"/>
      <c r="YN26" s="848"/>
      <c r="YO26" s="848"/>
      <c r="YP26" s="848"/>
      <c r="YQ26" s="848">
        <v>5647707.0099999998</v>
      </c>
      <c r="YR26" s="1050">
        <f t="shared" si="166"/>
        <v>7784657.2699999996</v>
      </c>
      <c r="YS26" s="895">
        <f>'[1]Иные межбюджетные трансферты'!U24</f>
        <v>1438932.79</v>
      </c>
      <c r="YT26" s="882">
        <f>'[1]Иные межбюджетные трансферты'!AC24</f>
        <v>0</v>
      </c>
      <c r="YU26" s="1275">
        <f>'[1]Иные межбюджетные трансферты'!AI24</f>
        <v>94366.7</v>
      </c>
      <c r="YV26" s="883">
        <f>'[1]Иные межбюджетные трансферты'!AW24</f>
        <v>2037837.3699999999</v>
      </c>
      <c r="YW26" s="848">
        <f>'[1]Иные межбюджетные трансферты'!BG24</f>
        <v>4213520.41</v>
      </c>
      <c r="YX26" s="1050">
        <f t="shared" si="167"/>
        <v>6078216.8100000005</v>
      </c>
      <c r="YY26" s="865">
        <v>1438932.79</v>
      </c>
      <c r="YZ26" s="865">
        <f t="shared" si="247"/>
        <v>0</v>
      </c>
      <c r="ZA26" s="865"/>
      <c r="ZB26" s="848">
        <v>425763.61</v>
      </c>
      <c r="ZC26" s="848">
        <v>4213520.41</v>
      </c>
      <c r="ZD26" s="879">
        <f t="shared" si="168"/>
        <v>7784657.2699999996</v>
      </c>
      <c r="ZE26" s="859">
        <f>'Проверочная  таблица'!YS26-ZQ26</f>
        <v>1438932.79</v>
      </c>
      <c r="ZF26" s="859">
        <f>'Проверочная  таблица'!YT26-ZR26</f>
        <v>0</v>
      </c>
      <c r="ZG26" s="859">
        <f>'Проверочная  таблица'!YU26-ZS26</f>
        <v>94366.7</v>
      </c>
      <c r="ZH26" s="859">
        <f>'Проверочная  таблица'!YV26-ZT26</f>
        <v>2037837.3699999999</v>
      </c>
      <c r="ZI26" s="859">
        <f>'Проверочная  таблица'!YW26-ZU26</f>
        <v>4213520.41</v>
      </c>
      <c r="ZJ26" s="879">
        <f t="shared" si="169"/>
        <v>6078216.8100000005</v>
      </c>
      <c r="ZK26" s="859">
        <f>'Проверочная  таблица'!YY26-ZW26</f>
        <v>1438932.79</v>
      </c>
      <c r="ZL26" s="859">
        <f>'Проверочная  таблица'!YZ26-ZX26</f>
        <v>0</v>
      </c>
      <c r="ZM26" s="859">
        <f>'Проверочная  таблица'!ZA26-ZY26</f>
        <v>0</v>
      </c>
      <c r="ZN26" s="859">
        <f>'Проверочная  таблица'!ZB26-ZZ26</f>
        <v>425763.61</v>
      </c>
      <c r="ZO26" s="859">
        <f>'Проверочная  таблица'!ZC26-AAA26</f>
        <v>4213520.41</v>
      </c>
      <c r="ZP26" s="879">
        <f t="shared" si="170"/>
        <v>0</v>
      </c>
      <c r="ZQ26" s="895">
        <f>'[1]Иные межбюджетные трансферты'!W24</f>
        <v>0</v>
      </c>
      <c r="ZR26" s="895">
        <f>'[1]Иные межбюджетные трансферты'!AE24</f>
        <v>0</v>
      </c>
      <c r="ZS26" s="882"/>
      <c r="ZT26" s="883">
        <f>'[1]Иные межбюджетные трансферты'!AY24</f>
        <v>0</v>
      </c>
      <c r="ZU26" s="848"/>
      <c r="ZV26" s="879">
        <f t="shared" si="171"/>
        <v>0</v>
      </c>
      <c r="ZW26" s="865"/>
      <c r="ZX26" s="865">
        <f t="shared" si="248"/>
        <v>0</v>
      </c>
      <c r="ZY26" s="865"/>
      <c r="ZZ26" s="848"/>
      <c r="AAA26" s="848"/>
      <c r="AAB26" s="1050">
        <f>AAD26+'Проверочная  таблица'!AAL26+AAH26+'Проверочная  таблица'!AAP26+AAJ26+'Проверочная  таблица'!AAR26</f>
        <v>-250000</v>
      </c>
      <c r="AAC26" s="1050">
        <f>AAE26+'Проверочная  таблица'!AAM26+AAI26+'Проверочная  таблица'!AAQ26+AAK26+'Проверочная  таблица'!AAS26</f>
        <v>0</v>
      </c>
      <c r="AAD26" s="897"/>
      <c r="AAE26" s="897"/>
      <c r="AAF26" s="897"/>
      <c r="AAG26" s="897"/>
      <c r="AAH26" s="1373">
        <f t="shared" si="172"/>
        <v>0</v>
      </c>
      <c r="AAI26" s="879">
        <f t="shared" si="172"/>
        <v>0</v>
      </c>
      <c r="AAJ26" s="898"/>
      <c r="AAK26" s="879"/>
      <c r="AAL26" s="897"/>
      <c r="AAM26" s="897"/>
      <c r="AAN26" s="897">
        <v>-250000</v>
      </c>
      <c r="AAO26" s="897"/>
      <c r="AAP26" s="1410">
        <f t="shared" si="173"/>
        <v>-250000</v>
      </c>
      <c r="AAQ26" s="905">
        <f t="shared" si="173"/>
        <v>0</v>
      </c>
      <c r="AAR26" s="905"/>
      <c r="AAS26" s="905"/>
      <c r="AAT26" s="1384">
        <f>'Проверочная  таблица'!AAL26+'Проверочная  таблица'!AAN26</f>
        <v>-250000</v>
      </c>
      <c r="AAU26" s="1384">
        <f>'Проверочная  таблица'!AAM26+'Проверочная  таблица'!AAO26</f>
        <v>0</v>
      </c>
    </row>
    <row r="27" spans="1:723" ht="20.45" customHeight="1" x14ac:dyDescent="0.25">
      <c r="A27" s="880" t="s">
        <v>1296</v>
      </c>
      <c r="B27" s="897">
        <f>D27+AN27+'Проверочная  таблица'!VB27+'Проверочная  таблица'!WJ27</f>
        <v>1597883920.78</v>
      </c>
      <c r="C27" s="1050">
        <f>E27+'Проверочная  таблица'!VE27+AO27+'Проверочная  таблица'!WK27</f>
        <v>1018398870.9899999</v>
      </c>
      <c r="D27" s="1371">
        <f t="shared" si="0"/>
        <v>281259215.65999997</v>
      </c>
      <c r="E27" s="897">
        <f t="shared" si="1"/>
        <v>216590326.31999999</v>
      </c>
      <c r="F27" s="1376">
        <f>'[1]Дотация  из  ОБ_факт'!M23</f>
        <v>50595882</v>
      </c>
      <c r="G27" s="1385">
        <v>37946916</v>
      </c>
      <c r="H27" s="1376">
        <f>'[1]Дотация  из  ОБ_факт'!G23</f>
        <v>134112877.66</v>
      </c>
      <c r="I27" s="1385">
        <v>102997111.22999999</v>
      </c>
      <c r="J27" s="1386">
        <f t="shared" si="2"/>
        <v>84146122.159999996</v>
      </c>
      <c r="K27" s="1387">
        <f t="shared" si="2"/>
        <v>65522047.229999989</v>
      </c>
      <c r="L27" s="1386">
        <f>'[1]Дотация  из  ОБ_факт'!K23</f>
        <v>49966755.5</v>
      </c>
      <c r="M27" s="881">
        <v>37475064</v>
      </c>
      <c r="N27" s="1376">
        <f>'[1]Дотация  из  ОБ_факт'!Q23</f>
        <v>46163000</v>
      </c>
      <c r="O27" s="1385">
        <v>39163000</v>
      </c>
      <c r="P27" s="1376">
        <f>'[1]Дотация  из  ОБ_факт'!S23</f>
        <v>50236581.000000007</v>
      </c>
      <c r="Q27" s="1385">
        <v>36332424.090000004</v>
      </c>
      <c r="R27" s="1386">
        <f t="shared" si="3"/>
        <v>42128158.000000007</v>
      </c>
      <c r="S27" s="1387">
        <f t="shared" si="3"/>
        <v>31451106.090000004</v>
      </c>
      <c r="T27" s="1386">
        <f>'[1]Дотация  из  ОБ_факт'!W23</f>
        <v>8108423</v>
      </c>
      <c r="U27" s="881">
        <v>4881318</v>
      </c>
      <c r="V27" s="886">
        <f t="shared" si="4"/>
        <v>0</v>
      </c>
      <c r="W27" s="1388">
        <f>'[1]Дотация  из  ОБ_факт'!AA23</f>
        <v>0</v>
      </c>
      <c r="X27" s="1389">
        <f>'[1]Дотация  из  ОБ_факт'!AC23</f>
        <v>0</v>
      </c>
      <c r="Y27" s="1389">
        <f>'[1]Дотация  из  ОБ_факт'!AG23</f>
        <v>0</v>
      </c>
      <c r="Z27" s="887">
        <f t="shared" si="5"/>
        <v>0</v>
      </c>
      <c r="AA27" s="848">
        <f t="shared" si="177"/>
        <v>0</v>
      </c>
      <c r="AB27" s="848">
        <f t="shared" si="177"/>
        <v>0</v>
      </c>
      <c r="AC27" s="882"/>
      <c r="AD27" s="886">
        <f t="shared" si="6"/>
        <v>150875</v>
      </c>
      <c r="AE27" s="1388">
        <f>'[1]Дотация  из  ОБ_факт'!Y23</f>
        <v>150875</v>
      </c>
      <c r="AF27" s="1389">
        <f>'[1]Дотация  из  ОБ_факт'!AE23</f>
        <v>0</v>
      </c>
      <c r="AG27" s="886">
        <f t="shared" si="7"/>
        <v>150875</v>
      </c>
      <c r="AH27" s="1359">
        <f t="shared" si="178"/>
        <v>150875</v>
      </c>
      <c r="AI27" s="848">
        <f t="shared" si="179"/>
        <v>0</v>
      </c>
      <c r="AJ27" s="1386">
        <f t="shared" si="8"/>
        <v>150875</v>
      </c>
      <c r="AK27" s="1387">
        <f t="shared" si="9"/>
        <v>150875</v>
      </c>
      <c r="AL27" s="1386">
        <f>'[1]Дотация  из  ОБ_факт'!AE23</f>
        <v>0</v>
      </c>
      <c r="AM27" s="884"/>
      <c r="AN27" s="1012">
        <f>'Проверочная  таблица'!UT27+'Проверочная  таблица'!UV27+BL27+BN27+BZ27+CB27+AZ27+BD27+'Проверочная  таблица'!MT27+'Проверочная  таблица'!NJ27+'Проверочная  таблица'!DT27+'Проверочная  таблица'!OB27+DL27+'Проверочная  таблица'!JJ27+'Проверочная  таблица'!JP27+'Проверочная  таблица'!OJ27+'Проверочная  таблица'!OR27+JD27+AP27+AV27+ET27+EZ27+CN27+SP27+DZ27+TD27+PZ27+EF27+EN27+LN27+LV27+SJ27+GN27+RV27+QX27+KH27+KR27+RD27+SB27+CH27+QR27+HD27+FX27+HJ27+HP27+FR27+DB27+PP27+BT27+IH27+IX27+GV27+GD27+IN27</f>
        <v>453251010.35999995</v>
      </c>
      <c r="AO27" s="1013">
        <f>'Проверочная  таблица'!UU27+'Проверочная  таблица'!UW27+BM27+BO27+CA27+CC27+BB27+BF27+'Проверочная  таблица'!NB27+'Проверочная  таблица'!NM27+'Проверочная  таблица'!DW27+'Проверочная  таблица'!OF27+DP27+'Проверочная  таблица'!JM27+'Проверочная  таблица'!JS27+'Проверочная  таблица'!ON27+'Проверочная  таблица'!OV27+JG27+AS27+AX27+EW27+FC27+CU27+SW27+EC27+TK27+QC27+EJ27+EQ27+LR27+LZ27+SM27+GR27+RY27+RA27+KM27+KW27+RG27+SF27+CK27+QU27+HG27+GA27+HM27+HS27+FU27+DE27+PU27+BW27+IK27+JA27+GX27+GG27+IQ27</f>
        <v>144714040.28999999</v>
      </c>
      <c r="AP27" s="1014">
        <f t="shared" si="10"/>
        <v>2558209.02</v>
      </c>
      <c r="AQ27" s="885">
        <f>[1]Субсидия_факт!HV25</f>
        <v>2558209.02</v>
      </c>
      <c r="AR27" s="866">
        <f>[1]Субсидия_факт!MR25</f>
        <v>0</v>
      </c>
      <c r="AS27" s="1014">
        <f t="shared" si="11"/>
        <v>0</v>
      </c>
      <c r="AT27" s="866">
        <v>0</v>
      </c>
      <c r="AU27" s="885"/>
      <c r="AV27" s="1003">
        <f t="shared" si="12"/>
        <v>0</v>
      </c>
      <c r="AW27" s="866">
        <f>[1]Субсидия_факт!MV25</f>
        <v>0</v>
      </c>
      <c r="AX27" s="1360">
        <f t="shared" si="13"/>
        <v>0</v>
      </c>
      <c r="AY27" s="866"/>
      <c r="AZ27" s="897">
        <f t="shared" si="14"/>
        <v>0</v>
      </c>
      <c r="BA27" s="866">
        <f>[1]Субсидия_факт!KZ25</f>
        <v>0</v>
      </c>
      <c r="BB27" s="1050">
        <f t="shared" si="15"/>
        <v>0</v>
      </c>
      <c r="BC27" s="902"/>
      <c r="BD27" s="897">
        <f t="shared" si="16"/>
        <v>64972277.170000002</v>
      </c>
      <c r="BE27" s="866">
        <f>[1]Субсидия_факт!LB25</f>
        <v>64972277.170000002</v>
      </c>
      <c r="BF27" s="1050">
        <f t="shared" si="17"/>
        <v>0</v>
      </c>
      <c r="BG27" s="902"/>
      <c r="BH27" s="1029">
        <f t="shared" si="18"/>
        <v>0</v>
      </c>
      <c r="BI27" s="1016">
        <f t="shared" si="19"/>
        <v>0</v>
      </c>
      <c r="BJ27" s="1027">
        <f t="shared" si="20"/>
        <v>64972277.170000002</v>
      </c>
      <c r="BK27" s="1029">
        <f t="shared" si="21"/>
        <v>0</v>
      </c>
      <c r="BL27" s="897">
        <f>[1]Субсидия_факт!GV25</f>
        <v>0</v>
      </c>
      <c r="BM27" s="886"/>
      <c r="BN27" s="1391">
        <f>[1]Субсидия_факт!GX25</f>
        <v>0</v>
      </c>
      <c r="BO27" s="887"/>
      <c r="BP27" s="1390">
        <f t="shared" si="22"/>
        <v>0</v>
      </c>
      <c r="BQ27" s="1373">
        <f t="shared" si="22"/>
        <v>0</v>
      </c>
      <c r="BR27" s="879">
        <f>[1]Субсидия_факт!GZ25</f>
        <v>0</v>
      </c>
      <c r="BS27" s="900"/>
      <c r="BT27" s="939">
        <f t="shared" si="23"/>
        <v>69400159.019999996</v>
      </c>
      <c r="BU27" s="862">
        <f>[1]Субсидия_факт!HL25</f>
        <v>2274159.02</v>
      </c>
      <c r="BV27" s="866">
        <f>[1]Субсидия_факт!HN25</f>
        <v>67126000</v>
      </c>
      <c r="BW27" s="1014">
        <f t="shared" si="24"/>
        <v>5098361</v>
      </c>
      <c r="BX27" s="866"/>
      <c r="BY27" s="866">
        <v>5098361</v>
      </c>
      <c r="BZ27" s="1050">
        <f>[1]Субсидия_факт!HB25</f>
        <v>0</v>
      </c>
      <c r="CA27" s="888"/>
      <c r="CB27" s="1050">
        <f>[1]Субсидия_факт!HD25</f>
        <v>0</v>
      </c>
      <c r="CC27" s="901"/>
      <c r="CD27" s="1367">
        <f t="shared" si="25"/>
        <v>0</v>
      </c>
      <c r="CE27" s="878">
        <f t="shared" si="25"/>
        <v>0</v>
      </c>
      <c r="CF27" s="1368">
        <f>[1]Субсидия_факт!HF25</f>
        <v>0</v>
      </c>
      <c r="CG27" s="849"/>
      <c r="CH27" s="939">
        <f t="shared" si="26"/>
        <v>46749409.060000002</v>
      </c>
      <c r="CI27" s="862">
        <f>[1]Субсидия_факт!HP25</f>
        <v>0</v>
      </c>
      <c r="CJ27" s="866">
        <f>[1]Субсидия_факт!HR25</f>
        <v>46749409.060000002</v>
      </c>
      <c r="CK27" s="1014">
        <f t="shared" si="27"/>
        <v>3521225.95</v>
      </c>
      <c r="CL27" s="866"/>
      <c r="CM27" s="866">
        <v>3521225.95</v>
      </c>
      <c r="CN27" s="1003">
        <f t="shared" si="28"/>
        <v>986493.67999999993</v>
      </c>
      <c r="CO27" s="859">
        <f>[1]Субсидия_факт!LR25</f>
        <v>742629.11</v>
      </c>
      <c r="CP27" s="858">
        <f>[1]Субсидия_факт!LT25</f>
        <v>243864.57</v>
      </c>
      <c r="CQ27" s="850">
        <f>[1]Субсидия_факт!LV25</f>
        <v>0</v>
      </c>
      <c r="CR27" s="858">
        <f>[1]Субсидия_факт!MB25</f>
        <v>0</v>
      </c>
      <c r="CS27" s="850">
        <f>[1]Субсидия_факт!MH25</f>
        <v>0</v>
      </c>
      <c r="CT27" s="858">
        <f>[1]Субсидия_факт!MJ25</f>
        <v>0</v>
      </c>
      <c r="CU27" s="1003">
        <f t="shared" si="29"/>
        <v>0</v>
      </c>
      <c r="CV27" s="851"/>
      <c r="CW27" s="858"/>
      <c r="CX27" s="850"/>
      <c r="CY27" s="858"/>
      <c r="CZ27" s="850"/>
      <c r="DA27" s="858"/>
      <c r="DB27" s="1013">
        <f t="shared" si="205"/>
        <v>19567142.100000001</v>
      </c>
      <c r="DC27" s="859">
        <f>[1]Субсидия_факт!LX25</f>
        <v>3729042.1000000015</v>
      </c>
      <c r="DD27" s="858">
        <f>[1]Субсидия_факт!MD25</f>
        <v>15838100</v>
      </c>
      <c r="DE27" s="1003">
        <f t="shared" si="31"/>
        <v>4587624.3599999994</v>
      </c>
      <c r="DF27" s="850">
        <v>874294.48</v>
      </c>
      <c r="DG27" s="860">
        <v>3713329.88</v>
      </c>
      <c r="DH27" s="1367">
        <f t="shared" si="206"/>
        <v>0</v>
      </c>
      <c r="DI27" s="878">
        <f t="shared" si="207"/>
        <v>0</v>
      </c>
      <c r="DJ27" s="1368">
        <f t="shared" si="208"/>
        <v>19567142.100000001</v>
      </c>
      <c r="DK27" s="849">
        <f t="shared" si="209"/>
        <v>4587624.3599999994</v>
      </c>
      <c r="DL27" s="1050">
        <f t="shared" si="210"/>
        <v>1700000</v>
      </c>
      <c r="DM27" s="885">
        <f>[1]Субсидия_факт!R25</f>
        <v>0</v>
      </c>
      <c r="DN27" s="862">
        <f>[1]Субсидия_факт!T25</f>
        <v>1700000</v>
      </c>
      <c r="DO27" s="866">
        <f>[1]Субсидия_факт!V25</f>
        <v>0</v>
      </c>
      <c r="DP27" s="1050">
        <f t="shared" si="211"/>
        <v>1691499.99</v>
      </c>
      <c r="DQ27" s="902"/>
      <c r="DR27" s="902">
        <v>1691499.99</v>
      </c>
      <c r="DS27" s="902"/>
      <c r="DT27" s="939">
        <f t="shared" si="32"/>
        <v>0</v>
      </c>
      <c r="DU27" s="862">
        <f>[1]Субсидия_факт!AX25</f>
        <v>0</v>
      </c>
      <c r="DV27" s="863">
        <f>[1]Субсидия_факт!AZ25</f>
        <v>0</v>
      </c>
      <c r="DW27" s="1014">
        <f t="shared" si="252"/>
        <v>0</v>
      </c>
      <c r="DX27" s="906"/>
      <c r="DY27" s="907"/>
      <c r="DZ27" s="897">
        <f t="shared" si="34"/>
        <v>0</v>
      </c>
      <c r="EA27" s="862">
        <f>[1]Субсидия_факт!X25</f>
        <v>0</v>
      </c>
      <c r="EB27" s="863">
        <f>[1]Субсидия_факт!Z25</f>
        <v>0</v>
      </c>
      <c r="EC27" s="1050">
        <f t="shared" si="35"/>
        <v>0</v>
      </c>
      <c r="ED27" s="862"/>
      <c r="EE27" s="863"/>
      <c r="EF27" s="1013">
        <f t="shared" si="212"/>
        <v>0</v>
      </c>
      <c r="EG27" s="859">
        <f>[1]Субсидия_факт!AP25</f>
        <v>0</v>
      </c>
      <c r="EH27" s="859">
        <f>[1]Субсидия_факт!AL25</f>
        <v>0</v>
      </c>
      <c r="EI27" s="860">
        <f>[1]Субсидия_факт!AN25</f>
        <v>0</v>
      </c>
      <c r="EJ27" s="1013">
        <f t="shared" si="36"/>
        <v>0</v>
      </c>
      <c r="EK27" s="859"/>
      <c r="EL27" s="859"/>
      <c r="EM27" s="860"/>
      <c r="EN27" s="1013">
        <f t="shared" si="37"/>
        <v>0</v>
      </c>
      <c r="EO27" s="859">
        <f>[1]Субсидия_факт!HH25</f>
        <v>0</v>
      </c>
      <c r="EP27" s="858">
        <f>[1]Субсидия_факт!HJ25</f>
        <v>0</v>
      </c>
      <c r="EQ27" s="1003">
        <f t="shared" si="38"/>
        <v>0</v>
      </c>
      <c r="ER27" s="859"/>
      <c r="ES27" s="858"/>
      <c r="ET27" s="1013">
        <f t="shared" si="39"/>
        <v>0</v>
      </c>
      <c r="EU27" s="862">
        <f>[1]Субсидия_факт!PK25</f>
        <v>0</v>
      </c>
      <c r="EV27" s="863">
        <f>[1]Субсидия_факт!PQ25</f>
        <v>0</v>
      </c>
      <c r="EW27" s="1003">
        <f t="shared" si="40"/>
        <v>0</v>
      </c>
      <c r="EX27" s="859"/>
      <c r="EY27" s="860"/>
      <c r="EZ27" s="1013">
        <f t="shared" si="41"/>
        <v>0</v>
      </c>
      <c r="FA27" s="859">
        <f>[1]Субсидия_факт!PM25</f>
        <v>0</v>
      </c>
      <c r="FB27" s="858">
        <f>[1]Субсидия_факт!PS25</f>
        <v>0</v>
      </c>
      <c r="FC27" s="1003">
        <f t="shared" si="42"/>
        <v>0</v>
      </c>
      <c r="FD27" s="859"/>
      <c r="FE27" s="860"/>
      <c r="FF27" s="1369">
        <f t="shared" si="43"/>
        <v>0</v>
      </c>
      <c r="FG27" s="859">
        <f t="shared" si="44"/>
        <v>0</v>
      </c>
      <c r="FH27" s="858">
        <f t="shared" si="44"/>
        <v>0</v>
      </c>
      <c r="FI27" s="878">
        <f t="shared" si="45"/>
        <v>0</v>
      </c>
      <c r="FJ27" s="859">
        <f t="shared" si="46"/>
        <v>0</v>
      </c>
      <c r="FK27" s="858">
        <f t="shared" si="46"/>
        <v>0</v>
      </c>
      <c r="FL27" s="1369">
        <f t="shared" si="47"/>
        <v>0</v>
      </c>
      <c r="FM27" s="859">
        <f>[1]Субсидия_факт!PO25</f>
        <v>0</v>
      </c>
      <c r="FN27" s="858">
        <f>[1]Субсидия_факт!PU25</f>
        <v>0</v>
      </c>
      <c r="FO27" s="878">
        <f t="shared" si="48"/>
        <v>0</v>
      </c>
      <c r="FP27" s="859"/>
      <c r="FQ27" s="860"/>
      <c r="FR27" s="1013">
        <f t="shared" si="49"/>
        <v>0</v>
      </c>
      <c r="FS27" s="862">
        <f>[1]Субсидия_факт!EP25</f>
        <v>0</v>
      </c>
      <c r="FT27" s="863">
        <f>[1]Субсидия_факт!ER25</f>
        <v>0</v>
      </c>
      <c r="FU27" s="1371">
        <f t="shared" si="50"/>
        <v>0</v>
      </c>
      <c r="FV27" s="908"/>
      <c r="FW27" s="909"/>
      <c r="FX27" s="897">
        <f t="shared" si="51"/>
        <v>0</v>
      </c>
      <c r="FY27" s="862">
        <f>[1]Субсидия_факт!JN25</f>
        <v>0</v>
      </c>
      <c r="FZ27" s="863">
        <f>[1]Субсидия_факт!JP25</f>
        <v>0</v>
      </c>
      <c r="GA27" s="897">
        <f t="shared" si="52"/>
        <v>0</v>
      </c>
      <c r="GB27" s="908"/>
      <c r="GC27" s="909"/>
      <c r="GD27" s="1372">
        <f t="shared" si="53"/>
        <v>0</v>
      </c>
      <c r="GE27" s="859">
        <f>[1]Субсидия_факт!JR25</f>
        <v>0</v>
      </c>
      <c r="GF27" s="860">
        <f>[1]Субсидия_факт!JV25</f>
        <v>0</v>
      </c>
      <c r="GG27" s="1372">
        <f t="shared" si="54"/>
        <v>0</v>
      </c>
      <c r="GH27" s="908"/>
      <c r="GI27" s="907"/>
      <c r="GJ27" s="1373">
        <f t="shared" si="213"/>
        <v>0</v>
      </c>
      <c r="GK27" s="879">
        <f t="shared" si="214"/>
        <v>0</v>
      </c>
      <c r="GL27" s="1390">
        <f t="shared" si="215"/>
        <v>0</v>
      </c>
      <c r="GM27" s="879">
        <f t="shared" si="216"/>
        <v>0</v>
      </c>
      <c r="GN27" s="1371">
        <f t="shared" si="55"/>
        <v>0</v>
      </c>
      <c r="GO27" s="862">
        <f>[1]Субсидия_факт!KL25</f>
        <v>0</v>
      </c>
      <c r="GP27" s="863">
        <f>[1]Субсидия_факт!KN25</f>
        <v>0</v>
      </c>
      <c r="GQ27" s="862">
        <f>[1]Субсидия_факт!KP25</f>
        <v>0</v>
      </c>
      <c r="GR27" s="897">
        <f t="shared" si="56"/>
        <v>0</v>
      </c>
      <c r="GS27" s="862"/>
      <c r="GT27" s="863"/>
      <c r="GU27" s="902"/>
      <c r="GV27" s="1372">
        <f t="shared" si="217"/>
        <v>0</v>
      </c>
      <c r="GW27" s="862">
        <f>[1]Субсидия_факт!KR25</f>
        <v>0</v>
      </c>
      <c r="GX27" s="1372">
        <f t="shared" si="217"/>
        <v>0</v>
      </c>
      <c r="GY27" s="902"/>
      <c r="GZ27" s="1373">
        <f t="shared" si="218"/>
        <v>0</v>
      </c>
      <c r="HA27" s="1373">
        <f t="shared" si="219"/>
        <v>0</v>
      </c>
      <c r="HB27" s="1373">
        <f t="shared" si="220"/>
        <v>0</v>
      </c>
      <c r="HC27" s="1373">
        <f t="shared" si="221"/>
        <v>0</v>
      </c>
      <c r="HD27" s="897">
        <f t="shared" si="57"/>
        <v>9950087.3200000059</v>
      </c>
      <c r="HE27" s="862">
        <f>[1]Субсидия_факт!KV25</f>
        <v>9950087.3200000059</v>
      </c>
      <c r="HF27" s="863">
        <f>[1]Субсидия_факт!KX25</f>
        <v>0</v>
      </c>
      <c r="HG27" s="1050">
        <f t="shared" si="58"/>
        <v>0</v>
      </c>
      <c r="HH27" s="862"/>
      <c r="HI27" s="863"/>
      <c r="HJ27" s="897">
        <f t="shared" si="59"/>
        <v>0</v>
      </c>
      <c r="HK27" s="862"/>
      <c r="HL27" s="863"/>
      <c r="HM27" s="1050">
        <f t="shared" si="60"/>
        <v>0</v>
      </c>
      <c r="HN27" s="862"/>
      <c r="HO27" s="863"/>
      <c r="HP27" s="897">
        <f t="shared" si="61"/>
        <v>821052.83999999985</v>
      </c>
      <c r="HQ27" s="862">
        <f>[1]Субсидия_факт!FV25</f>
        <v>0</v>
      </c>
      <c r="HR27" s="863">
        <f>[1]Субсидия_факт!FZ25</f>
        <v>821052.83999999985</v>
      </c>
      <c r="HS27" s="1050">
        <f t="shared" si="62"/>
        <v>0</v>
      </c>
      <c r="HT27" s="862"/>
      <c r="HU27" s="863"/>
      <c r="HV27" s="1369">
        <f t="shared" si="63"/>
        <v>0</v>
      </c>
      <c r="HW27" s="859">
        <f t="shared" si="64"/>
        <v>-821052.83999999985</v>
      </c>
      <c r="HX27" s="858">
        <f t="shared" si="64"/>
        <v>821052.83999999985</v>
      </c>
      <c r="HY27" s="878">
        <f t="shared" si="65"/>
        <v>0</v>
      </c>
      <c r="HZ27" s="859">
        <f t="shared" si="66"/>
        <v>0</v>
      </c>
      <c r="IA27" s="858">
        <f t="shared" si="66"/>
        <v>0</v>
      </c>
      <c r="IB27" s="1369">
        <f t="shared" si="67"/>
        <v>821052.83999999985</v>
      </c>
      <c r="IC27" s="859">
        <f>[1]Субсидия_факт!FX25</f>
        <v>821052.83999999985</v>
      </c>
      <c r="ID27" s="858">
        <f>[1]Субсидия_факт!GB25</f>
        <v>0</v>
      </c>
      <c r="IE27" s="878">
        <f t="shared" si="68"/>
        <v>0</v>
      </c>
      <c r="IF27" s="859">
        <f t="shared" si="187"/>
        <v>0</v>
      </c>
      <c r="IG27" s="860">
        <f t="shared" si="188"/>
        <v>0</v>
      </c>
      <c r="IH27" s="897">
        <f t="shared" si="69"/>
        <v>0</v>
      </c>
      <c r="II27" s="859">
        <f>[1]Субсидия_факт!ED25</f>
        <v>0</v>
      </c>
      <c r="IJ27" s="860">
        <f>[1]Субсидия_факт!EF25</f>
        <v>0</v>
      </c>
      <c r="IK27" s="1050">
        <f t="shared" si="70"/>
        <v>0</v>
      </c>
      <c r="IL27" s="862"/>
      <c r="IM27" s="863"/>
      <c r="IN27" s="1372">
        <f t="shared" si="71"/>
        <v>0</v>
      </c>
      <c r="IO27" s="859">
        <f>[1]Субсидия_факт!EH25</f>
        <v>0</v>
      </c>
      <c r="IP27" s="860">
        <f>[1]Субсидия_факт!EL25</f>
        <v>0</v>
      </c>
      <c r="IQ27" s="1392">
        <f t="shared" si="72"/>
        <v>0</v>
      </c>
      <c r="IR27" s="862"/>
      <c r="IS27" s="889"/>
      <c r="IT27" s="1373">
        <f t="shared" si="222"/>
        <v>0</v>
      </c>
      <c r="IU27" s="1373">
        <f t="shared" si="223"/>
        <v>0</v>
      </c>
      <c r="IV27" s="1373">
        <f t="shared" si="224"/>
        <v>0</v>
      </c>
      <c r="IW27" s="879">
        <f t="shared" si="225"/>
        <v>0</v>
      </c>
      <c r="IX27" s="1371">
        <f t="shared" si="73"/>
        <v>15000000</v>
      </c>
      <c r="IY27" s="859">
        <f>[1]Субсидия_факт!BX25</f>
        <v>750000</v>
      </c>
      <c r="IZ27" s="860">
        <f>[1]Субсидия_факт!BZ25</f>
        <v>14250000</v>
      </c>
      <c r="JA27" s="1050">
        <f t="shared" si="74"/>
        <v>15000000</v>
      </c>
      <c r="JB27" s="862">
        <v>749999.99</v>
      </c>
      <c r="JC27" s="863">
        <v>14250000.01</v>
      </c>
      <c r="JD27" s="897">
        <f t="shared" si="75"/>
        <v>0</v>
      </c>
      <c r="JE27" s="862">
        <f>[1]Субсидия_факт!ET25</f>
        <v>0</v>
      </c>
      <c r="JF27" s="863">
        <f>[1]Субсидия_факт!EV25</f>
        <v>0</v>
      </c>
      <c r="JG27" s="1050">
        <f t="shared" si="76"/>
        <v>0</v>
      </c>
      <c r="JH27" s="862"/>
      <c r="JI27" s="863"/>
      <c r="JJ27" s="1003">
        <f t="shared" si="77"/>
        <v>6586.9699999999939</v>
      </c>
      <c r="JK27" s="859">
        <f>[1]Субсидия_факт!EX25</f>
        <v>0</v>
      </c>
      <c r="JL27" s="858">
        <f>[1]Субсидия_факт!FD25</f>
        <v>6586.9699999999939</v>
      </c>
      <c r="JM27" s="1003">
        <f t="shared" si="78"/>
        <v>0</v>
      </c>
      <c r="JN27" s="859"/>
      <c r="JO27" s="860"/>
      <c r="JP27" s="1003">
        <f t="shared" si="79"/>
        <v>6586.9699999999939</v>
      </c>
      <c r="JQ27" s="859">
        <f>[1]Субсидия_факт!EZ25</f>
        <v>0</v>
      </c>
      <c r="JR27" s="860">
        <f>[1]Субсидия_факт!FF25</f>
        <v>6586.9699999999939</v>
      </c>
      <c r="JS27" s="1003">
        <f t="shared" si="80"/>
        <v>0</v>
      </c>
      <c r="JT27" s="850"/>
      <c r="JU27" s="864"/>
      <c r="JV27" s="878">
        <f t="shared" si="81"/>
        <v>-49627.920000000006</v>
      </c>
      <c r="JW27" s="851">
        <f>'Проверочная  таблица'!JQ27-'Проверочная  таблица'!KC27</f>
        <v>-14615.870000000003</v>
      </c>
      <c r="JX27" s="860">
        <f>'Проверочная  таблица'!JR27-'Проверочная  таблица'!KD27</f>
        <v>-35012.050000000003</v>
      </c>
      <c r="JY27" s="1368">
        <f t="shared" si="82"/>
        <v>0</v>
      </c>
      <c r="JZ27" s="850">
        <f>'Проверочная  таблица'!JT27-'Проверочная  таблица'!KF27</f>
        <v>0</v>
      </c>
      <c r="KA27" s="867">
        <f>'Проверочная  таблица'!JU27-'Проверочная  таблица'!KG27</f>
        <v>0</v>
      </c>
      <c r="KB27" s="878">
        <f t="shared" si="83"/>
        <v>56214.89</v>
      </c>
      <c r="KC27" s="859">
        <f>[1]Субсидия_факт!FB25</f>
        <v>14615.870000000003</v>
      </c>
      <c r="KD27" s="858">
        <f>[1]Субсидия_факт!FH25</f>
        <v>41599.019999999997</v>
      </c>
      <c r="KE27" s="878">
        <f t="shared" si="253"/>
        <v>0</v>
      </c>
      <c r="KF27" s="859"/>
      <c r="KG27" s="860"/>
      <c r="KH27" s="1352">
        <f t="shared" si="226"/>
        <v>4035660.19</v>
      </c>
      <c r="KI27" s="850">
        <f>[1]Субсидия_факт!OD25</f>
        <v>3782048.87</v>
      </c>
      <c r="KJ27" s="860">
        <f>[1]Субсидия_факт!OJ25</f>
        <v>185321.32</v>
      </c>
      <c r="KK27" s="850">
        <f>[1]Субсидия_факт!OR25</f>
        <v>24826.67</v>
      </c>
      <c r="KL27" s="860">
        <f>[1]Субсидия_факт!OT25</f>
        <v>43463.33</v>
      </c>
      <c r="KM27" s="1352">
        <f t="shared" si="85"/>
        <v>0</v>
      </c>
      <c r="KN27" s="850"/>
      <c r="KO27" s="860"/>
      <c r="KP27" s="850"/>
      <c r="KQ27" s="860"/>
      <c r="KR27" s="1352">
        <f t="shared" si="227"/>
        <v>25050</v>
      </c>
      <c r="KS27" s="885">
        <f>[1]Субсидия_факт!OF25</f>
        <v>25050</v>
      </c>
      <c r="KT27" s="863">
        <f>[1]Субсидия_факт!OL25</f>
        <v>0</v>
      </c>
      <c r="KU27" s="885"/>
      <c r="KV27" s="863"/>
      <c r="KW27" s="1352">
        <f t="shared" si="86"/>
        <v>0</v>
      </c>
      <c r="KX27" s="850"/>
      <c r="KY27" s="860"/>
      <c r="KZ27" s="850"/>
      <c r="LA27" s="860"/>
      <c r="LB27" s="1354">
        <f t="shared" si="87"/>
        <v>-18190</v>
      </c>
      <c r="LC27" s="885">
        <f t="shared" si="88"/>
        <v>-18190</v>
      </c>
      <c r="LD27" s="863">
        <f t="shared" si="88"/>
        <v>0</v>
      </c>
      <c r="LE27" s="1354">
        <f t="shared" si="89"/>
        <v>0</v>
      </c>
      <c r="LF27" s="885">
        <f t="shared" si="90"/>
        <v>0</v>
      </c>
      <c r="LG27" s="863">
        <f t="shared" si="90"/>
        <v>0</v>
      </c>
      <c r="LH27" s="1354">
        <f t="shared" si="91"/>
        <v>43240</v>
      </c>
      <c r="LI27" s="859">
        <f>[1]Субсидия_факт!OH25</f>
        <v>43240</v>
      </c>
      <c r="LJ27" s="858">
        <f>[1]Субсидия_факт!ON25</f>
        <v>0</v>
      </c>
      <c r="LK27" s="1354">
        <f t="shared" si="92"/>
        <v>0</v>
      </c>
      <c r="LL27" s="851"/>
      <c r="LM27" s="860"/>
      <c r="LN27" s="1050">
        <f t="shared" si="228"/>
        <v>0</v>
      </c>
      <c r="LO27" s="865">
        <f>[1]Субсидия_факт!DP25</f>
        <v>0</v>
      </c>
      <c r="LP27" s="850">
        <f>[1]Субсидия_факт!CB25</f>
        <v>0</v>
      </c>
      <c r="LQ27" s="860">
        <f>[1]Субсидия_факт!CH25</f>
        <v>0</v>
      </c>
      <c r="LR27" s="1050">
        <f t="shared" si="93"/>
        <v>0</v>
      </c>
      <c r="LS27" s="865"/>
      <c r="LT27" s="850"/>
      <c r="LU27" s="860"/>
      <c r="LV27" s="1050">
        <f t="shared" si="229"/>
        <v>11449459.460000001</v>
      </c>
      <c r="LW27" s="865">
        <f>[1]Субсидия_факт!DR25</f>
        <v>0</v>
      </c>
      <c r="LX27" s="850">
        <f>[1]Субсидия_факт!CD25</f>
        <v>2976859.4600000009</v>
      </c>
      <c r="LY27" s="860">
        <f>[1]Субсидия_факт!CJ25</f>
        <v>8472600</v>
      </c>
      <c r="LZ27" s="1050">
        <f t="shared" si="94"/>
        <v>11449459.460000001</v>
      </c>
      <c r="MA27" s="865"/>
      <c r="MB27" s="850">
        <v>2976859.46</v>
      </c>
      <c r="MC27" s="858">
        <v>8472600</v>
      </c>
      <c r="MD27" s="879">
        <f t="shared" si="95"/>
        <v>11449459.460000001</v>
      </c>
      <c r="ME27" s="862">
        <f>'Проверочная  таблица'!LW27-MM27</f>
        <v>0</v>
      </c>
      <c r="MF27" s="862">
        <f>'Проверочная  таблица'!LX27-MN27</f>
        <v>2976859.4600000009</v>
      </c>
      <c r="MG27" s="863">
        <f>'Проверочная  таблица'!LY27-MO27</f>
        <v>8472600</v>
      </c>
      <c r="MH27" s="879">
        <f t="shared" si="96"/>
        <v>11449459.460000001</v>
      </c>
      <c r="MI27" s="862">
        <f>'Проверочная  таблица'!MA27-MQ27</f>
        <v>0</v>
      </c>
      <c r="MJ27" s="862">
        <f>'Проверочная  таблица'!MB27-MR27</f>
        <v>2976859.46</v>
      </c>
      <c r="MK27" s="863">
        <f>'Проверочная  таблица'!MC27-MS27</f>
        <v>8472600</v>
      </c>
      <c r="ML27" s="879">
        <f t="shared" si="97"/>
        <v>0</v>
      </c>
      <c r="MM27" s="850">
        <f>[1]Субсидия_факт!DT25</f>
        <v>0</v>
      </c>
      <c r="MN27" s="850">
        <f>[1]Субсидия_факт!CF25</f>
        <v>0</v>
      </c>
      <c r="MO27" s="860">
        <f>[1]Субсидия_факт!CL25</f>
        <v>0</v>
      </c>
      <c r="MP27" s="879">
        <f t="shared" si="98"/>
        <v>0</v>
      </c>
      <c r="MQ27" s="850"/>
      <c r="MR27" s="850"/>
      <c r="MS27" s="860"/>
      <c r="MT27" s="1360">
        <f t="shared" si="230"/>
        <v>56214.89</v>
      </c>
      <c r="MU27" s="850">
        <f>[1]Субсидия_факт!CN25</f>
        <v>0</v>
      </c>
      <c r="MV27" s="858">
        <f>[1]Субсидия_факт!CP25</f>
        <v>0</v>
      </c>
      <c r="MW27" s="862">
        <f>[1]Субсидия_факт!CR25</f>
        <v>0</v>
      </c>
      <c r="MX27" s="863">
        <f>[1]Субсидия_факт!CT25</f>
        <v>0</v>
      </c>
      <c r="MY27" s="851">
        <f>[1]Субсидия_факт!DV25</f>
        <v>0</v>
      </c>
      <c r="MZ27" s="859">
        <f>[1]Субсидия_факт!FJ25</f>
        <v>14615.870000000003</v>
      </c>
      <c r="NA27" s="858">
        <f>[1]Субсидия_факт!FP25</f>
        <v>41599.019999999997</v>
      </c>
      <c r="NB27" s="1003">
        <f t="shared" si="99"/>
        <v>56214.89</v>
      </c>
      <c r="NC27" s="850"/>
      <c r="ND27" s="860"/>
      <c r="NE27" s="866"/>
      <c r="NF27" s="890"/>
      <c r="NG27" s="850"/>
      <c r="NH27" s="850">
        <f>MZ27</f>
        <v>14615.870000000003</v>
      </c>
      <c r="NI27" s="860">
        <f t="shared" si="251"/>
        <v>41599.019999999997</v>
      </c>
      <c r="NJ27" s="1003">
        <f t="shared" si="231"/>
        <v>25334.509999999995</v>
      </c>
      <c r="NK27" s="859">
        <f>[1]Субсидия_факт!FL25</f>
        <v>6586.9699999999939</v>
      </c>
      <c r="NL27" s="858">
        <f>[1]Субсидия_факт!FR25</f>
        <v>18747.54</v>
      </c>
      <c r="NM27" s="1003">
        <f t="shared" si="101"/>
        <v>25334.509999999995</v>
      </c>
      <c r="NN27" s="851">
        <f>NK27</f>
        <v>6586.9699999999939</v>
      </c>
      <c r="NO27" s="860">
        <f>NL27</f>
        <v>18747.54</v>
      </c>
      <c r="NP27" s="878">
        <f t="shared" si="102"/>
        <v>0</v>
      </c>
      <c r="NQ27" s="859">
        <f>'Проверочная  таблица'!NK27-NW27</f>
        <v>0</v>
      </c>
      <c r="NR27" s="860">
        <f>'Проверочная  таблица'!NL27-NX27</f>
        <v>0</v>
      </c>
      <c r="NS27" s="878">
        <f t="shared" si="103"/>
        <v>0</v>
      </c>
      <c r="NT27" s="850">
        <f>'Проверочная  таблица'!NN27-NZ27</f>
        <v>0</v>
      </c>
      <c r="NU27" s="867">
        <f>'Проверочная  таблица'!NO27-OA27</f>
        <v>0</v>
      </c>
      <c r="NV27" s="878">
        <f t="shared" si="232"/>
        <v>25334.509999999995</v>
      </c>
      <c r="NW27" s="859">
        <f>[1]Субсидия_факт!FN25</f>
        <v>6586.9699999999939</v>
      </c>
      <c r="NX27" s="858">
        <f>[1]Субсидия_факт!FT25</f>
        <v>18747.54</v>
      </c>
      <c r="NY27" s="878">
        <f t="shared" si="254"/>
        <v>25334.509999999995</v>
      </c>
      <c r="NZ27" s="850">
        <f>NN27</f>
        <v>6586.9699999999939</v>
      </c>
      <c r="OA27" s="860">
        <f>NO27</f>
        <v>18747.54</v>
      </c>
      <c r="OB27" s="1012">
        <f t="shared" si="233"/>
        <v>0</v>
      </c>
      <c r="OC27" s="859">
        <f>[1]Субсидия_факт!AR25</f>
        <v>0</v>
      </c>
      <c r="OD27" s="858">
        <f>[1]Субсидия_факт!AT25</f>
        <v>0</v>
      </c>
      <c r="OE27" s="859">
        <f>[1]Субсидия_факт!AV25</f>
        <v>0</v>
      </c>
      <c r="OF27" s="1014">
        <f t="shared" si="105"/>
        <v>0</v>
      </c>
      <c r="OG27" s="902"/>
      <c r="OH27" s="909"/>
      <c r="OI27" s="902"/>
      <c r="OJ27" s="1376">
        <f t="shared" si="106"/>
        <v>29744209.579999998</v>
      </c>
      <c r="OK27" s="859">
        <f>[1]Субсидия_факт!GD25</f>
        <v>15600000</v>
      </c>
      <c r="OL27" s="858">
        <f>[1]Субсидия_факт!GJ25</f>
        <v>14144209.58</v>
      </c>
      <c r="OM27" s="866">
        <f>[1]Субсидия_факт!GP25</f>
        <v>0</v>
      </c>
      <c r="ON27" s="1376">
        <f t="shared" si="107"/>
        <v>0</v>
      </c>
      <c r="OO27" s="851"/>
      <c r="OP27" s="860"/>
      <c r="OQ27" s="850"/>
      <c r="OR27" s="1352">
        <f t="shared" si="234"/>
        <v>39578683.5</v>
      </c>
      <c r="OS27" s="859">
        <f>[1]Субсидия_факт!GF25</f>
        <v>821052.83999999985</v>
      </c>
      <c r="OT27" s="858">
        <f>[1]Субсидия_факт!GL25</f>
        <v>15600000</v>
      </c>
      <c r="OU27" s="850">
        <f>[1]Субсидия_факт!GR25</f>
        <v>23157630.66</v>
      </c>
      <c r="OV27" s="1352">
        <f t="shared" si="108"/>
        <v>32728470.48</v>
      </c>
      <c r="OW27" s="850">
        <v>821052.84</v>
      </c>
      <c r="OX27" s="867">
        <v>15600000</v>
      </c>
      <c r="OY27" s="850">
        <v>16307417.640000001</v>
      </c>
      <c r="OZ27" s="1354">
        <f t="shared" si="109"/>
        <v>14144209.58</v>
      </c>
      <c r="PA27" s="885">
        <f>'Проверочная  таблица'!OS27-PI27</f>
        <v>0</v>
      </c>
      <c r="PB27" s="863">
        <f>'Проверочная  таблица'!OT27-PJ27</f>
        <v>0</v>
      </c>
      <c r="PC27" s="866">
        <f>'Проверочная  таблица'!OU27-PK27</f>
        <v>14144209.58</v>
      </c>
      <c r="PD27" s="1354">
        <f t="shared" si="235"/>
        <v>14132387.66</v>
      </c>
      <c r="PE27" s="851">
        <f>'Проверочная  таблица'!OW27-PM27</f>
        <v>0</v>
      </c>
      <c r="PF27" s="860">
        <f>'Проверочная  таблица'!OX27-PN27</f>
        <v>0</v>
      </c>
      <c r="PG27" s="850">
        <f>'Проверочная  таблица'!OY27-PO27</f>
        <v>14132387.66</v>
      </c>
      <c r="PH27" s="1354">
        <f t="shared" si="110"/>
        <v>25434473.920000002</v>
      </c>
      <c r="PI27" s="859">
        <f>[1]Субсидия_факт!GH25</f>
        <v>821052.83999999985</v>
      </c>
      <c r="PJ27" s="858">
        <f>[1]Субсидия_факт!GN25</f>
        <v>15600000</v>
      </c>
      <c r="PK27" s="859">
        <f>[1]Субсидия_факт!GT25</f>
        <v>9013421.0800000001</v>
      </c>
      <c r="PL27" s="1354">
        <f t="shared" si="111"/>
        <v>18596082.82</v>
      </c>
      <c r="PM27" s="851">
        <f t="shared" si="191"/>
        <v>821052.84</v>
      </c>
      <c r="PN27" s="860">
        <f t="shared" si="192"/>
        <v>15600000</v>
      </c>
      <c r="PO27" s="859">
        <v>2175029.98</v>
      </c>
      <c r="PP27" s="1003">
        <f t="shared" si="193"/>
        <v>0</v>
      </c>
      <c r="PQ27" s="862">
        <f>[1]Субсидия_факт!JB25</f>
        <v>0</v>
      </c>
      <c r="PR27" s="863">
        <f>[1]Субсидия_факт!JH25</f>
        <v>0</v>
      </c>
      <c r="PS27" s="862"/>
      <c r="PT27" s="863"/>
      <c r="PU27" s="1003">
        <f t="shared" si="194"/>
        <v>0</v>
      </c>
      <c r="PV27" s="902"/>
      <c r="PW27" s="925"/>
      <c r="PX27" s="902"/>
      <c r="PY27" s="925"/>
      <c r="PZ27" s="1014">
        <f t="shared" si="112"/>
        <v>0</v>
      </c>
      <c r="QA27" s="862">
        <f>[1]Субсидия_факт!JD25</f>
        <v>0</v>
      </c>
      <c r="QB27" s="863">
        <f>[1]Субсидия_факт!JJ25</f>
        <v>0</v>
      </c>
      <c r="QC27" s="1411">
        <f t="shared" si="113"/>
        <v>0</v>
      </c>
      <c r="QD27" s="902"/>
      <c r="QE27" s="925"/>
      <c r="QF27" s="1016">
        <f t="shared" si="236"/>
        <v>0</v>
      </c>
      <c r="QG27" s="902">
        <f t="shared" si="114"/>
        <v>0</v>
      </c>
      <c r="QH27" s="909">
        <f t="shared" si="114"/>
        <v>0</v>
      </c>
      <c r="QI27" s="1029">
        <f t="shared" si="115"/>
        <v>0</v>
      </c>
      <c r="QJ27" s="862">
        <f t="shared" si="116"/>
        <v>0</v>
      </c>
      <c r="QK27" s="863">
        <f t="shared" si="116"/>
        <v>0</v>
      </c>
      <c r="QL27" s="1029">
        <f t="shared" si="117"/>
        <v>0</v>
      </c>
      <c r="QM27" s="862">
        <f>[1]Субсидия_факт!JF25</f>
        <v>0</v>
      </c>
      <c r="QN27" s="863">
        <f>[1]Субсидия_факт!JL25</f>
        <v>0</v>
      </c>
      <c r="QO27" s="1016">
        <f t="shared" si="237"/>
        <v>0</v>
      </c>
      <c r="QP27" s="902"/>
      <c r="QQ27" s="925"/>
      <c r="QR27" s="897">
        <f t="shared" si="118"/>
        <v>0</v>
      </c>
      <c r="QS27" s="862">
        <f>[1]Субсидия_факт!CV25</f>
        <v>0</v>
      </c>
      <c r="QT27" s="863">
        <f>[1]Субсидия_факт!CX25</f>
        <v>0</v>
      </c>
      <c r="QU27" s="1050">
        <f t="shared" si="119"/>
        <v>0</v>
      </c>
      <c r="QV27" s="862"/>
      <c r="QW27" s="863"/>
      <c r="QX27" s="897">
        <f t="shared" si="120"/>
        <v>0</v>
      </c>
      <c r="QY27" s="862">
        <f>[1]Субсидия_факт!CZ25</f>
        <v>0</v>
      </c>
      <c r="QZ27" s="863">
        <f>[1]Субсидия_факт!DF25</f>
        <v>0</v>
      </c>
      <c r="RA27" s="1050">
        <f t="shared" si="121"/>
        <v>0</v>
      </c>
      <c r="RB27" s="862"/>
      <c r="RC27" s="863"/>
      <c r="RD27" s="897">
        <f t="shared" si="122"/>
        <v>0</v>
      </c>
      <c r="RE27" s="862">
        <f>[1]Субсидия_факт!DB25</f>
        <v>0</v>
      </c>
      <c r="RF27" s="863">
        <f>[1]Субсидия_факт!DH25</f>
        <v>0</v>
      </c>
      <c r="RG27" s="1050">
        <f t="shared" si="123"/>
        <v>0</v>
      </c>
      <c r="RH27" s="862"/>
      <c r="RI27" s="863"/>
      <c r="RJ27" s="1373">
        <f t="shared" si="124"/>
        <v>0</v>
      </c>
      <c r="RK27" s="862">
        <f t="shared" si="125"/>
        <v>0</v>
      </c>
      <c r="RL27" s="863">
        <f t="shared" si="125"/>
        <v>0</v>
      </c>
      <c r="RM27" s="879">
        <f t="shared" si="126"/>
        <v>0</v>
      </c>
      <c r="RN27" s="862">
        <f t="shared" si="127"/>
        <v>0</v>
      </c>
      <c r="RO27" s="863">
        <f t="shared" si="127"/>
        <v>0</v>
      </c>
      <c r="RP27" s="1373">
        <f t="shared" si="128"/>
        <v>0</v>
      </c>
      <c r="RQ27" s="862">
        <f>[1]Субсидия_факт!DD25</f>
        <v>0</v>
      </c>
      <c r="RR27" s="863">
        <f>[1]Субсидия_факт!DJ25</f>
        <v>0</v>
      </c>
      <c r="RS27" s="879">
        <f t="shared" si="129"/>
        <v>0</v>
      </c>
      <c r="RT27" s="862"/>
      <c r="RU27" s="863"/>
      <c r="RV27" s="939">
        <f t="shared" si="130"/>
        <v>0</v>
      </c>
      <c r="RW27" s="862">
        <f>[1]Субсидия_факт!DL25</f>
        <v>0</v>
      </c>
      <c r="RX27" s="863">
        <f>[1]Субсидия_факт!DN25</f>
        <v>0</v>
      </c>
      <c r="RY27" s="1411">
        <f t="shared" si="131"/>
        <v>0</v>
      </c>
      <c r="RZ27" s="906"/>
      <c r="SA27" s="907"/>
      <c r="SB27" s="1050">
        <f t="shared" si="238"/>
        <v>0</v>
      </c>
      <c r="SC27" s="859">
        <f>[1]Субсидия_факт!BJ25</f>
        <v>0</v>
      </c>
      <c r="SD27" s="862">
        <f>[1]Субсидия_факт!BF25</f>
        <v>0</v>
      </c>
      <c r="SE27" s="889">
        <f>[1]Субсидия_факт!BH25</f>
        <v>0</v>
      </c>
      <c r="SF27" s="1050">
        <f t="shared" si="132"/>
        <v>0</v>
      </c>
      <c r="SG27" s="910"/>
      <c r="SH27" s="906"/>
      <c r="SI27" s="907"/>
      <c r="SJ27" s="897">
        <f t="shared" si="133"/>
        <v>0</v>
      </c>
      <c r="SK27" s="862">
        <f>[1]Субсидия_факт!AD25</f>
        <v>0</v>
      </c>
      <c r="SL27" s="863">
        <f>[1]Субсидия_факт!AF25</f>
        <v>0</v>
      </c>
      <c r="SM27" s="1014">
        <f t="shared" si="134"/>
        <v>0</v>
      </c>
      <c r="SN27" s="906"/>
      <c r="SO27" s="907"/>
      <c r="SP27" s="897">
        <f t="shared" si="239"/>
        <v>0</v>
      </c>
      <c r="SQ27" s="862">
        <f>[1]Субсидия_факт!ID25</f>
        <v>0</v>
      </c>
      <c r="SR27" s="863">
        <f>[1]Субсидия_факт!IJ25</f>
        <v>0</v>
      </c>
      <c r="SS27" s="885">
        <f>[1]Субсидия_факт!IP25</f>
        <v>0</v>
      </c>
      <c r="ST27" s="863">
        <f>[1]Субсидия_факт!IV25</f>
        <v>0</v>
      </c>
      <c r="SU27" s="1123">
        <f>[1]Субсидия_факт!JZ25</f>
        <v>0</v>
      </c>
      <c r="SV27" s="889">
        <f>[1]Субсидия_факт!KF25</f>
        <v>0</v>
      </c>
      <c r="SW27" s="1050">
        <f t="shared" si="135"/>
        <v>0</v>
      </c>
      <c r="SX27" s="1244"/>
      <c r="SY27" s="890"/>
      <c r="SZ27" s="1244"/>
      <c r="TA27" s="890"/>
      <c r="TB27" s="1015"/>
      <c r="TC27" s="907"/>
      <c r="TD27" s="939">
        <f t="shared" si="136"/>
        <v>22807632.129999999</v>
      </c>
      <c r="TE27" s="862">
        <f>[1]Субсидия_факт!IF25</f>
        <v>1140381.6199999999</v>
      </c>
      <c r="TF27" s="863">
        <f>[1]Субсидия_факт!IL25</f>
        <v>21667250.509999998</v>
      </c>
      <c r="TG27" s="885">
        <f>[1]Субсидия_факт!IR25</f>
        <v>0</v>
      </c>
      <c r="TH27" s="863">
        <f>[1]Субсидия_факт!IX25</f>
        <v>0</v>
      </c>
      <c r="TI27" s="885">
        <f>[1]Субсидия_факт!KB25</f>
        <v>0</v>
      </c>
      <c r="TJ27" s="863">
        <f>[1]Субсидия_факт!KH25</f>
        <v>0</v>
      </c>
      <c r="TK27" s="1014">
        <f t="shared" si="137"/>
        <v>0.03</v>
      </c>
      <c r="TL27" s="902">
        <v>0</v>
      </c>
      <c r="TM27" s="925">
        <v>0.03</v>
      </c>
      <c r="TN27" s="1123"/>
      <c r="TO27" s="890"/>
      <c r="TP27" s="902"/>
      <c r="TQ27" s="925"/>
      <c r="TR27" s="1016">
        <f t="shared" si="138"/>
        <v>22807632.129999999</v>
      </c>
      <c r="TS27" s="908">
        <f t="shared" si="139"/>
        <v>1140381.6199999999</v>
      </c>
      <c r="TT27" s="909">
        <f t="shared" si="139"/>
        <v>21667250.509999998</v>
      </c>
      <c r="TU27" s="908">
        <f t="shared" si="139"/>
        <v>0</v>
      </c>
      <c r="TV27" s="909">
        <f t="shared" si="139"/>
        <v>0</v>
      </c>
      <c r="TW27" s="906">
        <f t="shared" si="139"/>
        <v>0</v>
      </c>
      <c r="TX27" s="909">
        <f t="shared" si="139"/>
        <v>0</v>
      </c>
      <c r="TY27" s="1016">
        <f t="shared" si="140"/>
        <v>0.03</v>
      </c>
      <c r="TZ27" s="908">
        <f t="shared" si="141"/>
        <v>0</v>
      </c>
      <c r="UA27" s="909">
        <f t="shared" si="141"/>
        <v>0.03</v>
      </c>
      <c r="UB27" s="908">
        <f t="shared" si="141"/>
        <v>0</v>
      </c>
      <c r="UC27" s="909">
        <f t="shared" si="141"/>
        <v>0</v>
      </c>
      <c r="UD27" s="906">
        <f t="shared" si="141"/>
        <v>0</v>
      </c>
      <c r="UE27" s="909">
        <f t="shared" si="141"/>
        <v>0</v>
      </c>
      <c r="UF27" s="1029">
        <f t="shared" si="142"/>
        <v>0</v>
      </c>
      <c r="UG27" s="862">
        <f>[1]Субсидия_факт!IH25</f>
        <v>0</v>
      </c>
      <c r="UH27" s="863">
        <f>[1]Субсидия_факт!IN25</f>
        <v>0</v>
      </c>
      <c r="UI27" s="885">
        <f>[1]Субсидия_факт!IT25</f>
        <v>0</v>
      </c>
      <c r="UJ27" s="863">
        <f>[1]Субсидия_факт!IZ25</f>
        <v>0</v>
      </c>
      <c r="UK27" s="885">
        <f>[1]Субсидия_факт!KD25</f>
        <v>0</v>
      </c>
      <c r="UL27" s="863">
        <f>[1]Субсидия_факт!KJ25</f>
        <v>0</v>
      </c>
      <c r="UM27" s="1016">
        <f t="shared" si="143"/>
        <v>0</v>
      </c>
      <c r="UN27" s="1123"/>
      <c r="UO27" s="890"/>
      <c r="UP27" s="1123"/>
      <c r="UQ27" s="890"/>
      <c r="UR27" s="1123"/>
      <c r="US27" s="890"/>
      <c r="UT27" s="1050">
        <f>'Прочая  субсидия_МР  и  ГО'!B23</f>
        <v>103141461.31999999</v>
      </c>
      <c r="UU27" s="1050">
        <f>'Прочая  субсидия_МР  и  ГО'!C23</f>
        <v>60205035.239999995</v>
      </c>
      <c r="UV27" s="1371">
        <f>'Прочая  субсидия_БП'!B23</f>
        <v>10669300.630000006</v>
      </c>
      <c r="UW27" s="897">
        <f>'Прочая  субсидия_БП'!C23</f>
        <v>10350814.379999999</v>
      </c>
      <c r="UX27" s="1408">
        <f>'Прочая  субсидия_БП'!D23</f>
        <v>543268.99</v>
      </c>
      <c r="UY27" s="1051">
        <f>'Прочая  субсидия_БП'!E23</f>
        <v>368457.91999999993</v>
      </c>
      <c r="UZ27" s="1409">
        <f>'Прочая  субсидия_БП'!F23</f>
        <v>10126031.640000006</v>
      </c>
      <c r="VA27" s="1408">
        <f>'Прочая  субсидия_БП'!G23</f>
        <v>9982356.459999999</v>
      </c>
      <c r="VB27" s="897">
        <f t="shared" si="144"/>
        <v>652802230.45000005</v>
      </c>
      <c r="VC27" s="866">
        <f>'Проверочная  таблица'!WE27+'Проверочная  таблица'!VH27+'Проверочная  таблица'!VJ27+VY27</f>
        <v>632409409.87</v>
      </c>
      <c r="VD27" s="891">
        <f>'Проверочная  таблица'!WF27+'Проверочная  таблица'!VN27+'Проверочная  таблица'!VT27+'Проверочная  таблица'!VP27+'Проверочная  таблица'!VR27+VV27+VZ27+VL27</f>
        <v>20392820.579999998</v>
      </c>
      <c r="VE27" s="1050">
        <f t="shared" si="145"/>
        <v>518175259.70999998</v>
      </c>
      <c r="VF27" s="866">
        <f>'Проверочная  таблица'!WH27+'Проверочная  таблица'!VI27+'Проверочная  таблица'!VK27+WB27</f>
        <v>504540914.58999997</v>
      </c>
      <c r="VG27" s="891">
        <f>'Проверочная  таблица'!WI27+'Проверочная  таблица'!VO27+'Проверочная  таблица'!VU27+'Проверочная  таблица'!VQ27+'Проверочная  таблица'!VS27+VW27+WC27+VM27</f>
        <v>13634345.119999999</v>
      </c>
      <c r="VH27" s="1391">
        <f>'Субвенция  на  полномочия'!B23</f>
        <v>599166970.75999999</v>
      </c>
      <c r="VI27" s="1371">
        <f>'Субвенция  на  полномочия'!C23</f>
        <v>479324968.32999998</v>
      </c>
      <c r="VJ27" s="886">
        <f>[1]Субвенция_факт!M24*1000</f>
        <v>25267000</v>
      </c>
      <c r="VK27" s="892">
        <v>20000000</v>
      </c>
      <c r="VL27" s="886">
        <f>[1]Субвенция_факт!AE24*1000</f>
        <v>0</v>
      </c>
      <c r="VM27" s="892"/>
      <c r="VN27" s="886">
        <f>[1]Субвенция_факт!AF24*1000</f>
        <v>3858100</v>
      </c>
      <c r="VO27" s="892">
        <f>ВУС!E168</f>
        <v>2893575</v>
      </c>
      <c r="VP27" s="1396">
        <f>[1]Субвенция_факт!AG24*1000</f>
        <v>0</v>
      </c>
      <c r="VQ27" s="893"/>
      <c r="VR27" s="888">
        <f>[1]Субвенция_факт!E24*1000</f>
        <v>0</v>
      </c>
      <c r="VS27" s="893"/>
      <c r="VT27" s="888">
        <f>[1]Субвенция_факт!F24*1000</f>
        <v>0</v>
      </c>
      <c r="VU27" s="893"/>
      <c r="VV27" s="887">
        <f>[1]Субвенция_факт!G24*1000</f>
        <v>0</v>
      </c>
      <c r="VW27" s="892"/>
      <c r="VX27" s="897">
        <f t="shared" si="146"/>
        <v>21256379.16</v>
      </c>
      <c r="VY27" s="862">
        <f>[1]Субвенция_факт!P24*1000</f>
        <v>5526658.5800000001</v>
      </c>
      <c r="VZ27" s="863">
        <f>[1]Субвенция_факт!Q24*1000</f>
        <v>15729720.58</v>
      </c>
      <c r="WA27" s="1050">
        <f t="shared" si="147"/>
        <v>13426716.379999999</v>
      </c>
      <c r="WB27" s="866">
        <v>3490946.26</v>
      </c>
      <c r="WC27" s="894">
        <v>9935770.1199999992</v>
      </c>
      <c r="WD27" s="1050">
        <f t="shared" si="148"/>
        <v>3253780.5300000003</v>
      </c>
      <c r="WE27" s="895">
        <f>[1]Субвенция_факт!X24*1000</f>
        <v>2448780.5300000003</v>
      </c>
      <c r="WF27" s="896">
        <f>[1]Субвенция_факт!W24*1000</f>
        <v>805000</v>
      </c>
      <c r="WG27" s="1050">
        <f t="shared" si="149"/>
        <v>2530000</v>
      </c>
      <c r="WH27" s="866">
        <v>1725000</v>
      </c>
      <c r="WI27" s="894">
        <v>805000</v>
      </c>
      <c r="WJ27" s="897">
        <f t="shared" si="201"/>
        <v>210571464.31</v>
      </c>
      <c r="WK27" s="1050">
        <f t="shared" si="202"/>
        <v>138919244.66999999</v>
      </c>
      <c r="WL27" s="1391">
        <f t="shared" si="240"/>
        <v>0</v>
      </c>
      <c r="WM27" s="895"/>
      <c r="WN27" s="896">
        <f>'[1]Иные межбюджетные трансферты'!I25</f>
        <v>0</v>
      </c>
      <c r="WO27" s="1391">
        <f t="shared" si="241"/>
        <v>0</v>
      </c>
      <c r="WP27" s="895"/>
      <c r="WQ27" s="896"/>
      <c r="WR27" s="1391">
        <f t="shared" si="152"/>
        <v>0</v>
      </c>
      <c r="WS27" s="895">
        <f>'[1]Иные межбюджетные трансферты'!AQ25</f>
        <v>0</v>
      </c>
      <c r="WT27" s="896">
        <f>'[1]Иные межбюджетные трансферты'!AS25</f>
        <v>0</v>
      </c>
      <c r="WU27" s="1391">
        <f t="shared" si="153"/>
        <v>0</v>
      </c>
      <c r="WV27" s="895"/>
      <c r="WW27" s="896"/>
      <c r="WX27" s="1050">
        <f t="shared" si="154"/>
        <v>3235429.67</v>
      </c>
      <c r="WY27" s="895">
        <f>'[1]Иные межбюджетные трансферты'!AM25</f>
        <v>161771.49</v>
      </c>
      <c r="WZ27" s="896">
        <f>'[1]Иные межбюджетные трансферты'!AO25</f>
        <v>3073658.1799999997</v>
      </c>
      <c r="XA27" s="1050">
        <f t="shared" si="155"/>
        <v>2332449.5699999998</v>
      </c>
      <c r="XB27" s="895">
        <v>116622.48</v>
      </c>
      <c r="XC27" s="896">
        <v>2215827.09</v>
      </c>
      <c r="XD27" s="1050">
        <f t="shared" si="156"/>
        <v>43155942</v>
      </c>
      <c r="XE27" s="895">
        <f>'[1]Иные межбюджетные трансферты'!K25</f>
        <v>19833291</v>
      </c>
      <c r="XF27" s="896">
        <f>'[1]Иные межбюджетные трансферты'!M25</f>
        <v>23322651</v>
      </c>
      <c r="XG27" s="1050">
        <f t="shared" si="242"/>
        <v>23307568.41</v>
      </c>
      <c r="XH27" s="882"/>
      <c r="XI27" s="896">
        <v>23307568.41</v>
      </c>
      <c r="XJ27" s="1050">
        <f t="shared" si="158"/>
        <v>0</v>
      </c>
      <c r="XK27" s="885"/>
      <c r="XL27" s="1050">
        <f t="shared" si="159"/>
        <v>0</v>
      </c>
      <c r="XM27" s="885"/>
      <c r="XN27" s="897">
        <f t="shared" si="160"/>
        <v>3300309.39</v>
      </c>
      <c r="XO27" s="862">
        <f>'[1]Иные межбюджетные трансферты'!O25</f>
        <v>3300309.39</v>
      </c>
      <c r="XP27" s="1050">
        <f t="shared" si="161"/>
        <v>3300309.39</v>
      </c>
      <c r="XQ27" s="866">
        <v>3300309.39</v>
      </c>
      <c r="XR27" s="1390">
        <f t="shared" si="162"/>
        <v>0</v>
      </c>
      <c r="XS27" s="879">
        <f t="shared" si="163"/>
        <v>0</v>
      </c>
      <c r="XT27" s="1390">
        <f t="shared" si="164"/>
        <v>3300309.39</v>
      </c>
      <c r="XU27" s="879">
        <f t="shared" si="165"/>
        <v>3300309.39</v>
      </c>
      <c r="XV27" s="1050">
        <f t="shared" si="243"/>
        <v>74394474.74000001</v>
      </c>
      <c r="XW27" s="883">
        <f>'[1]Иные межбюджетные трансферты'!E25</f>
        <v>0</v>
      </c>
      <c r="XX27" s="895">
        <f>'[1]Иные межбюджетные трансферты'!G25</f>
        <v>37341491.079999998</v>
      </c>
      <c r="XY27" s="882">
        <f>'[1]Иные межбюджетные трансферты'!S25</f>
        <v>0</v>
      </c>
      <c r="XZ27" s="883">
        <f>'[1]Иные межбюджетные трансферты'!Y25</f>
        <v>9476000</v>
      </c>
      <c r="YA27" s="882">
        <f>'[1]Иные межбюджетные трансферты'!AA25</f>
        <v>9476000</v>
      </c>
      <c r="YB27" s="1275">
        <f>'[1]Иные межбюджетные трансферты'!AG25</f>
        <v>2770413.39</v>
      </c>
      <c r="YC27" s="882">
        <f>'[1]Иные межбюджетные трансферты'!AU25</f>
        <v>0</v>
      </c>
      <c r="YD27" s="862">
        <f>'[1]Иные межбюджетные трансферты'!BA25</f>
        <v>3227878.4000000004</v>
      </c>
      <c r="YE27" s="882">
        <f>'[1]Иные межбюджетные трансферты'!BC25</f>
        <v>6118541.8600000003</v>
      </c>
      <c r="YF27" s="1275">
        <f>'[1]Иные межбюджетные трансферты'!BE25</f>
        <v>5984150.0100000007</v>
      </c>
      <c r="YG27" s="1050">
        <f t="shared" si="244"/>
        <v>52536944.43</v>
      </c>
      <c r="YH27" s="882"/>
      <c r="YI27" s="882">
        <v>34505242.990000002</v>
      </c>
      <c r="YJ27" s="851"/>
      <c r="YK27" s="882"/>
      <c r="YL27" s="848">
        <f t="shared" si="245"/>
        <v>9476000</v>
      </c>
      <c r="YM27" s="848">
        <v>2571551.4300000002</v>
      </c>
      <c r="YN27" s="848"/>
      <c r="YO27" s="848"/>
      <c r="YP27" s="848"/>
      <c r="YQ27" s="848">
        <v>5984150.0099999998</v>
      </c>
      <c r="YR27" s="1050">
        <f t="shared" si="166"/>
        <v>86485308.510000005</v>
      </c>
      <c r="YS27" s="895">
        <f>'[1]Иные межбюджетные трансферты'!U25</f>
        <v>23826334.740000002</v>
      </c>
      <c r="YT27" s="882">
        <f>'[1]Иные межбюджетные трансферты'!AC25</f>
        <v>4738000</v>
      </c>
      <c r="YU27" s="1275">
        <f>'[1]Иные межбюджетные трансферты'!AI25</f>
        <v>47158914.539999999</v>
      </c>
      <c r="YV27" s="883">
        <f>'[1]Иные межбюджетные трансферты'!AW25</f>
        <v>4643517.37</v>
      </c>
      <c r="YW27" s="848">
        <f>'[1]Иные межбюджетные трансферты'!BG25</f>
        <v>6118541.8600000003</v>
      </c>
      <c r="YX27" s="1050">
        <f t="shared" si="167"/>
        <v>57441972.86999999</v>
      </c>
      <c r="YY27" s="865">
        <v>23826334.739999995</v>
      </c>
      <c r="YZ27" s="865">
        <f t="shared" si="247"/>
        <v>4738000</v>
      </c>
      <c r="ZA27" s="865">
        <v>22759096.27</v>
      </c>
      <c r="ZB27" s="848"/>
      <c r="ZC27" s="848">
        <v>6118541.8600000003</v>
      </c>
      <c r="ZD27" s="879">
        <f t="shared" si="168"/>
        <v>79175771.370000005</v>
      </c>
      <c r="ZE27" s="859">
        <f>'Проверочная  таблица'!YS27-ZQ27</f>
        <v>21677430.740000002</v>
      </c>
      <c r="ZF27" s="859">
        <f>'Проверочная  таблица'!YT27-ZR27</f>
        <v>0</v>
      </c>
      <c r="ZG27" s="859">
        <f>'Проверочная  таблица'!YU27-ZS27</f>
        <v>47158914.539999999</v>
      </c>
      <c r="ZH27" s="859">
        <f>'Проверочная  таблица'!YV27-ZT27</f>
        <v>4643517.37</v>
      </c>
      <c r="ZI27" s="859">
        <f>'Проверочная  таблица'!YW27-ZU27</f>
        <v>5695908.7200000007</v>
      </c>
      <c r="ZJ27" s="879">
        <f t="shared" si="169"/>
        <v>50132435.729999989</v>
      </c>
      <c r="ZK27" s="859">
        <f>'Проверочная  таблица'!YY27-ZW27</f>
        <v>21677430.739999995</v>
      </c>
      <c r="ZL27" s="859">
        <f>'Проверочная  таблица'!YZ27-ZX27</f>
        <v>0</v>
      </c>
      <c r="ZM27" s="859">
        <f>'Проверочная  таблица'!ZA27-ZY27</f>
        <v>22759096.27</v>
      </c>
      <c r="ZN27" s="859">
        <f>'Проверочная  таблица'!ZB27-ZZ27</f>
        <v>0</v>
      </c>
      <c r="ZO27" s="859">
        <f>'Проверочная  таблица'!ZC27-AAA27</f>
        <v>5695908.7200000007</v>
      </c>
      <c r="ZP27" s="879">
        <f t="shared" si="170"/>
        <v>7309537.1399999997</v>
      </c>
      <c r="ZQ27" s="895">
        <f>'[1]Иные межбюджетные трансферты'!W25</f>
        <v>2148904</v>
      </c>
      <c r="ZR27" s="895">
        <f>'[1]Иные межбюджетные трансферты'!AE25</f>
        <v>4738000</v>
      </c>
      <c r="ZS27" s="882"/>
      <c r="ZT27" s="883">
        <f>'[1]Иные межбюджетные трансферты'!AY25</f>
        <v>0</v>
      </c>
      <c r="ZU27" s="848">
        <f>'[1]Иные межбюджетные трансферты'!$BI$25</f>
        <v>422633.14</v>
      </c>
      <c r="ZV27" s="879">
        <f t="shared" si="171"/>
        <v>7309537.1399999997</v>
      </c>
      <c r="ZW27" s="865">
        <v>2148904</v>
      </c>
      <c r="ZX27" s="865">
        <f t="shared" si="248"/>
        <v>4738000</v>
      </c>
      <c r="ZY27" s="865"/>
      <c r="ZZ27" s="848"/>
      <c r="AAA27" s="848">
        <v>422633.14</v>
      </c>
      <c r="AAB27" s="1050">
        <f>AAD27+'Проверочная  таблица'!AAL27+AAH27+'Проверочная  таблица'!AAP27+AAJ27+'Проверочная  таблица'!AAR27</f>
        <v>-2350000</v>
      </c>
      <c r="AAC27" s="1050">
        <f>AAE27+'Проверочная  таблица'!AAM27+AAI27+'Проверочная  таблица'!AAQ27+AAK27+'Проверочная  таблица'!AAS27</f>
        <v>0</v>
      </c>
      <c r="AAD27" s="897"/>
      <c r="AAE27" s="897"/>
      <c r="AAF27" s="897"/>
      <c r="AAG27" s="897"/>
      <c r="AAH27" s="1410">
        <f t="shared" si="172"/>
        <v>0</v>
      </c>
      <c r="AAI27" s="905">
        <f t="shared" si="172"/>
        <v>0</v>
      </c>
      <c r="AAJ27" s="911"/>
      <c r="AAK27" s="905"/>
      <c r="AAL27" s="897">
        <v>-1700000</v>
      </c>
      <c r="AAM27" s="897"/>
      <c r="AAN27" s="897">
        <v>-650000</v>
      </c>
      <c r="AAO27" s="897"/>
      <c r="AAP27" s="1410">
        <f t="shared" si="173"/>
        <v>0</v>
      </c>
      <c r="AAQ27" s="905">
        <f t="shared" si="173"/>
        <v>0</v>
      </c>
      <c r="AAR27" s="905">
        <v>-650000</v>
      </c>
      <c r="AAS27" s="905"/>
      <c r="AAT27" s="1384">
        <f>'Проверочная  таблица'!AAL27+'Проверочная  таблица'!AAN27</f>
        <v>-2350000</v>
      </c>
      <c r="AAU27" s="1384">
        <f>'Проверочная  таблица'!AAM27+'Проверочная  таблица'!AAO27</f>
        <v>0</v>
      </c>
    </row>
    <row r="28" spans="1:723" ht="20.45" customHeight="1" x14ac:dyDescent="0.25">
      <c r="A28" s="880" t="s">
        <v>1297</v>
      </c>
      <c r="B28" s="897">
        <f>D28+AN28+'Проверочная  таблица'!VB28+'Проверочная  таблица'!WJ28</f>
        <v>942320322.16999984</v>
      </c>
      <c r="C28" s="1050">
        <f>E28+'Проверочная  таблица'!VE28+AO28+'Проверочная  таблица'!WK28</f>
        <v>651975964.28000009</v>
      </c>
      <c r="D28" s="1371">
        <f t="shared" si="0"/>
        <v>326214165.05000001</v>
      </c>
      <c r="E28" s="897">
        <f t="shared" si="1"/>
        <v>253162460.16</v>
      </c>
      <c r="F28" s="1376">
        <f>'[1]Дотация  из  ОБ_факт'!M24</f>
        <v>226986839</v>
      </c>
      <c r="G28" s="1385">
        <v>164577721</v>
      </c>
      <c r="H28" s="1376">
        <f>'[1]Дотация  из  ОБ_факт'!G24</f>
        <v>31496305.050000001</v>
      </c>
      <c r="I28" s="1385">
        <v>25666938.16</v>
      </c>
      <c r="J28" s="1386">
        <f t="shared" si="2"/>
        <v>31496305.050000001</v>
      </c>
      <c r="K28" s="1387">
        <f t="shared" si="2"/>
        <v>25666938.16</v>
      </c>
      <c r="L28" s="1386">
        <f>'[1]Дотация  из  ОБ_факт'!K24</f>
        <v>0</v>
      </c>
      <c r="M28" s="881"/>
      <c r="N28" s="1376">
        <f>'[1]Дотация  из  ОБ_факт'!Q24</f>
        <v>17350000</v>
      </c>
      <c r="O28" s="1385">
        <v>17350000</v>
      </c>
      <c r="P28" s="1376">
        <f>'[1]Дотация  из  ОБ_факт'!S24</f>
        <v>48897146</v>
      </c>
      <c r="Q28" s="1385">
        <v>44083926</v>
      </c>
      <c r="R28" s="1386">
        <f t="shared" si="3"/>
        <v>48897146</v>
      </c>
      <c r="S28" s="1387">
        <f t="shared" si="3"/>
        <v>44083926</v>
      </c>
      <c r="T28" s="1386">
        <f>'[1]Дотация  из  ОБ_факт'!W24</f>
        <v>0</v>
      </c>
      <c r="U28" s="881"/>
      <c r="V28" s="886">
        <f t="shared" si="4"/>
        <v>840000</v>
      </c>
      <c r="W28" s="1388">
        <f>'[1]Дотация  из  ОБ_факт'!AA24</f>
        <v>300000</v>
      </c>
      <c r="X28" s="1389">
        <f>'[1]Дотация  из  ОБ_факт'!AC24</f>
        <v>0</v>
      </c>
      <c r="Y28" s="1389">
        <f>'[1]Дотация  из  ОБ_факт'!AG24</f>
        <v>540000</v>
      </c>
      <c r="Z28" s="887">
        <f t="shared" si="5"/>
        <v>840000</v>
      </c>
      <c r="AA28" s="848">
        <f t="shared" si="177"/>
        <v>300000</v>
      </c>
      <c r="AB28" s="848">
        <f t="shared" si="177"/>
        <v>0</v>
      </c>
      <c r="AC28" s="882">
        <f>Y28</f>
        <v>540000</v>
      </c>
      <c r="AD28" s="886">
        <f t="shared" si="6"/>
        <v>643875</v>
      </c>
      <c r="AE28" s="1388">
        <f>'[1]Дотация  из  ОБ_факт'!Y24</f>
        <v>643875</v>
      </c>
      <c r="AF28" s="1389">
        <f>'[1]Дотация  из  ОБ_факт'!AE24</f>
        <v>0</v>
      </c>
      <c r="AG28" s="886">
        <f t="shared" si="7"/>
        <v>643875</v>
      </c>
      <c r="AH28" s="1359">
        <f t="shared" si="178"/>
        <v>643875</v>
      </c>
      <c r="AI28" s="848">
        <f t="shared" si="179"/>
        <v>0</v>
      </c>
      <c r="AJ28" s="1386">
        <f t="shared" si="8"/>
        <v>643875</v>
      </c>
      <c r="AK28" s="1387">
        <f t="shared" si="9"/>
        <v>643875</v>
      </c>
      <c r="AL28" s="1386">
        <f>'[1]Дотация  из  ОБ_факт'!AE24</f>
        <v>0</v>
      </c>
      <c r="AM28" s="884"/>
      <c r="AN28" s="1012">
        <f>'Проверочная  таблица'!UT28+'Проверочная  таблица'!UV28+BL28+BN28+BZ28+CB28+AZ28+BD28+'Проверочная  таблица'!MT28+'Проверочная  таблица'!NJ28+'Проверочная  таблица'!DT28+'Проверочная  таблица'!OB28+DL28+'Проверочная  таблица'!JJ28+'Проверочная  таблица'!JP28+'Проверочная  таблица'!OJ28+'Проверочная  таблица'!OR28+JD28+AP28+AV28+ET28+EZ28+CN28+SP28+DZ28+TD28+PZ28+EF28+EN28+LN28+LV28+SJ28+GN28+RV28+QX28+KH28+KR28+RD28+SB28+CH28+QR28+HD28+FX28+HJ28+HP28+FR28+DB28+PP28+BT28+IH28+IX28+GV28+GD28+IN28</f>
        <v>128221422.45999999</v>
      </c>
      <c r="AO28" s="1013">
        <f>'Проверочная  таблица'!UU28+'Проверочная  таблица'!UW28+BM28+BO28+CA28+CC28+BB28+BF28+'Проверочная  таблица'!NB28+'Проверочная  таблица'!NM28+'Проверочная  таблица'!DW28+'Проверочная  таблица'!OF28+DP28+'Проверочная  таблица'!JM28+'Проверочная  таблица'!JS28+'Проверочная  таблица'!ON28+'Проверочная  таблица'!OV28+JG28+AS28+AX28+EW28+FC28+CU28+SW28+EC28+TK28+QC28+EJ28+EQ28+LR28+LZ28+SM28+GR28+RY28+RA28+KM28+KW28+RG28+SF28+CK28+QU28+HG28+GA28+HM28+HS28+FU28+DE28+PU28+BW28+IK28+JA28+GX28+GG28+IQ28</f>
        <v>66636599.500000007</v>
      </c>
      <c r="AP28" s="1050">
        <f t="shared" si="10"/>
        <v>12543068.1</v>
      </c>
      <c r="AQ28" s="885">
        <f>[1]Субсидия_факт!HV26</f>
        <v>12543068.1</v>
      </c>
      <c r="AR28" s="866">
        <f>[1]Субсидия_факт!MR26</f>
        <v>0</v>
      </c>
      <c r="AS28" s="1050">
        <f t="shared" si="11"/>
        <v>6318350.4500000002</v>
      </c>
      <c r="AT28" s="866">
        <v>6318350.4500000002</v>
      </c>
      <c r="AU28" s="885"/>
      <c r="AV28" s="1003">
        <f t="shared" si="12"/>
        <v>0</v>
      </c>
      <c r="AW28" s="866">
        <f>[1]Субсидия_факт!MV26</f>
        <v>0</v>
      </c>
      <c r="AX28" s="1360">
        <f t="shared" si="13"/>
        <v>0</v>
      </c>
      <c r="AY28" s="866"/>
      <c r="AZ28" s="897">
        <f t="shared" si="14"/>
        <v>0</v>
      </c>
      <c r="BA28" s="866">
        <f>[1]Субсидия_факт!KZ26</f>
        <v>0</v>
      </c>
      <c r="BB28" s="1050">
        <f t="shared" si="15"/>
        <v>0</v>
      </c>
      <c r="BC28" s="866"/>
      <c r="BD28" s="897">
        <f t="shared" si="16"/>
        <v>0</v>
      </c>
      <c r="BE28" s="866">
        <f>[1]Субсидия_факт!LB26</f>
        <v>0</v>
      </c>
      <c r="BF28" s="1050">
        <f t="shared" si="17"/>
        <v>0</v>
      </c>
      <c r="BG28" s="866"/>
      <c r="BH28" s="1373">
        <f t="shared" si="18"/>
        <v>0</v>
      </c>
      <c r="BI28" s="879">
        <f t="shared" si="19"/>
        <v>0</v>
      </c>
      <c r="BJ28" s="1390">
        <f t="shared" si="20"/>
        <v>0</v>
      </c>
      <c r="BK28" s="1373">
        <f t="shared" si="21"/>
        <v>0</v>
      </c>
      <c r="BL28" s="897">
        <f>[1]Субсидия_факт!GV26</f>
        <v>0</v>
      </c>
      <c r="BM28" s="886"/>
      <c r="BN28" s="1391">
        <f>[1]Субсидия_факт!GX26</f>
        <v>0</v>
      </c>
      <c r="BO28" s="887"/>
      <c r="BP28" s="1390">
        <f t="shared" ref="BP28:BQ29" si="255">BN28-BR28</f>
        <v>0</v>
      </c>
      <c r="BQ28" s="1373">
        <f t="shared" si="255"/>
        <v>0</v>
      </c>
      <c r="BR28" s="879">
        <f>[1]Субсидия_факт!GZ26</f>
        <v>0</v>
      </c>
      <c r="BS28" s="881"/>
      <c r="BT28" s="897">
        <f t="shared" si="23"/>
        <v>12543068.1</v>
      </c>
      <c r="BU28" s="862">
        <f>[1]Субсидия_факт!HL26</f>
        <v>12543068.1</v>
      </c>
      <c r="BV28" s="866">
        <f>[1]Субсидия_факт!HN26</f>
        <v>0</v>
      </c>
      <c r="BW28" s="1050">
        <f t="shared" si="24"/>
        <v>0</v>
      </c>
      <c r="BX28" s="866"/>
      <c r="BY28" s="866"/>
      <c r="BZ28" s="1050">
        <f>[1]Субсидия_факт!HB26</f>
        <v>0</v>
      </c>
      <c r="CA28" s="888"/>
      <c r="CB28" s="1050">
        <f>[1]Субсидия_факт!HD26</f>
        <v>0</v>
      </c>
      <c r="CC28" s="887"/>
      <c r="CD28" s="1367">
        <f t="shared" ref="CD28:CE29" si="256">CB28-CF28</f>
        <v>0</v>
      </c>
      <c r="CE28" s="878">
        <f t="shared" si="256"/>
        <v>0</v>
      </c>
      <c r="CF28" s="1368">
        <f>[1]Субсидия_факт!HF26</f>
        <v>0</v>
      </c>
      <c r="CG28" s="849"/>
      <c r="CH28" s="897">
        <f t="shared" si="26"/>
        <v>0</v>
      </c>
      <c r="CI28" s="862">
        <f>[1]Субсидия_факт!HP26</f>
        <v>0</v>
      </c>
      <c r="CJ28" s="866">
        <f>[1]Субсидия_факт!HR26</f>
        <v>0</v>
      </c>
      <c r="CK28" s="1050">
        <f t="shared" si="27"/>
        <v>0</v>
      </c>
      <c r="CL28" s="866"/>
      <c r="CM28" s="866"/>
      <c r="CN28" s="1003">
        <f t="shared" si="28"/>
        <v>0</v>
      </c>
      <c r="CO28" s="859">
        <f>[1]Субсидия_факт!LR26</f>
        <v>0</v>
      </c>
      <c r="CP28" s="858">
        <f>[1]Субсидия_факт!LT26</f>
        <v>0</v>
      </c>
      <c r="CQ28" s="850">
        <f>[1]Субсидия_факт!LV26</f>
        <v>0</v>
      </c>
      <c r="CR28" s="858">
        <f>[1]Субсидия_факт!MB26</f>
        <v>0</v>
      </c>
      <c r="CS28" s="850">
        <f>[1]Субсидия_факт!MH26</f>
        <v>0</v>
      </c>
      <c r="CT28" s="858">
        <f>[1]Субсидия_факт!MJ26</f>
        <v>0</v>
      </c>
      <c r="CU28" s="1003">
        <f t="shared" si="29"/>
        <v>0</v>
      </c>
      <c r="CV28" s="851"/>
      <c r="CW28" s="858"/>
      <c r="CX28" s="850"/>
      <c r="CY28" s="858"/>
      <c r="CZ28" s="850"/>
      <c r="DA28" s="858"/>
      <c r="DB28" s="1013">
        <f t="shared" si="205"/>
        <v>0</v>
      </c>
      <c r="DC28" s="859">
        <f>[1]Субсидия_факт!LX26</f>
        <v>0</v>
      </c>
      <c r="DD28" s="858">
        <f>[1]Субсидия_факт!MD26</f>
        <v>0</v>
      </c>
      <c r="DE28" s="1003">
        <f t="shared" si="31"/>
        <v>0</v>
      </c>
      <c r="DF28" s="859"/>
      <c r="DG28" s="860"/>
      <c r="DH28" s="1367">
        <f t="shared" si="206"/>
        <v>0</v>
      </c>
      <c r="DI28" s="878">
        <f t="shared" si="207"/>
        <v>0</v>
      </c>
      <c r="DJ28" s="1368">
        <f t="shared" si="208"/>
        <v>0</v>
      </c>
      <c r="DK28" s="849">
        <f t="shared" si="209"/>
        <v>0</v>
      </c>
      <c r="DL28" s="1050">
        <f t="shared" si="210"/>
        <v>0</v>
      </c>
      <c r="DM28" s="885">
        <f>[1]Субсидия_факт!R26</f>
        <v>0</v>
      </c>
      <c r="DN28" s="862">
        <f>[1]Субсидия_факт!T26</f>
        <v>0</v>
      </c>
      <c r="DO28" s="866">
        <f>[1]Субсидия_факт!V26</f>
        <v>0</v>
      </c>
      <c r="DP28" s="1050">
        <f t="shared" si="211"/>
        <v>0</v>
      </c>
      <c r="DQ28" s="866"/>
      <c r="DR28" s="866"/>
      <c r="DS28" s="866"/>
      <c r="DT28" s="897">
        <f t="shared" si="32"/>
        <v>3148842.11</v>
      </c>
      <c r="DU28" s="862">
        <f>[1]Субсидия_факт!AX26</f>
        <v>157442.10999999987</v>
      </c>
      <c r="DV28" s="863">
        <f>[1]Субсидия_факт!AZ26</f>
        <v>2991400</v>
      </c>
      <c r="DW28" s="1050">
        <f t="shared" si="252"/>
        <v>2503329.64</v>
      </c>
      <c r="DX28" s="885">
        <v>125166.49</v>
      </c>
      <c r="DY28" s="889">
        <v>2378163.15</v>
      </c>
      <c r="DZ28" s="897">
        <f t="shared" si="34"/>
        <v>0</v>
      </c>
      <c r="EA28" s="862">
        <f>[1]Субсидия_факт!X26</f>
        <v>0</v>
      </c>
      <c r="EB28" s="863">
        <f>[1]Субсидия_факт!Z26</f>
        <v>0</v>
      </c>
      <c r="EC28" s="1050">
        <f t="shared" si="35"/>
        <v>0</v>
      </c>
      <c r="ED28" s="862"/>
      <c r="EE28" s="863"/>
      <c r="EF28" s="1013">
        <f t="shared" si="212"/>
        <v>0</v>
      </c>
      <c r="EG28" s="859">
        <f>[1]Субсидия_факт!AP26</f>
        <v>0</v>
      </c>
      <c r="EH28" s="859">
        <f>[1]Субсидия_факт!AL26</f>
        <v>0</v>
      </c>
      <c r="EI28" s="860">
        <f>[1]Субсидия_факт!AN26</f>
        <v>0</v>
      </c>
      <c r="EJ28" s="1013">
        <f t="shared" si="36"/>
        <v>0</v>
      </c>
      <c r="EK28" s="859"/>
      <c r="EL28" s="859"/>
      <c r="EM28" s="860"/>
      <c r="EN28" s="1013">
        <f t="shared" si="37"/>
        <v>0</v>
      </c>
      <c r="EO28" s="859">
        <f>[1]Субсидия_факт!HH26</f>
        <v>0</v>
      </c>
      <c r="EP28" s="858">
        <f>[1]Субсидия_факт!HJ26</f>
        <v>0</v>
      </c>
      <c r="EQ28" s="1003">
        <f t="shared" si="38"/>
        <v>0</v>
      </c>
      <c r="ER28" s="859"/>
      <c r="ES28" s="858"/>
      <c r="ET28" s="1013">
        <f t="shared" si="39"/>
        <v>0</v>
      </c>
      <c r="EU28" s="862">
        <f>[1]Субсидия_факт!PK26</f>
        <v>0</v>
      </c>
      <c r="EV28" s="863">
        <f>[1]Субсидия_факт!PQ26</f>
        <v>0</v>
      </c>
      <c r="EW28" s="1003">
        <f t="shared" si="40"/>
        <v>0</v>
      </c>
      <c r="EX28" s="859"/>
      <c r="EY28" s="860"/>
      <c r="EZ28" s="1013">
        <f t="shared" si="41"/>
        <v>0</v>
      </c>
      <c r="FA28" s="859">
        <f>[1]Субсидия_факт!PM26</f>
        <v>0</v>
      </c>
      <c r="FB28" s="858">
        <f>[1]Субсидия_факт!PS26</f>
        <v>0</v>
      </c>
      <c r="FC28" s="1003">
        <f t="shared" si="42"/>
        <v>0</v>
      </c>
      <c r="FD28" s="859"/>
      <c r="FE28" s="860"/>
      <c r="FF28" s="1369">
        <f t="shared" si="43"/>
        <v>0</v>
      </c>
      <c r="FG28" s="859">
        <f t="shared" ref="FG28:FH29" si="257">FA28-FM28</f>
        <v>0</v>
      </c>
      <c r="FH28" s="858">
        <f t="shared" si="257"/>
        <v>0</v>
      </c>
      <c r="FI28" s="878">
        <f t="shared" si="45"/>
        <v>0</v>
      </c>
      <c r="FJ28" s="859">
        <f t="shared" ref="FJ28:FK29" si="258">FD28-FP28</f>
        <v>0</v>
      </c>
      <c r="FK28" s="858">
        <f t="shared" si="258"/>
        <v>0</v>
      </c>
      <c r="FL28" s="1369">
        <f t="shared" si="47"/>
        <v>0</v>
      </c>
      <c r="FM28" s="859">
        <f>[1]Субсидия_факт!PO26</f>
        <v>0</v>
      </c>
      <c r="FN28" s="858">
        <f>[1]Субсидия_факт!PU26</f>
        <v>0</v>
      </c>
      <c r="FO28" s="878">
        <f t="shared" si="48"/>
        <v>0</v>
      </c>
      <c r="FP28" s="859"/>
      <c r="FQ28" s="860"/>
      <c r="FR28" s="1013">
        <f t="shared" si="49"/>
        <v>0</v>
      </c>
      <c r="FS28" s="862">
        <f>[1]Субсидия_факт!EP26</f>
        <v>0</v>
      </c>
      <c r="FT28" s="863">
        <f>[1]Субсидия_факт!ER26</f>
        <v>0</v>
      </c>
      <c r="FU28" s="1012">
        <f t="shared" si="50"/>
        <v>0</v>
      </c>
      <c r="FV28" s="862"/>
      <c r="FW28" s="863"/>
      <c r="FX28" s="1013">
        <f t="shared" si="51"/>
        <v>0</v>
      </c>
      <c r="FY28" s="862">
        <f>[1]Субсидия_факт!JN26</f>
        <v>0</v>
      </c>
      <c r="FZ28" s="863">
        <f>[1]Субсидия_факт!JP26</f>
        <v>0</v>
      </c>
      <c r="GA28" s="1013">
        <f t="shared" si="52"/>
        <v>0</v>
      </c>
      <c r="GB28" s="862"/>
      <c r="GC28" s="863"/>
      <c r="GD28" s="1370">
        <f t="shared" si="53"/>
        <v>0</v>
      </c>
      <c r="GE28" s="859">
        <f>[1]Субсидия_факт!JR26</f>
        <v>0</v>
      </c>
      <c r="GF28" s="860">
        <f>[1]Субсидия_факт!JV26</f>
        <v>0</v>
      </c>
      <c r="GG28" s="1370">
        <f t="shared" si="54"/>
        <v>0</v>
      </c>
      <c r="GH28" s="862"/>
      <c r="GI28" s="889"/>
      <c r="GJ28" s="1373">
        <f t="shared" si="213"/>
        <v>0</v>
      </c>
      <c r="GK28" s="879">
        <f t="shared" si="214"/>
        <v>0</v>
      </c>
      <c r="GL28" s="1390">
        <f t="shared" si="215"/>
        <v>0</v>
      </c>
      <c r="GM28" s="879">
        <f t="shared" si="216"/>
        <v>0</v>
      </c>
      <c r="GN28" s="1371">
        <f t="shared" si="55"/>
        <v>0</v>
      </c>
      <c r="GO28" s="862">
        <f>[1]Субсидия_факт!KL26</f>
        <v>0</v>
      </c>
      <c r="GP28" s="863">
        <f>[1]Субсидия_факт!KN26</f>
        <v>0</v>
      </c>
      <c r="GQ28" s="862">
        <f>[1]Субсидия_факт!KP26</f>
        <v>0</v>
      </c>
      <c r="GR28" s="897">
        <f t="shared" si="56"/>
        <v>0</v>
      </c>
      <c r="GS28" s="862"/>
      <c r="GT28" s="863"/>
      <c r="GU28" s="866"/>
      <c r="GV28" s="1372">
        <f t="shared" si="217"/>
        <v>0</v>
      </c>
      <c r="GW28" s="862">
        <f>[1]Субсидия_факт!KR26</f>
        <v>0</v>
      </c>
      <c r="GX28" s="1372">
        <f t="shared" si="217"/>
        <v>0</v>
      </c>
      <c r="GY28" s="866"/>
      <c r="GZ28" s="1373">
        <f t="shared" si="218"/>
        <v>0</v>
      </c>
      <c r="HA28" s="1373">
        <f t="shared" si="219"/>
        <v>0</v>
      </c>
      <c r="HB28" s="1373">
        <f t="shared" si="220"/>
        <v>0</v>
      </c>
      <c r="HC28" s="1373">
        <f t="shared" si="221"/>
        <v>0</v>
      </c>
      <c r="HD28" s="1013">
        <f t="shared" si="57"/>
        <v>0</v>
      </c>
      <c r="HE28" s="862">
        <f>[1]Субсидия_факт!KV26</f>
        <v>0</v>
      </c>
      <c r="HF28" s="863">
        <f>[1]Субсидия_факт!KX26</f>
        <v>0</v>
      </c>
      <c r="HG28" s="1003">
        <f t="shared" si="58"/>
        <v>0</v>
      </c>
      <c r="HH28" s="862"/>
      <c r="HI28" s="863"/>
      <c r="HJ28" s="1013">
        <f t="shared" si="59"/>
        <v>0</v>
      </c>
      <c r="HK28" s="862"/>
      <c r="HL28" s="863"/>
      <c r="HM28" s="1003">
        <f t="shared" si="60"/>
        <v>0</v>
      </c>
      <c r="HN28" s="862"/>
      <c r="HO28" s="863"/>
      <c r="HP28" s="1013">
        <f t="shared" si="61"/>
        <v>0</v>
      </c>
      <c r="HQ28" s="862">
        <f>[1]Субсидия_факт!FV26</f>
        <v>0</v>
      </c>
      <c r="HR28" s="863">
        <f>[1]Субсидия_факт!FZ26</f>
        <v>0</v>
      </c>
      <c r="HS28" s="1003">
        <f t="shared" si="62"/>
        <v>0</v>
      </c>
      <c r="HT28" s="862"/>
      <c r="HU28" s="863"/>
      <c r="HV28" s="1369">
        <f t="shared" si="63"/>
        <v>0</v>
      </c>
      <c r="HW28" s="859">
        <f t="shared" ref="HW28:HX29" si="259">HQ28-IC28</f>
        <v>0</v>
      </c>
      <c r="HX28" s="858">
        <f t="shared" si="259"/>
        <v>0</v>
      </c>
      <c r="HY28" s="878">
        <f t="shared" si="65"/>
        <v>0</v>
      </c>
      <c r="HZ28" s="859">
        <f t="shared" ref="HZ28:IA29" si="260">HT28-IF28</f>
        <v>0</v>
      </c>
      <c r="IA28" s="858">
        <f t="shared" si="260"/>
        <v>0</v>
      </c>
      <c r="IB28" s="1369">
        <f t="shared" si="67"/>
        <v>0</v>
      </c>
      <c r="IC28" s="859">
        <f>[1]Субсидия_факт!FX26</f>
        <v>0</v>
      </c>
      <c r="ID28" s="858">
        <f>[1]Субсидия_факт!GB26</f>
        <v>0</v>
      </c>
      <c r="IE28" s="878">
        <f t="shared" si="68"/>
        <v>0</v>
      </c>
      <c r="IF28" s="859">
        <f t="shared" si="187"/>
        <v>0</v>
      </c>
      <c r="IG28" s="860">
        <f t="shared" si="188"/>
        <v>0</v>
      </c>
      <c r="IH28" s="1013">
        <f t="shared" si="69"/>
        <v>0</v>
      </c>
      <c r="II28" s="859">
        <f>[1]Субсидия_факт!ED26</f>
        <v>0</v>
      </c>
      <c r="IJ28" s="860">
        <f>[1]Субсидия_факт!EF26</f>
        <v>0</v>
      </c>
      <c r="IK28" s="1003">
        <f t="shared" si="70"/>
        <v>0</v>
      </c>
      <c r="IL28" s="862"/>
      <c r="IM28" s="863"/>
      <c r="IN28" s="1370">
        <f t="shared" si="71"/>
        <v>0</v>
      </c>
      <c r="IO28" s="859">
        <f>[1]Субсидия_факт!EH26</f>
        <v>0</v>
      </c>
      <c r="IP28" s="860">
        <f>[1]Субсидия_факт!EL26</f>
        <v>0</v>
      </c>
      <c r="IQ28" s="1375">
        <f t="shared" si="72"/>
        <v>0</v>
      </c>
      <c r="IR28" s="862"/>
      <c r="IS28" s="889"/>
      <c r="IT28" s="1373">
        <f t="shared" si="222"/>
        <v>0</v>
      </c>
      <c r="IU28" s="1373">
        <f t="shared" si="223"/>
        <v>0</v>
      </c>
      <c r="IV28" s="1373">
        <f t="shared" si="224"/>
        <v>0</v>
      </c>
      <c r="IW28" s="879">
        <f t="shared" si="225"/>
        <v>0</v>
      </c>
      <c r="IX28" s="1012">
        <f t="shared" si="73"/>
        <v>0</v>
      </c>
      <c r="IY28" s="859">
        <f>[1]Субсидия_факт!BX26</f>
        <v>0</v>
      </c>
      <c r="IZ28" s="860">
        <f>[1]Субсидия_факт!BZ26</f>
        <v>0</v>
      </c>
      <c r="JA28" s="1003">
        <f t="shared" si="74"/>
        <v>0</v>
      </c>
      <c r="JB28" s="862"/>
      <c r="JC28" s="863"/>
      <c r="JD28" s="1013">
        <f t="shared" si="75"/>
        <v>0</v>
      </c>
      <c r="JE28" s="862">
        <f>[1]Субсидия_факт!ET26</f>
        <v>0</v>
      </c>
      <c r="JF28" s="863">
        <f>[1]Субсидия_факт!EV26</f>
        <v>0</v>
      </c>
      <c r="JG28" s="1003">
        <f t="shared" si="76"/>
        <v>0</v>
      </c>
      <c r="JH28" s="862"/>
      <c r="JI28" s="863"/>
      <c r="JJ28" s="1003">
        <f t="shared" si="77"/>
        <v>0</v>
      </c>
      <c r="JK28" s="859">
        <f>[1]Субсидия_факт!EX26</f>
        <v>0</v>
      </c>
      <c r="JL28" s="858">
        <f>[1]Субсидия_факт!FD26</f>
        <v>0</v>
      </c>
      <c r="JM28" s="1003">
        <f t="shared" si="78"/>
        <v>0</v>
      </c>
      <c r="JN28" s="859"/>
      <c r="JO28" s="860"/>
      <c r="JP28" s="1003">
        <f t="shared" si="79"/>
        <v>0</v>
      </c>
      <c r="JQ28" s="859">
        <f>[1]Субсидия_факт!EZ26</f>
        <v>0</v>
      </c>
      <c r="JR28" s="860">
        <f>[1]Субсидия_факт!FF26</f>
        <v>0</v>
      </c>
      <c r="JS28" s="1003">
        <f t="shared" si="80"/>
        <v>0</v>
      </c>
      <c r="JT28" s="850"/>
      <c r="JU28" s="864"/>
      <c r="JV28" s="878">
        <f t="shared" si="81"/>
        <v>-106122.61</v>
      </c>
      <c r="JW28" s="851">
        <f>'Проверочная  таблица'!JQ28-'Проверочная  таблица'!KC28</f>
        <v>-27591.880000000005</v>
      </c>
      <c r="JX28" s="860">
        <f>'Проверочная  таблица'!JR28-'Проверочная  таблица'!KD28</f>
        <v>-78530.73</v>
      </c>
      <c r="JY28" s="1368">
        <f t="shared" si="82"/>
        <v>0</v>
      </c>
      <c r="JZ28" s="850">
        <f>'Проверочная  таблица'!JT28-'Проверочная  таблица'!KF28</f>
        <v>0</v>
      </c>
      <c r="KA28" s="867">
        <f>'Проверочная  таблица'!JU28-'Проверочная  таблица'!KG28</f>
        <v>0</v>
      </c>
      <c r="KB28" s="878">
        <f t="shared" si="83"/>
        <v>106122.61</v>
      </c>
      <c r="KC28" s="859">
        <f>[1]Субсидия_факт!FB26</f>
        <v>27591.880000000005</v>
      </c>
      <c r="KD28" s="858">
        <f>[1]Субсидия_факт!FH26</f>
        <v>78530.73</v>
      </c>
      <c r="KE28" s="878">
        <f t="shared" si="253"/>
        <v>0</v>
      </c>
      <c r="KF28" s="859"/>
      <c r="KG28" s="860"/>
      <c r="KH28" s="1352">
        <f t="shared" si="226"/>
        <v>742028.78</v>
      </c>
      <c r="KI28" s="850">
        <f>[1]Субсидия_факт!OD26</f>
        <v>228140</v>
      </c>
      <c r="KJ28" s="860">
        <f>[1]Субсидия_факт!OJ26</f>
        <v>377128.78</v>
      </c>
      <c r="KK28" s="850">
        <f>[1]Субсидия_факт!OR26</f>
        <v>49718.78</v>
      </c>
      <c r="KL28" s="860">
        <f>[1]Субсидия_факт!OT26</f>
        <v>87041.22</v>
      </c>
      <c r="KM28" s="1352">
        <f t="shared" si="85"/>
        <v>136760</v>
      </c>
      <c r="KN28" s="850"/>
      <c r="KO28" s="860"/>
      <c r="KP28" s="850">
        <v>49718.78</v>
      </c>
      <c r="KQ28" s="860">
        <v>87041.22</v>
      </c>
      <c r="KR28" s="1352">
        <f t="shared" si="227"/>
        <v>49490</v>
      </c>
      <c r="KS28" s="885">
        <f>[1]Субсидия_факт!OF26</f>
        <v>49490</v>
      </c>
      <c r="KT28" s="863">
        <f>[1]Субсидия_факт!OL26</f>
        <v>0</v>
      </c>
      <c r="KU28" s="885"/>
      <c r="KV28" s="863"/>
      <c r="KW28" s="1352">
        <f t="shared" si="86"/>
        <v>0</v>
      </c>
      <c r="KX28" s="850"/>
      <c r="KY28" s="860"/>
      <c r="KZ28" s="850"/>
      <c r="LA28" s="860"/>
      <c r="LB28" s="1354">
        <f t="shared" si="87"/>
        <v>-37780</v>
      </c>
      <c r="LC28" s="885">
        <f t="shared" ref="LC28:LD29" si="261">KS28-LI28</f>
        <v>-37780</v>
      </c>
      <c r="LD28" s="863">
        <f t="shared" si="261"/>
        <v>0</v>
      </c>
      <c r="LE28" s="1354">
        <f t="shared" si="89"/>
        <v>0</v>
      </c>
      <c r="LF28" s="885">
        <f t="shared" ref="LF28:LG29" si="262">KX28-LL28</f>
        <v>0</v>
      </c>
      <c r="LG28" s="863">
        <f t="shared" si="262"/>
        <v>0</v>
      </c>
      <c r="LH28" s="1354">
        <f t="shared" si="91"/>
        <v>87270</v>
      </c>
      <c r="LI28" s="859">
        <f>[1]Субсидия_факт!OH26</f>
        <v>87270</v>
      </c>
      <c r="LJ28" s="858">
        <f>[1]Субсидия_факт!ON26</f>
        <v>0</v>
      </c>
      <c r="LK28" s="1354">
        <f t="shared" si="92"/>
        <v>0</v>
      </c>
      <c r="LL28" s="851"/>
      <c r="LM28" s="860"/>
      <c r="LN28" s="1050">
        <f t="shared" si="228"/>
        <v>0</v>
      </c>
      <c r="LO28" s="865">
        <f>[1]Субсидия_факт!DP26</f>
        <v>0</v>
      </c>
      <c r="LP28" s="850">
        <f>[1]Субсидия_факт!CB26</f>
        <v>0</v>
      </c>
      <c r="LQ28" s="860">
        <f>[1]Субсидия_факт!CH26</f>
        <v>0</v>
      </c>
      <c r="LR28" s="1050">
        <f t="shared" si="93"/>
        <v>0</v>
      </c>
      <c r="LS28" s="865"/>
      <c r="LT28" s="850"/>
      <c r="LU28" s="860"/>
      <c r="LV28" s="1050">
        <f t="shared" si="229"/>
        <v>0</v>
      </c>
      <c r="LW28" s="865">
        <f>[1]Субсидия_факт!DR26</f>
        <v>0</v>
      </c>
      <c r="LX28" s="850">
        <f>[1]Субсидия_факт!CD26</f>
        <v>0</v>
      </c>
      <c r="LY28" s="860">
        <f>[1]Субсидия_факт!CJ26</f>
        <v>0</v>
      </c>
      <c r="LZ28" s="1050">
        <f t="shared" si="94"/>
        <v>0</v>
      </c>
      <c r="MA28" s="865"/>
      <c r="MB28" s="850"/>
      <c r="MC28" s="858"/>
      <c r="MD28" s="879">
        <f t="shared" si="95"/>
        <v>0</v>
      </c>
      <c r="ME28" s="862">
        <f>'Проверочная  таблица'!LW28-MM28</f>
        <v>0</v>
      </c>
      <c r="MF28" s="862">
        <f>'Проверочная  таблица'!LX28-MN28</f>
        <v>0</v>
      </c>
      <c r="MG28" s="863">
        <f>'Проверочная  таблица'!LY28-MO28</f>
        <v>0</v>
      </c>
      <c r="MH28" s="879">
        <f t="shared" si="96"/>
        <v>0</v>
      </c>
      <c r="MI28" s="862">
        <f>'Проверочная  таблица'!MA28-MQ28</f>
        <v>0</v>
      </c>
      <c r="MJ28" s="862">
        <f>'Проверочная  таблица'!MB28-MR28</f>
        <v>0</v>
      </c>
      <c r="MK28" s="863">
        <f>'Проверочная  таблица'!MC28-MS28</f>
        <v>0</v>
      </c>
      <c r="ML28" s="879">
        <f t="shared" si="97"/>
        <v>0</v>
      </c>
      <c r="MM28" s="850">
        <f>[1]Субсидия_факт!DT26</f>
        <v>0</v>
      </c>
      <c r="MN28" s="850">
        <f>[1]Субсидия_факт!CF26</f>
        <v>0</v>
      </c>
      <c r="MO28" s="860">
        <f>[1]Субсидия_факт!CL26</f>
        <v>0</v>
      </c>
      <c r="MP28" s="879">
        <f t="shared" si="98"/>
        <v>0</v>
      </c>
      <c r="MQ28" s="850"/>
      <c r="MR28" s="850"/>
      <c r="MS28" s="860"/>
      <c r="MT28" s="1360">
        <f t="shared" si="230"/>
        <v>106122.61</v>
      </c>
      <c r="MU28" s="850">
        <f>[1]Субсидия_факт!CN26</f>
        <v>0</v>
      </c>
      <c r="MV28" s="858">
        <f>[1]Субсидия_факт!CP26</f>
        <v>0</v>
      </c>
      <c r="MW28" s="862">
        <f>[1]Субсидия_факт!CR26</f>
        <v>0</v>
      </c>
      <c r="MX28" s="863">
        <f>[1]Субсидия_факт!CT26</f>
        <v>0</v>
      </c>
      <c r="MY28" s="851">
        <f>[1]Субсидия_факт!DV26</f>
        <v>0</v>
      </c>
      <c r="MZ28" s="859">
        <f>[1]Субсидия_факт!FJ26</f>
        <v>27591.880000000005</v>
      </c>
      <c r="NA28" s="858">
        <f>[1]Субсидия_факт!FP26</f>
        <v>78530.73</v>
      </c>
      <c r="NB28" s="1003">
        <f t="shared" si="99"/>
        <v>106122.61</v>
      </c>
      <c r="NC28" s="850"/>
      <c r="ND28" s="860"/>
      <c r="NE28" s="850"/>
      <c r="NF28" s="864"/>
      <c r="NG28" s="850"/>
      <c r="NH28" s="850">
        <f>MZ28</f>
        <v>27591.880000000005</v>
      </c>
      <c r="NI28" s="860">
        <f t="shared" ref="NI28:NI29" si="263">NA28</f>
        <v>78530.73</v>
      </c>
      <c r="NJ28" s="1003">
        <f t="shared" si="231"/>
        <v>0</v>
      </c>
      <c r="NK28" s="859">
        <f>[1]Субсидия_факт!FL26</f>
        <v>0</v>
      </c>
      <c r="NL28" s="858">
        <f>[1]Субсидия_факт!FR26</f>
        <v>0</v>
      </c>
      <c r="NM28" s="1003">
        <f t="shared" si="101"/>
        <v>0</v>
      </c>
      <c r="NN28" s="851"/>
      <c r="NO28" s="860"/>
      <c r="NP28" s="878">
        <f t="shared" si="102"/>
        <v>0</v>
      </c>
      <c r="NQ28" s="859">
        <f>'Проверочная  таблица'!NK28-NW28</f>
        <v>0</v>
      </c>
      <c r="NR28" s="860">
        <f>'Проверочная  таблица'!NL28-NX28</f>
        <v>0</v>
      </c>
      <c r="NS28" s="878">
        <f t="shared" si="103"/>
        <v>0</v>
      </c>
      <c r="NT28" s="850">
        <f>'Проверочная  таблица'!NN28-NZ28</f>
        <v>0</v>
      </c>
      <c r="NU28" s="867">
        <f>'Проверочная  таблица'!NO28-OA28</f>
        <v>0</v>
      </c>
      <c r="NV28" s="878">
        <f t="shared" si="232"/>
        <v>0</v>
      </c>
      <c r="NW28" s="859">
        <f>[1]Субсидия_факт!FN26</f>
        <v>0</v>
      </c>
      <c r="NX28" s="858">
        <f>[1]Субсидия_факт!FT26</f>
        <v>0</v>
      </c>
      <c r="NY28" s="878">
        <f t="shared" si="254"/>
        <v>0</v>
      </c>
      <c r="NZ28" s="850"/>
      <c r="OA28" s="860"/>
      <c r="OB28" s="1012">
        <f t="shared" si="233"/>
        <v>0</v>
      </c>
      <c r="OC28" s="859">
        <f>[1]Субсидия_факт!AR26</f>
        <v>0</v>
      </c>
      <c r="OD28" s="858">
        <f>[1]Субсидия_факт!AT26</f>
        <v>0</v>
      </c>
      <c r="OE28" s="859">
        <f>[1]Субсидия_факт!AV26</f>
        <v>0</v>
      </c>
      <c r="OF28" s="1050">
        <f t="shared" si="105"/>
        <v>0</v>
      </c>
      <c r="OG28" s="866"/>
      <c r="OH28" s="863"/>
      <c r="OI28" s="866"/>
      <c r="OJ28" s="1376">
        <f t="shared" si="106"/>
        <v>8429823.2200000007</v>
      </c>
      <c r="OK28" s="859">
        <f>[1]Субсидия_факт!GD26</f>
        <v>0</v>
      </c>
      <c r="OL28" s="858">
        <f>[1]Субсидия_факт!GJ26</f>
        <v>8429823.2200000007</v>
      </c>
      <c r="OM28" s="866">
        <f>[1]Субсидия_факт!GP26</f>
        <v>0</v>
      </c>
      <c r="ON28" s="1376">
        <f t="shared" si="107"/>
        <v>0</v>
      </c>
      <c r="OO28" s="851"/>
      <c r="OP28" s="860"/>
      <c r="OQ28" s="850"/>
      <c r="OR28" s="1352">
        <f t="shared" si="234"/>
        <v>8429823.2200000007</v>
      </c>
      <c r="OS28" s="859">
        <f>[1]Субсидия_факт!GF26</f>
        <v>0</v>
      </c>
      <c r="OT28" s="858">
        <f>[1]Субсидия_факт!GL26</f>
        <v>0</v>
      </c>
      <c r="OU28" s="850">
        <f>[1]Субсидия_факт!GR26</f>
        <v>8429823.2200000007</v>
      </c>
      <c r="OV28" s="1352">
        <f t="shared" si="108"/>
        <v>7357044.9500000002</v>
      </c>
      <c r="OW28" s="850"/>
      <c r="OX28" s="867"/>
      <c r="OY28" s="850">
        <v>7357044.9500000002</v>
      </c>
      <c r="OZ28" s="1354">
        <f t="shared" si="109"/>
        <v>8429823.2200000007</v>
      </c>
      <c r="PA28" s="885">
        <f>'Проверочная  таблица'!OS28-PI28</f>
        <v>0</v>
      </c>
      <c r="PB28" s="863">
        <f>'Проверочная  таблица'!OT28-PJ28</f>
        <v>0</v>
      </c>
      <c r="PC28" s="866">
        <f>'Проверочная  таблица'!OU28-PK28</f>
        <v>8429823.2200000007</v>
      </c>
      <c r="PD28" s="1354">
        <f t="shared" si="235"/>
        <v>7357044.9500000002</v>
      </c>
      <c r="PE28" s="851">
        <f>'Проверочная  таблица'!OW28-PM28</f>
        <v>0</v>
      </c>
      <c r="PF28" s="860">
        <f>'Проверочная  таблица'!OX28-PN28</f>
        <v>0</v>
      </c>
      <c r="PG28" s="850">
        <f>'Проверочная  таблица'!OY28-PO28</f>
        <v>7357044.9500000002</v>
      </c>
      <c r="PH28" s="1354">
        <f t="shared" si="110"/>
        <v>0</v>
      </c>
      <c r="PI28" s="859">
        <f>[1]Субсидия_факт!GH26</f>
        <v>0</v>
      </c>
      <c r="PJ28" s="858">
        <f>[1]Субсидия_факт!GN26</f>
        <v>0</v>
      </c>
      <c r="PK28" s="859">
        <f>[1]Субсидия_факт!GT26</f>
        <v>0</v>
      </c>
      <c r="PL28" s="1354">
        <f t="shared" si="111"/>
        <v>0</v>
      </c>
      <c r="PM28" s="851">
        <f t="shared" si="191"/>
        <v>0</v>
      </c>
      <c r="PN28" s="860">
        <f t="shared" si="192"/>
        <v>0</v>
      </c>
      <c r="PO28" s="859"/>
      <c r="PP28" s="1003">
        <f t="shared" si="193"/>
        <v>0</v>
      </c>
      <c r="PQ28" s="862">
        <f>[1]Субсидия_факт!JB26</f>
        <v>0</v>
      </c>
      <c r="PR28" s="863">
        <f>[1]Субсидия_факт!JH26</f>
        <v>0</v>
      </c>
      <c r="PS28" s="862"/>
      <c r="PT28" s="863"/>
      <c r="PU28" s="1003">
        <f t="shared" si="194"/>
        <v>0</v>
      </c>
      <c r="PV28" s="866"/>
      <c r="PW28" s="890"/>
      <c r="PX28" s="866"/>
      <c r="PY28" s="890"/>
      <c r="PZ28" s="1050">
        <f t="shared" si="112"/>
        <v>0</v>
      </c>
      <c r="QA28" s="862">
        <f>[1]Субсидия_факт!JD26</f>
        <v>0</v>
      </c>
      <c r="QB28" s="863">
        <f>[1]Субсидия_факт!JJ26</f>
        <v>0</v>
      </c>
      <c r="QC28" s="1391">
        <f t="shared" si="113"/>
        <v>0</v>
      </c>
      <c r="QD28" s="866"/>
      <c r="QE28" s="890"/>
      <c r="QF28" s="879">
        <f t="shared" si="236"/>
        <v>0</v>
      </c>
      <c r="QG28" s="866">
        <f t="shared" ref="QG28:QH29" si="264">QA28-QM28</f>
        <v>0</v>
      </c>
      <c r="QH28" s="863">
        <f t="shared" si="264"/>
        <v>0</v>
      </c>
      <c r="QI28" s="1373">
        <f t="shared" si="115"/>
        <v>0</v>
      </c>
      <c r="QJ28" s="862">
        <f t="shared" ref="QJ28:QK29" si="265">QD28-QP28</f>
        <v>0</v>
      </c>
      <c r="QK28" s="863">
        <f t="shared" si="265"/>
        <v>0</v>
      </c>
      <c r="QL28" s="1373">
        <f t="shared" si="117"/>
        <v>0</v>
      </c>
      <c r="QM28" s="862">
        <f>[1]Субсидия_факт!JF26</f>
        <v>0</v>
      </c>
      <c r="QN28" s="863">
        <f>[1]Субсидия_факт!JL26</f>
        <v>0</v>
      </c>
      <c r="QO28" s="879">
        <f t="shared" si="237"/>
        <v>0</v>
      </c>
      <c r="QP28" s="866"/>
      <c r="QQ28" s="890"/>
      <c r="QR28" s="1013">
        <f t="shared" si="118"/>
        <v>0</v>
      </c>
      <c r="QS28" s="862">
        <f>[1]Субсидия_факт!CV26</f>
        <v>0</v>
      </c>
      <c r="QT28" s="863">
        <f>[1]Субсидия_факт!CX26</f>
        <v>0</v>
      </c>
      <c r="QU28" s="1003">
        <f t="shared" si="119"/>
        <v>0</v>
      </c>
      <c r="QV28" s="862"/>
      <c r="QW28" s="863"/>
      <c r="QX28" s="1013">
        <f t="shared" si="120"/>
        <v>0</v>
      </c>
      <c r="QY28" s="862">
        <f>[1]Субсидия_факт!CZ26</f>
        <v>0</v>
      </c>
      <c r="QZ28" s="863">
        <f>[1]Субсидия_факт!DF26</f>
        <v>0</v>
      </c>
      <c r="RA28" s="1003">
        <f t="shared" si="121"/>
        <v>0</v>
      </c>
      <c r="RB28" s="862"/>
      <c r="RC28" s="863"/>
      <c r="RD28" s="1013">
        <f t="shared" si="122"/>
        <v>0</v>
      </c>
      <c r="RE28" s="862">
        <f>[1]Субсидия_факт!DB26</f>
        <v>0</v>
      </c>
      <c r="RF28" s="863">
        <f>[1]Субсидия_факт!DH26</f>
        <v>0</v>
      </c>
      <c r="RG28" s="1003">
        <f t="shared" si="123"/>
        <v>0</v>
      </c>
      <c r="RH28" s="862"/>
      <c r="RI28" s="863"/>
      <c r="RJ28" s="1369">
        <f t="shared" si="124"/>
        <v>0</v>
      </c>
      <c r="RK28" s="862">
        <f t="shared" ref="RK28:RL29" si="266">RE28-RQ28</f>
        <v>0</v>
      </c>
      <c r="RL28" s="863">
        <f t="shared" si="266"/>
        <v>0</v>
      </c>
      <c r="RM28" s="878">
        <f t="shared" si="126"/>
        <v>0</v>
      </c>
      <c r="RN28" s="862">
        <f t="shared" ref="RN28:RO29" si="267">RH28-RT28</f>
        <v>0</v>
      </c>
      <c r="RO28" s="863">
        <f t="shared" si="267"/>
        <v>0</v>
      </c>
      <c r="RP28" s="1369">
        <f t="shared" si="128"/>
        <v>0</v>
      </c>
      <c r="RQ28" s="862">
        <f>[1]Субсидия_факт!DD26</f>
        <v>0</v>
      </c>
      <c r="RR28" s="863">
        <f>[1]Субсидия_факт!DJ26</f>
        <v>0</v>
      </c>
      <c r="RS28" s="878">
        <f t="shared" si="129"/>
        <v>0</v>
      </c>
      <c r="RT28" s="862"/>
      <c r="RU28" s="863"/>
      <c r="RV28" s="897">
        <f t="shared" si="130"/>
        <v>0</v>
      </c>
      <c r="RW28" s="862">
        <f>[1]Субсидия_факт!DL26</f>
        <v>0</v>
      </c>
      <c r="RX28" s="863">
        <f>[1]Субсидия_факт!DN26</f>
        <v>0</v>
      </c>
      <c r="RY28" s="1391">
        <f t="shared" si="131"/>
        <v>0</v>
      </c>
      <c r="RZ28" s="885"/>
      <c r="SA28" s="889"/>
      <c r="SB28" s="1050">
        <f t="shared" si="238"/>
        <v>0</v>
      </c>
      <c r="SC28" s="859">
        <f>[1]Субсидия_факт!BJ26</f>
        <v>0</v>
      </c>
      <c r="SD28" s="862">
        <f>[1]Субсидия_факт!BF26</f>
        <v>0</v>
      </c>
      <c r="SE28" s="889">
        <f>[1]Субсидия_факт!BH26</f>
        <v>0</v>
      </c>
      <c r="SF28" s="1050">
        <f t="shared" si="132"/>
        <v>0</v>
      </c>
      <c r="SG28" s="891"/>
      <c r="SH28" s="885"/>
      <c r="SI28" s="889"/>
      <c r="SJ28" s="897">
        <f t="shared" si="133"/>
        <v>0</v>
      </c>
      <c r="SK28" s="862">
        <f>[1]Субсидия_факт!AD26</f>
        <v>0</v>
      </c>
      <c r="SL28" s="863">
        <f>[1]Субсидия_факт!AF26</f>
        <v>0</v>
      </c>
      <c r="SM28" s="1050">
        <f t="shared" si="134"/>
        <v>0</v>
      </c>
      <c r="SN28" s="885"/>
      <c r="SO28" s="889"/>
      <c r="SP28" s="897">
        <f t="shared" si="239"/>
        <v>0</v>
      </c>
      <c r="SQ28" s="862">
        <f>[1]Субсидия_факт!ID26</f>
        <v>0</v>
      </c>
      <c r="SR28" s="863">
        <f>[1]Субсидия_факт!IJ26</f>
        <v>0</v>
      </c>
      <c r="SS28" s="885">
        <f>[1]Субсидия_факт!IP26</f>
        <v>0</v>
      </c>
      <c r="ST28" s="863">
        <f>[1]Субсидия_факт!IV26</f>
        <v>0</v>
      </c>
      <c r="SU28" s="1123">
        <f>[1]Субсидия_факт!JZ26</f>
        <v>0</v>
      </c>
      <c r="SV28" s="889">
        <f>[1]Субсидия_факт!KF26</f>
        <v>0</v>
      </c>
      <c r="SW28" s="1050">
        <f t="shared" si="135"/>
        <v>0</v>
      </c>
      <c r="SX28" s="1244"/>
      <c r="SY28" s="890"/>
      <c r="SZ28" s="1244"/>
      <c r="TA28" s="890"/>
      <c r="TB28" s="1123"/>
      <c r="TC28" s="889"/>
      <c r="TD28" s="897">
        <f t="shared" si="136"/>
        <v>0</v>
      </c>
      <c r="TE28" s="862">
        <f>[1]Субсидия_факт!IF26</f>
        <v>0</v>
      </c>
      <c r="TF28" s="863">
        <f>[1]Субсидия_факт!IL26</f>
        <v>0</v>
      </c>
      <c r="TG28" s="885">
        <f>[1]Субсидия_факт!IR26</f>
        <v>0</v>
      </c>
      <c r="TH28" s="863">
        <f>[1]Субсидия_факт!IX26</f>
        <v>0</v>
      </c>
      <c r="TI28" s="885">
        <f>[1]Субсидия_факт!KB26</f>
        <v>0</v>
      </c>
      <c r="TJ28" s="863">
        <f>[1]Субсидия_факт!KH26</f>
        <v>0</v>
      </c>
      <c r="TK28" s="1050">
        <f t="shared" si="137"/>
        <v>0</v>
      </c>
      <c r="TL28" s="866"/>
      <c r="TM28" s="890"/>
      <c r="TN28" s="1123"/>
      <c r="TO28" s="890"/>
      <c r="TP28" s="866"/>
      <c r="TQ28" s="890"/>
      <c r="TR28" s="879">
        <f t="shared" si="138"/>
        <v>0</v>
      </c>
      <c r="TS28" s="862">
        <f t="shared" ref="TS28:TX29" si="268">TE28-UG28</f>
        <v>0</v>
      </c>
      <c r="TT28" s="863">
        <f t="shared" si="268"/>
        <v>0</v>
      </c>
      <c r="TU28" s="862">
        <f t="shared" si="268"/>
        <v>0</v>
      </c>
      <c r="TV28" s="863">
        <f t="shared" si="268"/>
        <v>0</v>
      </c>
      <c r="TW28" s="885">
        <f t="shared" si="268"/>
        <v>0</v>
      </c>
      <c r="TX28" s="863">
        <f t="shared" si="268"/>
        <v>0</v>
      </c>
      <c r="TY28" s="879">
        <f t="shared" si="140"/>
        <v>0</v>
      </c>
      <c r="TZ28" s="862">
        <f t="shared" ref="TZ28:UE29" si="269">TL28-UN28</f>
        <v>0</v>
      </c>
      <c r="UA28" s="863">
        <f t="shared" si="269"/>
        <v>0</v>
      </c>
      <c r="UB28" s="862">
        <f t="shared" si="269"/>
        <v>0</v>
      </c>
      <c r="UC28" s="863">
        <f t="shared" si="269"/>
        <v>0</v>
      </c>
      <c r="UD28" s="885">
        <f t="shared" si="269"/>
        <v>0</v>
      </c>
      <c r="UE28" s="863">
        <f t="shared" si="269"/>
        <v>0</v>
      </c>
      <c r="UF28" s="1373">
        <f t="shared" si="142"/>
        <v>0</v>
      </c>
      <c r="UG28" s="862">
        <f>[1]Субсидия_факт!IH26</f>
        <v>0</v>
      </c>
      <c r="UH28" s="863">
        <f>[1]Субсидия_факт!IN26</f>
        <v>0</v>
      </c>
      <c r="UI28" s="885">
        <f>[1]Субсидия_факт!IT26</f>
        <v>0</v>
      </c>
      <c r="UJ28" s="863">
        <f>[1]Субсидия_факт!IZ26</f>
        <v>0</v>
      </c>
      <c r="UK28" s="885">
        <f>[1]Субсидия_факт!KD26</f>
        <v>0</v>
      </c>
      <c r="UL28" s="863">
        <f>[1]Субсидия_факт!KJ26</f>
        <v>0</v>
      </c>
      <c r="UM28" s="879">
        <f t="shared" si="143"/>
        <v>0</v>
      </c>
      <c r="UN28" s="1123"/>
      <c r="UO28" s="890"/>
      <c r="UP28" s="1123"/>
      <c r="UQ28" s="890"/>
      <c r="UR28" s="1123"/>
      <c r="US28" s="890"/>
      <c r="UT28" s="1050">
        <f>'Прочая  субсидия_МР  и  ГО'!B24</f>
        <v>81601969.620000005</v>
      </c>
      <c r="UU28" s="1050">
        <f>'Прочая  субсидия_МР  и  ГО'!C24</f>
        <v>49826772.230000004</v>
      </c>
      <c r="UV28" s="1371">
        <f>'Прочая  субсидия_БП'!B24</f>
        <v>627186.69999999995</v>
      </c>
      <c r="UW28" s="897">
        <f>'Прочая  субсидия_БП'!C24</f>
        <v>388219.61999999994</v>
      </c>
      <c r="UX28" s="1408">
        <f>'Прочая  субсидия_БП'!D24</f>
        <v>627186.69999999995</v>
      </c>
      <c r="UY28" s="1051">
        <f>'Прочая  субсидия_БП'!E24</f>
        <v>388219.61999999994</v>
      </c>
      <c r="UZ28" s="1409">
        <f>'Прочая  субсидия_БП'!F24</f>
        <v>0</v>
      </c>
      <c r="VA28" s="1408">
        <f>'Прочая  субсидия_БП'!G24</f>
        <v>0</v>
      </c>
      <c r="VB28" s="897">
        <f t="shared" si="144"/>
        <v>318925162.36999995</v>
      </c>
      <c r="VC28" s="866">
        <f>'Проверочная  таблица'!WE28+'Проверочная  таблица'!VH28+'Проверочная  таблица'!VJ28+VY28</f>
        <v>310583657.96999997</v>
      </c>
      <c r="VD28" s="891">
        <f>'Проверочная  таблица'!WF28+'Проверочная  таблица'!VN28+'Проверочная  таблица'!VT28+'Проверочная  таблица'!VP28+'Проверочная  таблица'!VR28+VV28+VZ28+VL28</f>
        <v>8341504.4000000004</v>
      </c>
      <c r="VE28" s="1050">
        <f t="shared" si="145"/>
        <v>258172005.65000001</v>
      </c>
      <c r="VF28" s="866">
        <f>'Проверочная  таблица'!WH28+'Проверочная  таблица'!VI28+'Проверочная  таблица'!VK28+WB28</f>
        <v>252902596.38</v>
      </c>
      <c r="VG28" s="891">
        <f>'Проверочная  таблица'!WI28+'Проверочная  таблица'!VO28+'Проверочная  таблица'!VU28+'Проверочная  таблица'!VQ28+'Проверочная  таблица'!VS28+VW28+WC28+VM28</f>
        <v>5269409.2699999996</v>
      </c>
      <c r="VH28" s="1391">
        <f>'Субвенция  на  полномочия'!B24</f>
        <v>299983618.69999999</v>
      </c>
      <c r="VI28" s="1371">
        <f>'Субвенция  на  полномочия'!C24</f>
        <v>245500055.84</v>
      </c>
      <c r="VJ28" s="886">
        <f>[1]Субвенция_факт!M25*1000</f>
        <v>7356142</v>
      </c>
      <c r="VK28" s="892">
        <v>5348000</v>
      </c>
      <c r="VL28" s="886">
        <f>[1]Субвенция_факт!AE25*1000</f>
        <v>0</v>
      </c>
      <c r="VM28" s="892"/>
      <c r="VN28" s="886">
        <f>[1]Субвенция_факт!AF25*1000</f>
        <v>1898500</v>
      </c>
      <c r="VO28" s="892">
        <f>ВУС!E192</f>
        <v>1222408.07</v>
      </c>
      <c r="VP28" s="1396">
        <f>[1]Субвенция_факт!AG25*1000</f>
        <v>0</v>
      </c>
      <c r="VQ28" s="893"/>
      <c r="VR28" s="888">
        <f>[1]Субвенция_факт!E25*1000</f>
        <v>0</v>
      </c>
      <c r="VS28" s="893"/>
      <c r="VT28" s="888">
        <f>[1]Субвенция_факт!F25*1000</f>
        <v>0</v>
      </c>
      <c r="VU28" s="893"/>
      <c r="VV28" s="887">
        <f>[1]Субвенция_факт!G25*1000</f>
        <v>0</v>
      </c>
      <c r="VW28" s="892"/>
      <c r="VX28" s="897">
        <f t="shared" si="146"/>
        <v>7581087.0199999996</v>
      </c>
      <c r="VY28" s="862">
        <f>[1]Субвенция_факт!P25*1000</f>
        <v>1971082.6199999992</v>
      </c>
      <c r="VZ28" s="863">
        <f>[1]Субвенция_факт!Q25*1000</f>
        <v>5610004.4000000004</v>
      </c>
      <c r="WA28" s="1050">
        <f t="shared" si="147"/>
        <v>4440540.54</v>
      </c>
      <c r="WB28" s="866">
        <v>1154540.54</v>
      </c>
      <c r="WC28" s="894">
        <v>3286000</v>
      </c>
      <c r="WD28" s="1050">
        <f t="shared" si="148"/>
        <v>2105814.6500000004</v>
      </c>
      <c r="WE28" s="895">
        <f>[1]Субвенция_факт!X25*1000</f>
        <v>1272814.6500000001</v>
      </c>
      <c r="WF28" s="896">
        <f>[1]Субвенция_факт!W25*1000</f>
        <v>833000</v>
      </c>
      <c r="WG28" s="1050">
        <f t="shared" si="149"/>
        <v>1661001.2</v>
      </c>
      <c r="WH28" s="866">
        <v>900000</v>
      </c>
      <c r="WI28" s="894">
        <v>761001.2</v>
      </c>
      <c r="WJ28" s="897">
        <f t="shared" si="201"/>
        <v>168959572.28999999</v>
      </c>
      <c r="WK28" s="1050">
        <f t="shared" si="202"/>
        <v>74004898.969999999</v>
      </c>
      <c r="WL28" s="1391">
        <f t="shared" si="240"/>
        <v>0</v>
      </c>
      <c r="WM28" s="895"/>
      <c r="WN28" s="896">
        <f>'[1]Иные межбюджетные трансферты'!I26</f>
        <v>0</v>
      </c>
      <c r="WO28" s="1391">
        <f t="shared" si="241"/>
        <v>0</v>
      </c>
      <c r="WP28" s="895"/>
      <c r="WQ28" s="896"/>
      <c r="WR28" s="1391">
        <f t="shared" si="152"/>
        <v>0</v>
      </c>
      <c r="WS28" s="895">
        <f>'[1]Иные межбюджетные трансферты'!AQ26</f>
        <v>0</v>
      </c>
      <c r="WT28" s="896">
        <f>'[1]Иные межбюджетные трансферты'!AS26</f>
        <v>0</v>
      </c>
      <c r="WU28" s="1391">
        <f t="shared" si="153"/>
        <v>0</v>
      </c>
      <c r="WV28" s="895"/>
      <c r="WW28" s="896"/>
      <c r="WX28" s="1050">
        <f t="shared" si="154"/>
        <v>1348095.69</v>
      </c>
      <c r="WY28" s="895">
        <f>'[1]Иные межбюджетные трансферты'!AM26</f>
        <v>67404.78</v>
      </c>
      <c r="WZ28" s="896">
        <f>'[1]Иные межбюджетные трансферты'!AO26</f>
        <v>1280690.9099999999</v>
      </c>
      <c r="XA28" s="1050">
        <f t="shared" si="155"/>
        <v>1011071.78</v>
      </c>
      <c r="XB28" s="895">
        <v>50553.62</v>
      </c>
      <c r="XC28" s="896">
        <v>960518.16</v>
      </c>
      <c r="XD28" s="1050">
        <f t="shared" si="156"/>
        <v>23551662</v>
      </c>
      <c r="XE28" s="895">
        <f>'[1]Иные межбюджетные трансферты'!K26</f>
        <v>10870941</v>
      </c>
      <c r="XF28" s="896">
        <f>'[1]Иные межбюджетные трансферты'!M26</f>
        <v>12680721</v>
      </c>
      <c r="XG28" s="1050">
        <f t="shared" si="242"/>
        <v>12680721</v>
      </c>
      <c r="XH28" s="882"/>
      <c r="XI28" s="896">
        <v>12680721</v>
      </c>
      <c r="XJ28" s="1050">
        <f t="shared" si="158"/>
        <v>0</v>
      </c>
      <c r="XK28" s="885"/>
      <c r="XL28" s="1050">
        <f t="shared" si="159"/>
        <v>0</v>
      </c>
      <c r="XM28" s="885"/>
      <c r="XN28" s="897">
        <f t="shared" si="160"/>
        <v>0</v>
      </c>
      <c r="XO28" s="862">
        <f>'[1]Иные межбюджетные трансферты'!O26</f>
        <v>0</v>
      </c>
      <c r="XP28" s="1050">
        <f t="shared" si="161"/>
        <v>0</v>
      </c>
      <c r="XQ28" s="866"/>
      <c r="XR28" s="1390">
        <f t="shared" si="162"/>
        <v>0</v>
      </c>
      <c r="XS28" s="879">
        <f t="shared" si="163"/>
        <v>0</v>
      </c>
      <c r="XT28" s="1390">
        <f t="shared" si="164"/>
        <v>0</v>
      </c>
      <c r="XU28" s="879">
        <f t="shared" si="165"/>
        <v>0</v>
      </c>
      <c r="XV28" s="1050">
        <f t="shared" si="243"/>
        <v>140214023.5</v>
      </c>
      <c r="XW28" s="883">
        <f>'[1]Иные межбюджетные трансферты'!E26</f>
        <v>0</v>
      </c>
      <c r="XX28" s="895">
        <f>'[1]Иные межбюджетные трансферты'!G26</f>
        <v>112067538.78999999</v>
      </c>
      <c r="XY28" s="882">
        <f>'[1]Иные межбюджетные трансферты'!S26</f>
        <v>0</v>
      </c>
      <c r="XZ28" s="883">
        <f>'[1]Иные межбюджетные трансферты'!Y26</f>
        <v>7157500</v>
      </c>
      <c r="YA28" s="882">
        <f>'[1]Иные межбюджетные трансферты'!AA26</f>
        <v>7157500</v>
      </c>
      <c r="YB28" s="1275">
        <f>'[1]Иные межбюджетные трансферты'!AG26</f>
        <v>0</v>
      </c>
      <c r="YC28" s="882">
        <f>'[1]Иные межбюджетные трансферты'!AU26</f>
        <v>0</v>
      </c>
      <c r="YD28" s="862">
        <f>'[1]Иные межбюджетные трансферты'!BA26</f>
        <v>2846421.5</v>
      </c>
      <c r="YE28" s="882">
        <f>'[1]Иные межбюджетные трансферты'!BC26</f>
        <v>3778386.3200000003</v>
      </c>
      <c r="YF28" s="1275">
        <f>'[1]Иные межбюджетные трансферты'!BE26</f>
        <v>7206676.8900000006</v>
      </c>
      <c r="YG28" s="1050">
        <f t="shared" si="244"/>
        <v>56534719.869999997</v>
      </c>
      <c r="YH28" s="882"/>
      <c r="YI28" s="882">
        <v>42170542.979999997</v>
      </c>
      <c r="YJ28" s="851"/>
      <c r="YK28" s="882"/>
      <c r="YL28" s="848">
        <f t="shared" si="245"/>
        <v>7157500</v>
      </c>
      <c r="YM28" s="848"/>
      <c r="YN28" s="848"/>
      <c r="YO28" s="848"/>
      <c r="YP28" s="848"/>
      <c r="YQ28" s="848">
        <v>7206676.8899999997</v>
      </c>
      <c r="YR28" s="1050">
        <f t="shared" si="166"/>
        <v>3845791.1</v>
      </c>
      <c r="YS28" s="895">
        <f>'[1]Иные межбюджетные трансферты'!U26</f>
        <v>0</v>
      </c>
      <c r="YT28" s="882">
        <f>'[1]Иные межбюджетные трансферты'!AC26</f>
        <v>0</v>
      </c>
      <c r="YU28" s="1275">
        <f>'[1]Иные межбюджетные трансферты'!AI26</f>
        <v>67404.78</v>
      </c>
      <c r="YV28" s="883">
        <f>'[1]Иные межбюджетные трансферты'!AW26</f>
        <v>0</v>
      </c>
      <c r="YW28" s="848">
        <f>'[1]Иные межбюджетные трансферты'!BG26</f>
        <v>3778386.3200000003</v>
      </c>
      <c r="YX28" s="1050">
        <f t="shared" si="167"/>
        <v>3778386.3200000003</v>
      </c>
      <c r="YY28" s="865"/>
      <c r="YZ28" s="865">
        <f t="shared" si="247"/>
        <v>0</v>
      </c>
      <c r="ZA28" s="865"/>
      <c r="ZB28" s="848"/>
      <c r="ZC28" s="848">
        <v>3778386.3200000003</v>
      </c>
      <c r="ZD28" s="879">
        <f t="shared" si="168"/>
        <v>3845791.1</v>
      </c>
      <c r="ZE28" s="859">
        <f>'Проверочная  таблица'!YS28-ZQ28</f>
        <v>0</v>
      </c>
      <c r="ZF28" s="859">
        <f>'Проверочная  таблица'!YT28-ZR28</f>
        <v>0</v>
      </c>
      <c r="ZG28" s="859">
        <f>'Проверочная  таблица'!YU28-ZS28</f>
        <v>67404.78</v>
      </c>
      <c r="ZH28" s="859">
        <f>'Проверочная  таблица'!YV28-ZT28</f>
        <v>0</v>
      </c>
      <c r="ZI28" s="859">
        <f>'Проверочная  таблица'!YW28-ZU28</f>
        <v>3778386.3200000003</v>
      </c>
      <c r="ZJ28" s="879">
        <f t="shared" si="169"/>
        <v>3778386.3200000003</v>
      </c>
      <c r="ZK28" s="859">
        <f>'Проверочная  таблица'!YY28-ZW28</f>
        <v>0</v>
      </c>
      <c r="ZL28" s="859">
        <f>'Проверочная  таблица'!YZ28-ZX28</f>
        <v>0</v>
      </c>
      <c r="ZM28" s="859">
        <f>'Проверочная  таблица'!ZA28-ZY28</f>
        <v>0</v>
      </c>
      <c r="ZN28" s="859">
        <f>'Проверочная  таблица'!ZB28-ZZ28</f>
        <v>0</v>
      </c>
      <c r="ZO28" s="859">
        <f>'Проверочная  таблица'!ZC28-AAA28</f>
        <v>3778386.3200000003</v>
      </c>
      <c r="ZP28" s="879">
        <f t="shared" si="170"/>
        <v>0</v>
      </c>
      <c r="ZQ28" s="895">
        <f>'[1]Иные межбюджетные трансферты'!W26</f>
        <v>0</v>
      </c>
      <c r="ZR28" s="895">
        <f>'[1]Иные межбюджетные трансферты'!AE26</f>
        <v>0</v>
      </c>
      <c r="ZS28" s="882"/>
      <c r="ZT28" s="883">
        <f>'[1]Иные межбюджетные трансферты'!AY26</f>
        <v>0</v>
      </c>
      <c r="ZU28" s="848"/>
      <c r="ZV28" s="879">
        <f t="shared" si="171"/>
        <v>0</v>
      </c>
      <c r="ZW28" s="865"/>
      <c r="ZX28" s="865">
        <f t="shared" si="248"/>
        <v>0</v>
      </c>
      <c r="ZY28" s="865"/>
      <c r="ZZ28" s="848"/>
      <c r="AAA28" s="848"/>
      <c r="AAB28" s="1050">
        <f>AAD28+'Проверочная  таблица'!AAL28+AAH28+'Проверочная  таблица'!AAP28+AAJ28+'Проверочная  таблица'!AAR28</f>
        <v>0</v>
      </c>
      <c r="AAC28" s="1050">
        <f>AAE28+'Проверочная  таблица'!AAM28+AAI28+'Проверочная  таблица'!AAQ28+AAK28+'Проверочная  таблица'!AAS28</f>
        <v>0</v>
      </c>
      <c r="AAD28" s="897"/>
      <c r="AAE28" s="897"/>
      <c r="AAF28" s="897"/>
      <c r="AAG28" s="897"/>
      <c r="AAH28" s="1410">
        <f t="shared" si="172"/>
        <v>0</v>
      </c>
      <c r="AAI28" s="905">
        <f t="shared" si="172"/>
        <v>0</v>
      </c>
      <c r="AAJ28" s="911"/>
      <c r="AAK28" s="905"/>
      <c r="AAL28" s="897"/>
      <c r="AAM28" s="897"/>
      <c r="AAN28" s="897"/>
      <c r="AAO28" s="897"/>
      <c r="AAP28" s="1410">
        <f t="shared" si="173"/>
        <v>0</v>
      </c>
      <c r="AAQ28" s="905">
        <f t="shared" si="173"/>
        <v>0</v>
      </c>
      <c r="AAR28" s="905"/>
      <c r="AAS28" s="905"/>
      <c r="AAT28" s="1384">
        <f>'Проверочная  таблица'!AAL28+'Проверочная  таблица'!AAN28</f>
        <v>0</v>
      </c>
      <c r="AAU28" s="1384">
        <f>'Проверочная  таблица'!AAM28+'Проверочная  таблица'!AAO28</f>
        <v>0</v>
      </c>
    </row>
    <row r="29" spans="1:723" ht="20.45" customHeight="1" thickBot="1" x14ac:dyDescent="0.3">
      <c r="A29" s="912" t="s">
        <v>1298</v>
      </c>
      <c r="B29" s="935">
        <f>D29+AN29+'Проверочная  таблица'!VB29+'Проверочная  таблица'!WJ29</f>
        <v>1091263322.4100001</v>
      </c>
      <c r="C29" s="1412">
        <f>E29+'Проверочная  таблица'!VE29+AO29+'Проверочная  таблица'!WK29</f>
        <v>653446204.29999995</v>
      </c>
      <c r="D29" s="1413">
        <f t="shared" si="0"/>
        <v>120577113.49000001</v>
      </c>
      <c r="E29" s="1400">
        <f t="shared" si="1"/>
        <v>94427944.719999999</v>
      </c>
      <c r="F29" s="1414">
        <f>'[1]Дотация  из  ОБ_факт'!M25</f>
        <v>27018127</v>
      </c>
      <c r="G29" s="1415">
        <v>21750000</v>
      </c>
      <c r="H29" s="1414">
        <f>'[1]Дотация  из  ОБ_факт'!G25</f>
        <v>39899851.490000002</v>
      </c>
      <c r="I29" s="1415">
        <v>30046852.719999999</v>
      </c>
      <c r="J29" s="1416">
        <f t="shared" si="2"/>
        <v>39899851.490000002</v>
      </c>
      <c r="K29" s="1417">
        <f t="shared" si="2"/>
        <v>30046852.719999999</v>
      </c>
      <c r="L29" s="1416">
        <f>'[1]Дотация  из  ОБ_факт'!K25</f>
        <v>0</v>
      </c>
      <c r="M29" s="913"/>
      <c r="N29" s="1414">
        <f>'[1]Дотация  из  ОБ_факт'!Q25</f>
        <v>0</v>
      </c>
      <c r="O29" s="1415"/>
      <c r="P29" s="1414">
        <f>'[1]Дотация  из  ОБ_факт'!S25</f>
        <v>49645010</v>
      </c>
      <c r="Q29" s="1415">
        <v>38616967</v>
      </c>
      <c r="R29" s="1416">
        <f t="shared" si="3"/>
        <v>44084407</v>
      </c>
      <c r="S29" s="1417">
        <f t="shared" si="3"/>
        <v>34446967</v>
      </c>
      <c r="T29" s="1416">
        <f>'[1]Дотация  из  ОБ_факт'!W25</f>
        <v>5560603</v>
      </c>
      <c r="U29" s="913">
        <v>4170000</v>
      </c>
      <c r="V29" s="1418">
        <f t="shared" si="4"/>
        <v>2460000</v>
      </c>
      <c r="W29" s="1388">
        <f>'[1]Дотация  из  ОБ_факт'!AA25</f>
        <v>1800000</v>
      </c>
      <c r="X29" s="1389">
        <f>'[1]Дотация  из  ОБ_факт'!AC25</f>
        <v>0</v>
      </c>
      <c r="Y29" s="1389">
        <f>'[1]Дотация  из  ОБ_факт'!AG25</f>
        <v>660000</v>
      </c>
      <c r="Z29" s="1419">
        <f t="shared" si="5"/>
        <v>2460000</v>
      </c>
      <c r="AA29" s="848">
        <f t="shared" si="177"/>
        <v>1800000</v>
      </c>
      <c r="AB29" s="848">
        <f t="shared" si="177"/>
        <v>0</v>
      </c>
      <c r="AC29" s="882">
        <f>Y29</f>
        <v>660000</v>
      </c>
      <c r="AD29" s="1418">
        <f t="shared" si="6"/>
        <v>1554125</v>
      </c>
      <c r="AE29" s="1388">
        <f>'[1]Дотация  из  ОБ_факт'!Y25</f>
        <v>954125</v>
      </c>
      <c r="AF29" s="1389">
        <f>'[1]Дотация  из  ОБ_факт'!AE25</f>
        <v>600000</v>
      </c>
      <c r="AG29" s="1418">
        <f t="shared" si="7"/>
        <v>1554125</v>
      </c>
      <c r="AH29" s="1359">
        <f t="shared" si="178"/>
        <v>954125</v>
      </c>
      <c r="AI29" s="848">
        <f t="shared" si="179"/>
        <v>600000</v>
      </c>
      <c r="AJ29" s="1416">
        <f t="shared" si="8"/>
        <v>954125</v>
      </c>
      <c r="AK29" s="1417">
        <f t="shared" si="9"/>
        <v>954125</v>
      </c>
      <c r="AL29" s="1416">
        <f>'[1]Дотация  из  ОБ_факт'!AE25</f>
        <v>600000</v>
      </c>
      <c r="AM29" s="884">
        <f>AL29</f>
        <v>600000</v>
      </c>
      <c r="AN29" s="1012">
        <f>'Проверочная  таблица'!UT29+'Проверочная  таблица'!UV29+BL29+BN29+BZ29+CB29+AZ29+BD29+'Проверочная  таблица'!MT29+'Проверочная  таблица'!NJ29+'Проверочная  таблица'!DT29+'Проверочная  таблица'!OB29+DL29+'Проверочная  таблица'!JJ29+'Проверочная  таблица'!JP29+'Проверочная  таблица'!OJ29+'Проверочная  таблица'!OR29+JD29+AP29+AV29+ET29+EZ29+CN29+SP29+DZ29+TD29+PZ29+EF29+EN29+LN29+LV29+SJ29+GN29+RV29+QX29+KH29+KR29+RD29+SB29+CH29+QR29+HD29+FX29+HJ29+HP29+FR29+DB29+PP29+BT29+IH29+IX29+GV29+GD29+IN29</f>
        <v>354103604.72999996</v>
      </c>
      <c r="AO29" s="1013">
        <f>'Проверочная  таблица'!UU29+'Проверочная  таблица'!UW29+BM29+BO29+CA29+CC29+BB29+BF29+'Проверочная  таблица'!NB29+'Проверочная  таблица'!NM29+'Проверочная  таблица'!DW29+'Проверочная  таблица'!OF29+DP29+'Проверочная  таблица'!JM29+'Проверочная  таблица'!JS29+'Проверочная  таблица'!ON29+'Проверочная  таблица'!OV29+JG29+AS29+AX29+EW29+FC29+CU29+SW29+EC29+TK29+QC29+EJ29+EQ29+LR29+LZ29+SM29+GR29+RY29+RA29+KM29+KW29+RG29+SF29+CK29+QU29+HG29+GA29+HM29+HS29+FU29+DE29+PU29+BW29+IK29+JA29+GX29+GG29+IQ29</f>
        <v>167121587.43999997</v>
      </c>
      <c r="AP29" s="1014">
        <f t="shared" si="10"/>
        <v>28613600</v>
      </c>
      <c r="AQ29" s="915">
        <f>[1]Субсидия_факт!HV27</f>
        <v>28613600</v>
      </c>
      <c r="AR29" s="914">
        <f>[1]Субсидия_факт!MR27</f>
        <v>0</v>
      </c>
      <c r="AS29" s="1014">
        <f t="shared" si="11"/>
        <v>3498850.69</v>
      </c>
      <c r="AT29" s="914">
        <v>3498850.69</v>
      </c>
      <c r="AU29" s="915"/>
      <c r="AV29" s="1014">
        <f t="shared" si="12"/>
        <v>9000000</v>
      </c>
      <c r="AW29" s="914">
        <f>[1]Субсидия_факт!MV27</f>
        <v>9000000</v>
      </c>
      <c r="AX29" s="1411">
        <f t="shared" si="13"/>
        <v>0</v>
      </c>
      <c r="AY29" s="914"/>
      <c r="AZ29" s="935">
        <f t="shared" si="14"/>
        <v>27778487.140000001</v>
      </c>
      <c r="BA29" s="914">
        <f>[1]Субсидия_факт!KZ27</f>
        <v>27778487.140000001</v>
      </c>
      <c r="BB29" s="1412">
        <f t="shared" si="15"/>
        <v>27778487.140000001</v>
      </c>
      <c r="BC29" s="902">
        <v>27778487.140000001</v>
      </c>
      <c r="BD29" s="935">
        <f t="shared" si="16"/>
        <v>0</v>
      </c>
      <c r="BE29" s="914">
        <f>[1]Субсидия_факт!LB27</f>
        <v>0</v>
      </c>
      <c r="BF29" s="1412">
        <f t="shared" si="17"/>
        <v>0</v>
      </c>
      <c r="BG29" s="902"/>
      <c r="BH29" s="1029">
        <f t="shared" si="18"/>
        <v>0</v>
      </c>
      <c r="BI29" s="1016">
        <f t="shared" si="19"/>
        <v>0</v>
      </c>
      <c r="BJ29" s="1027">
        <f t="shared" si="20"/>
        <v>0</v>
      </c>
      <c r="BK29" s="1029">
        <f t="shared" si="21"/>
        <v>0</v>
      </c>
      <c r="BL29" s="935">
        <f>[1]Субсидия_факт!GV27</f>
        <v>0</v>
      </c>
      <c r="BM29" s="916"/>
      <c r="BN29" s="1420">
        <f>[1]Субсидия_факт!GX27</f>
        <v>0</v>
      </c>
      <c r="BO29" s="917"/>
      <c r="BP29" s="1421">
        <f t="shared" si="255"/>
        <v>0</v>
      </c>
      <c r="BQ29" s="1422">
        <f t="shared" si="255"/>
        <v>0</v>
      </c>
      <c r="BR29" s="1423">
        <f>[1]Субсидия_факт!GZ27</f>
        <v>0</v>
      </c>
      <c r="BS29" s="900"/>
      <c r="BT29" s="939">
        <f t="shared" si="23"/>
        <v>48144600</v>
      </c>
      <c r="BU29" s="920">
        <f>[1]Субсидия_факт!HL27</f>
        <v>28613600</v>
      </c>
      <c r="BV29" s="914">
        <f>[1]Субсидия_факт!HN27</f>
        <v>19531000</v>
      </c>
      <c r="BW29" s="1014">
        <f t="shared" si="24"/>
        <v>3145000</v>
      </c>
      <c r="BX29" s="914"/>
      <c r="BY29" s="914">
        <v>3145000</v>
      </c>
      <c r="BZ29" s="1403">
        <f>[1]Субсидия_факт!HB27</f>
        <v>0</v>
      </c>
      <c r="CA29" s="918"/>
      <c r="CB29" s="1412">
        <f>[1]Субсидия_факт!HD27</f>
        <v>0</v>
      </c>
      <c r="CC29" s="901"/>
      <c r="CD29" s="1424">
        <f t="shared" si="256"/>
        <v>0</v>
      </c>
      <c r="CE29" s="1016">
        <f t="shared" si="256"/>
        <v>0</v>
      </c>
      <c r="CF29" s="1368">
        <f>[1]Субсидия_факт!HF27</f>
        <v>0</v>
      </c>
      <c r="CG29" s="919"/>
      <c r="CH29" s="939">
        <f t="shared" si="26"/>
        <v>11957838.710000001</v>
      </c>
      <c r="CI29" s="920">
        <f>[1]Субсидия_факт!HP27</f>
        <v>0</v>
      </c>
      <c r="CJ29" s="914">
        <f>[1]Субсидия_факт!HR27</f>
        <v>11957838.710000001</v>
      </c>
      <c r="CK29" s="1014">
        <f t="shared" si="27"/>
        <v>1450780.01</v>
      </c>
      <c r="CL29" s="914"/>
      <c r="CM29" s="914">
        <v>1450780.01</v>
      </c>
      <c r="CN29" s="1003">
        <f t="shared" si="28"/>
        <v>0</v>
      </c>
      <c r="CO29" s="859">
        <f>[1]Субсидия_факт!LR27</f>
        <v>0</v>
      </c>
      <c r="CP29" s="858">
        <f>[1]Субсидия_факт!LT27</f>
        <v>0</v>
      </c>
      <c r="CQ29" s="850">
        <f>[1]Субсидия_факт!LV27</f>
        <v>0</v>
      </c>
      <c r="CR29" s="858">
        <f>[1]Субсидия_факт!MB27</f>
        <v>0</v>
      </c>
      <c r="CS29" s="850">
        <f>[1]Субсидия_факт!MH27</f>
        <v>0</v>
      </c>
      <c r="CT29" s="858">
        <f>[1]Субсидия_факт!MJ27</f>
        <v>0</v>
      </c>
      <c r="CU29" s="1003">
        <f t="shared" si="29"/>
        <v>0</v>
      </c>
      <c r="CV29" s="906"/>
      <c r="CW29" s="907"/>
      <c r="CX29" s="902"/>
      <c r="CY29" s="907"/>
      <c r="CZ29" s="902"/>
      <c r="DA29" s="907"/>
      <c r="DB29" s="1013">
        <f t="shared" si="205"/>
        <v>0</v>
      </c>
      <c r="DC29" s="859">
        <f>[1]Субсидия_факт!LX27</f>
        <v>0</v>
      </c>
      <c r="DD29" s="858">
        <f>[1]Субсидия_факт!MD27</f>
        <v>0</v>
      </c>
      <c r="DE29" s="1003">
        <f t="shared" si="31"/>
        <v>0</v>
      </c>
      <c r="DF29" s="859"/>
      <c r="DG29" s="860"/>
      <c r="DH29" s="1367">
        <f t="shared" si="206"/>
        <v>0</v>
      </c>
      <c r="DI29" s="878">
        <f t="shared" si="207"/>
        <v>0</v>
      </c>
      <c r="DJ29" s="1368">
        <f t="shared" si="208"/>
        <v>0</v>
      </c>
      <c r="DK29" s="849">
        <f t="shared" si="209"/>
        <v>0</v>
      </c>
      <c r="DL29" s="1412">
        <f t="shared" si="210"/>
        <v>7600000</v>
      </c>
      <c r="DM29" s="915">
        <f>[1]Субсидия_факт!R27</f>
        <v>4000000</v>
      </c>
      <c r="DN29" s="920">
        <f>[1]Субсидия_факт!T27</f>
        <v>3600000</v>
      </c>
      <c r="DO29" s="914">
        <f>[1]Субсидия_факт!V27</f>
        <v>0</v>
      </c>
      <c r="DP29" s="1412">
        <f t="shared" si="211"/>
        <v>7600000</v>
      </c>
      <c r="DQ29" s="902">
        <v>4000000</v>
      </c>
      <c r="DR29" s="902">
        <f>DN29</f>
        <v>3600000</v>
      </c>
      <c r="DS29" s="902"/>
      <c r="DT29" s="939">
        <f t="shared" si="32"/>
        <v>0</v>
      </c>
      <c r="DU29" s="920">
        <f>[1]Субсидия_факт!AX27</f>
        <v>0</v>
      </c>
      <c r="DV29" s="921">
        <f>[1]Субсидия_факт!AZ27</f>
        <v>0</v>
      </c>
      <c r="DW29" s="940">
        <f t="shared" si="252"/>
        <v>0</v>
      </c>
      <c r="DX29" s="906"/>
      <c r="DY29" s="907"/>
      <c r="DZ29" s="935">
        <f t="shared" si="34"/>
        <v>0</v>
      </c>
      <c r="EA29" s="923">
        <f>[1]Субсидия_факт!X27</f>
        <v>0</v>
      </c>
      <c r="EB29" s="924">
        <f>[1]Субсидия_факт!Z27</f>
        <v>0</v>
      </c>
      <c r="EC29" s="1412">
        <f t="shared" si="35"/>
        <v>0</v>
      </c>
      <c r="ED29" s="920"/>
      <c r="EE29" s="921"/>
      <c r="EF29" s="1013">
        <f t="shared" si="212"/>
        <v>0</v>
      </c>
      <c r="EG29" s="859">
        <f>[1]Субсидия_факт!AP27</f>
        <v>0</v>
      </c>
      <c r="EH29" s="859">
        <f>[1]Субсидия_факт!AL27</f>
        <v>0</v>
      </c>
      <c r="EI29" s="860">
        <f>[1]Субсидия_факт!AN27</f>
        <v>0</v>
      </c>
      <c r="EJ29" s="1013">
        <f t="shared" si="36"/>
        <v>0</v>
      </c>
      <c r="EK29" s="908"/>
      <c r="EL29" s="908"/>
      <c r="EM29" s="909"/>
      <c r="EN29" s="939">
        <f t="shared" si="37"/>
        <v>0</v>
      </c>
      <c r="EO29" s="859">
        <f>[1]Субсидия_факт!HH27</f>
        <v>0</v>
      </c>
      <c r="EP29" s="858">
        <f>[1]Субсидия_факт!HJ27</f>
        <v>0</v>
      </c>
      <c r="EQ29" s="1014">
        <f t="shared" si="38"/>
        <v>0</v>
      </c>
      <c r="ER29" s="859"/>
      <c r="ES29" s="858"/>
      <c r="ET29" s="939">
        <f t="shared" si="39"/>
        <v>0</v>
      </c>
      <c r="EU29" s="862">
        <f>[1]Субсидия_факт!PK27</f>
        <v>0</v>
      </c>
      <c r="EV29" s="863">
        <f>[1]Субсидия_факт!PQ27</f>
        <v>0</v>
      </c>
      <c r="EW29" s="1014">
        <f t="shared" si="40"/>
        <v>0</v>
      </c>
      <c r="EX29" s="859"/>
      <c r="EY29" s="860"/>
      <c r="EZ29" s="939">
        <f t="shared" si="41"/>
        <v>304150.08</v>
      </c>
      <c r="FA29" s="859">
        <f>[1]Субсидия_факт!PM27</f>
        <v>79387.120000000024</v>
      </c>
      <c r="FB29" s="858">
        <f>[1]Субсидия_факт!PS27</f>
        <v>224762.96</v>
      </c>
      <c r="FC29" s="1014">
        <f t="shared" si="42"/>
        <v>304150.08</v>
      </c>
      <c r="FD29" s="908">
        <v>79387.11</v>
      </c>
      <c r="FE29" s="909">
        <v>224762.97</v>
      </c>
      <c r="FF29" s="1029">
        <f t="shared" si="43"/>
        <v>304150.08</v>
      </c>
      <c r="FG29" s="908">
        <f t="shared" si="257"/>
        <v>79387.120000000024</v>
      </c>
      <c r="FH29" s="907">
        <f t="shared" si="257"/>
        <v>224762.96</v>
      </c>
      <c r="FI29" s="1016">
        <f t="shared" si="45"/>
        <v>304150.08</v>
      </c>
      <c r="FJ29" s="908">
        <f t="shared" si="258"/>
        <v>79387.11</v>
      </c>
      <c r="FK29" s="907">
        <f t="shared" si="258"/>
        <v>224762.97</v>
      </c>
      <c r="FL29" s="1029">
        <f t="shared" si="47"/>
        <v>0</v>
      </c>
      <c r="FM29" s="859">
        <f>[1]Субсидия_факт!PO27</f>
        <v>0</v>
      </c>
      <c r="FN29" s="858">
        <f>[1]Субсидия_факт!PU27</f>
        <v>0</v>
      </c>
      <c r="FO29" s="1016">
        <f t="shared" si="48"/>
        <v>0</v>
      </c>
      <c r="FP29" s="908"/>
      <c r="FQ29" s="909"/>
      <c r="FR29" s="941">
        <f t="shared" si="49"/>
        <v>0</v>
      </c>
      <c r="FS29" s="920">
        <f>[1]Субсидия_факт!EP27</f>
        <v>0</v>
      </c>
      <c r="FT29" s="921">
        <f>[1]Субсидия_факт!ER27</f>
        <v>0</v>
      </c>
      <c r="FU29" s="961">
        <f t="shared" si="50"/>
        <v>0</v>
      </c>
      <c r="FV29" s="908"/>
      <c r="FW29" s="909"/>
      <c r="FX29" s="941">
        <f t="shared" si="51"/>
        <v>0</v>
      </c>
      <c r="FY29" s="920">
        <f>[1]Субсидия_факт!JN27</f>
        <v>0</v>
      </c>
      <c r="FZ29" s="921">
        <f>[1]Субсидия_факт!JP27</f>
        <v>0</v>
      </c>
      <c r="GA29" s="941">
        <f t="shared" si="52"/>
        <v>0</v>
      </c>
      <c r="GB29" s="908"/>
      <c r="GC29" s="909"/>
      <c r="GD29" s="1235">
        <f t="shared" si="53"/>
        <v>0</v>
      </c>
      <c r="GE29" s="908">
        <f>[1]Субсидия_факт!JR27</f>
        <v>0</v>
      </c>
      <c r="GF29" s="909">
        <f>[1]Субсидия_факт!JV27</f>
        <v>0</v>
      </c>
      <c r="GG29" s="1235">
        <f t="shared" si="54"/>
        <v>0</v>
      </c>
      <c r="GH29" s="908"/>
      <c r="GI29" s="907"/>
      <c r="GJ29" s="1422">
        <f t="shared" si="213"/>
        <v>0</v>
      </c>
      <c r="GK29" s="1423">
        <f t="shared" si="214"/>
        <v>0</v>
      </c>
      <c r="GL29" s="1421">
        <f t="shared" si="215"/>
        <v>0</v>
      </c>
      <c r="GM29" s="1423">
        <f t="shared" si="216"/>
        <v>0</v>
      </c>
      <c r="GN29" s="1371">
        <f t="shared" si="55"/>
        <v>28177208.5</v>
      </c>
      <c r="GO29" s="920">
        <f>[1]Субсидия_факт!KL27</f>
        <v>0</v>
      </c>
      <c r="GP29" s="921">
        <f>[1]Субсидия_факт!KN27</f>
        <v>28177208.5</v>
      </c>
      <c r="GQ29" s="920">
        <f>[1]Субсидия_факт!KP27</f>
        <v>0</v>
      </c>
      <c r="GR29" s="897">
        <f t="shared" si="56"/>
        <v>0</v>
      </c>
      <c r="GS29" s="920"/>
      <c r="GT29" s="921"/>
      <c r="GU29" s="902"/>
      <c r="GV29" s="1372">
        <f t="shared" si="217"/>
        <v>0</v>
      </c>
      <c r="GW29" s="920">
        <f>[1]Субсидия_факт!KR27</f>
        <v>0</v>
      </c>
      <c r="GX29" s="1372">
        <f t="shared" si="217"/>
        <v>0</v>
      </c>
      <c r="GY29" s="922"/>
      <c r="GZ29" s="1373">
        <f t="shared" si="218"/>
        <v>0</v>
      </c>
      <c r="HA29" s="1373">
        <f t="shared" si="219"/>
        <v>0</v>
      </c>
      <c r="HB29" s="1373">
        <f t="shared" si="220"/>
        <v>0</v>
      </c>
      <c r="HC29" s="1373">
        <f t="shared" si="221"/>
        <v>0</v>
      </c>
      <c r="HD29" s="941">
        <f t="shared" si="57"/>
        <v>0</v>
      </c>
      <c r="HE29" s="920">
        <f>[1]Субсидия_факт!KV27</f>
        <v>0</v>
      </c>
      <c r="HF29" s="921">
        <f>[1]Субсидия_факт!KX27</f>
        <v>0</v>
      </c>
      <c r="HG29" s="1014">
        <f t="shared" si="58"/>
        <v>0</v>
      </c>
      <c r="HH29" s="920"/>
      <c r="HI29" s="921"/>
      <c r="HJ29" s="941">
        <f t="shared" si="59"/>
        <v>0</v>
      </c>
      <c r="HK29" s="920"/>
      <c r="HL29" s="921"/>
      <c r="HM29" s="1014">
        <f t="shared" si="60"/>
        <v>0</v>
      </c>
      <c r="HN29" s="920"/>
      <c r="HO29" s="921"/>
      <c r="HP29" s="941">
        <f t="shared" si="61"/>
        <v>821052.83999999985</v>
      </c>
      <c r="HQ29" s="920">
        <f>[1]Субсидия_факт!FV27</f>
        <v>0</v>
      </c>
      <c r="HR29" s="921">
        <f>[1]Субсидия_факт!FZ27</f>
        <v>821052.83999999985</v>
      </c>
      <c r="HS29" s="1014">
        <f t="shared" si="62"/>
        <v>0</v>
      </c>
      <c r="HT29" s="920"/>
      <c r="HU29" s="921"/>
      <c r="HV29" s="1029">
        <f t="shared" si="63"/>
        <v>0</v>
      </c>
      <c r="HW29" s="908">
        <f t="shared" si="259"/>
        <v>-821052.83999999985</v>
      </c>
      <c r="HX29" s="907">
        <f t="shared" si="259"/>
        <v>821052.83999999985</v>
      </c>
      <c r="HY29" s="1016">
        <f t="shared" si="65"/>
        <v>0</v>
      </c>
      <c r="HZ29" s="908">
        <f t="shared" si="260"/>
        <v>0</v>
      </c>
      <c r="IA29" s="907">
        <f t="shared" si="260"/>
        <v>0</v>
      </c>
      <c r="IB29" s="1029">
        <f t="shared" si="67"/>
        <v>821052.83999999985</v>
      </c>
      <c r="IC29" s="859">
        <f>[1]Субсидия_факт!FX27</f>
        <v>821052.83999999985</v>
      </c>
      <c r="ID29" s="858">
        <f>[1]Субсидия_факт!GB27</f>
        <v>0</v>
      </c>
      <c r="IE29" s="1016">
        <f t="shared" si="68"/>
        <v>0</v>
      </c>
      <c r="IF29" s="859">
        <f t="shared" si="187"/>
        <v>0</v>
      </c>
      <c r="IG29" s="860">
        <f t="shared" si="188"/>
        <v>0</v>
      </c>
      <c r="IH29" s="939">
        <f t="shared" si="69"/>
        <v>0</v>
      </c>
      <c r="II29" s="908">
        <f>[1]Субсидия_факт!ED27</f>
        <v>0</v>
      </c>
      <c r="IJ29" s="909">
        <f>[1]Субсидия_факт!EF27</f>
        <v>0</v>
      </c>
      <c r="IK29" s="1014">
        <f t="shared" si="70"/>
        <v>0</v>
      </c>
      <c r="IL29" s="923"/>
      <c r="IM29" s="924"/>
      <c r="IN29" s="1233">
        <f t="shared" si="71"/>
        <v>2631578.9500000002</v>
      </c>
      <c r="IO29" s="859">
        <f>[1]Субсидия_факт!EH27</f>
        <v>131578.95000000001</v>
      </c>
      <c r="IP29" s="860">
        <f>[1]Субсидия_факт!EL27</f>
        <v>2500000</v>
      </c>
      <c r="IQ29" s="1234">
        <f t="shared" si="72"/>
        <v>2631578.9500000002</v>
      </c>
      <c r="IR29" s="923">
        <v>131578.95000000001</v>
      </c>
      <c r="IS29" s="1151">
        <v>2500000</v>
      </c>
      <c r="IT29" s="1422">
        <f t="shared" si="222"/>
        <v>0</v>
      </c>
      <c r="IU29" s="1422">
        <f t="shared" si="223"/>
        <v>0</v>
      </c>
      <c r="IV29" s="1422">
        <f t="shared" si="224"/>
        <v>2631578.9500000002</v>
      </c>
      <c r="IW29" s="1423">
        <f t="shared" si="225"/>
        <v>2631578.9500000002</v>
      </c>
      <c r="IX29" s="1398">
        <f t="shared" si="73"/>
        <v>8000000</v>
      </c>
      <c r="IY29" s="908">
        <f>[1]Субсидия_факт!BX27</f>
        <v>400000</v>
      </c>
      <c r="IZ29" s="909">
        <f>[1]Субсидия_факт!BZ27</f>
        <v>7600000</v>
      </c>
      <c r="JA29" s="940">
        <f t="shared" si="74"/>
        <v>5430896.54</v>
      </c>
      <c r="JB29" s="920">
        <v>271544.82</v>
      </c>
      <c r="JC29" s="921">
        <v>5159351.72</v>
      </c>
      <c r="JD29" s="939">
        <f t="shared" si="75"/>
        <v>0</v>
      </c>
      <c r="JE29" s="920">
        <f>[1]Субсидия_факт!ET27</f>
        <v>0</v>
      </c>
      <c r="JF29" s="921">
        <f>[1]Субсидия_факт!EV27</f>
        <v>0</v>
      </c>
      <c r="JG29" s="940">
        <f t="shared" si="76"/>
        <v>0</v>
      </c>
      <c r="JH29" s="920"/>
      <c r="JI29" s="921"/>
      <c r="JJ29" s="1014">
        <f t="shared" si="77"/>
        <v>0</v>
      </c>
      <c r="JK29" s="859">
        <f>[1]Субсидия_факт!EX27</f>
        <v>0</v>
      </c>
      <c r="JL29" s="858">
        <f>[1]Субсидия_факт!FD27</f>
        <v>0</v>
      </c>
      <c r="JM29" s="1014">
        <f t="shared" si="78"/>
        <v>0</v>
      </c>
      <c r="JN29" s="908"/>
      <c r="JO29" s="909"/>
      <c r="JP29" s="1014">
        <f t="shared" si="79"/>
        <v>0</v>
      </c>
      <c r="JQ29" s="859">
        <f>[1]Субсидия_факт!EZ27</f>
        <v>0</v>
      </c>
      <c r="JR29" s="860">
        <f>[1]Субсидия_факт!FF27</f>
        <v>0</v>
      </c>
      <c r="JS29" s="1014">
        <f t="shared" si="80"/>
        <v>0</v>
      </c>
      <c r="JT29" s="902"/>
      <c r="JU29" s="925"/>
      <c r="JV29" s="1016">
        <f t="shared" si="81"/>
        <v>-254101.37</v>
      </c>
      <c r="JW29" s="906">
        <f>'Проверочная  таблица'!JQ29-'Проверочная  таблица'!KC29</f>
        <v>-66066.359999999986</v>
      </c>
      <c r="JX29" s="909">
        <f>'Проверочная  таблица'!JR29-'Проверочная  таблица'!KD29</f>
        <v>-188035.01</v>
      </c>
      <c r="JY29" s="1027">
        <f t="shared" si="82"/>
        <v>0</v>
      </c>
      <c r="JZ29" s="902">
        <f>'Проверочная  таблица'!JT29-'Проверочная  таблица'!KF29</f>
        <v>0</v>
      </c>
      <c r="KA29" s="926">
        <f>'Проверочная  таблица'!JU29-'Проверочная  таблица'!KG29</f>
        <v>0</v>
      </c>
      <c r="KB29" s="1016">
        <f t="shared" si="83"/>
        <v>254101.37</v>
      </c>
      <c r="KC29" s="859">
        <f>[1]Субсидия_факт!FB27</f>
        <v>66066.359999999986</v>
      </c>
      <c r="KD29" s="858">
        <f>[1]Субсидия_факт!FH27</f>
        <v>188035.01</v>
      </c>
      <c r="KE29" s="1016">
        <f t="shared" si="253"/>
        <v>0</v>
      </c>
      <c r="KF29" s="908"/>
      <c r="KG29" s="909"/>
      <c r="KH29" s="1352">
        <f t="shared" si="226"/>
        <v>880563.62</v>
      </c>
      <c r="KI29" s="850">
        <f>[1]Субсидия_факт!OD27</f>
        <v>533720</v>
      </c>
      <c r="KJ29" s="860">
        <f>[1]Субсидия_факт!OJ27</f>
        <v>194713.62</v>
      </c>
      <c r="KK29" s="850">
        <f>[1]Субсидия_факт!OR27</f>
        <v>55306.51</v>
      </c>
      <c r="KL29" s="860">
        <f>[1]Субсидия_факт!OT27</f>
        <v>96823.49</v>
      </c>
      <c r="KM29" s="1352">
        <f t="shared" si="85"/>
        <v>0</v>
      </c>
      <c r="KN29" s="902"/>
      <c r="KO29" s="909"/>
      <c r="KP29" s="902"/>
      <c r="KQ29" s="909"/>
      <c r="KR29" s="1352">
        <f t="shared" si="227"/>
        <v>55430</v>
      </c>
      <c r="KS29" s="885">
        <f>[1]Субсидия_факт!OF27</f>
        <v>55430</v>
      </c>
      <c r="KT29" s="863">
        <f>[1]Субсидия_факт!OL27</f>
        <v>0</v>
      </c>
      <c r="KU29" s="885"/>
      <c r="KV29" s="863"/>
      <c r="KW29" s="1352">
        <f t="shared" si="86"/>
        <v>0</v>
      </c>
      <c r="KX29" s="902"/>
      <c r="KY29" s="909"/>
      <c r="KZ29" s="902"/>
      <c r="LA29" s="909"/>
      <c r="LB29" s="1425">
        <f t="shared" si="87"/>
        <v>-41270</v>
      </c>
      <c r="LC29" s="885">
        <f t="shared" si="261"/>
        <v>-41270</v>
      </c>
      <c r="LD29" s="863">
        <f t="shared" si="261"/>
        <v>0</v>
      </c>
      <c r="LE29" s="1354">
        <f t="shared" si="89"/>
        <v>0</v>
      </c>
      <c r="LF29" s="885">
        <f t="shared" si="262"/>
        <v>0</v>
      </c>
      <c r="LG29" s="863">
        <f t="shared" si="262"/>
        <v>0</v>
      </c>
      <c r="LH29" s="1425">
        <f t="shared" si="91"/>
        <v>96700</v>
      </c>
      <c r="LI29" s="859">
        <f>[1]Субсидия_факт!OH27</f>
        <v>96700</v>
      </c>
      <c r="LJ29" s="858">
        <f>[1]Субсидия_факт!ON27</f>
        <v>0</v>
      </c>
      <c r="LK29" s="1425">
        <f t="shared" si="92"/>
        <v>0</v>
      </c>
      <c r="LL29" s="906"/>
      <c r="LM29" s="909"/>
      <c r="LN29" s="1412">
        <f t="shared" si="228"/>
        <v>0</v>
      </c>
      <c r="LO29" s="865">
        <f>[1]Субсидия_факт!DP27</f>
        <v>0</v>
      </c>
      <c r="LP29" s="850">
        <f>[1]Субсидия_факт!CB27</f>
        <v>0</v>
      </c>
      <c r="LQ29" s="860">
        <f>[1]Субсидия_факт!CH27</f>
        <v>0</v>
      </c>
      <c r="LR29" s="1412">
        <f t="shared" si="93"/>
        <v>0</v>
      </c>
      <c r="LS29" s="910"/>
      <c r="LT29" s="902"/>
      <c r="LU29" s="909"/>
      <c r="LV29" s="1412">
        <f t="shared" si="229"/>
        <v>0</v>
      </c>
      <c r="LW29" s="865">
        <f>[1]Субсидия_факт!DR27</f>
        <v>0</v>
      </c>
      <c r="LX29" s="850">
        <f>[1]Субсидия_факт!CD27</f>
        <v>0</v>
      </c>
      <c r="LY29" s="860">
        <f>[1]Субсидия_факт!CJ27</f>
        <v>0</v>
      </c>
      <c r="LZ29" s="1412">
        <f t="shared" si="94"/>
        <v>0</v>
      </c>
      <c r="MA29" s="910"/>
      <c r="MB29" s="902"/>
      <c r="MC29" s="907"/>
      <c r="MD29" s="1423">
        <f t="shared" si="95"/>
        <v>0</v>
      </c>
      <c r="ME29" s="920">
        <f>'Проверочная  таблица'!LW29-MM29</f>
        <v>0</v>
      </c>
      <c r="MF29" s="920">
        <f>'Проверочная  таблица'!LX29-MN29</f>
        <v>0</v>
      </c>
      <c r="MG29" s="921">
        <f>'Проверочная  таблица'!LY29-MO29</f>
        <v>0</v>
      </c>
      <c r="MH29" s="1423">
        <f t="shared" si="96"/>
        <v>0</v>
      </c>
      <c r="MI29" s="920">
        <f>'Проверочная  таблица'!MA29-MQ29</f>
        <v>0</v>
      </c>
      <c r="MJ29" s="920">
        <f>'Проверочная  таблица'!MB29-MR29</f>
        <v>0</v>
      </c>
      <c r="MK29" s="921">
        <f>'Проверочная  таблица'!MC29-MS29</f>
        <v>0</v>
      </c>
      <c r="ML29" s="1423">
        <f t="shared" si="97"/>
        <v>0</v>
      </c>
      <c r="MM29" s="850">
        <f>[1]Субсидия_факт!DT27</f>
        <v>0</v>
      </c>
      <c r="MN29" s="850">
        <f>[1]Субсидия_факт!CF27</f>
        <v>0</v>
      </c>
      <c r="MO29" s="860">
        <f>[1]Субсидия_факт!CL27</f>
        <v>0</v>
      </c>
      <c r="MP29" s="1423">
        <f t="shared" si="98"/>
        <v>0</v>
      </c>
      <c r="MQ29" s="902"/>
      <c r="MR29" s="902"/>
      <c r="MS29" s="909"/>
      <c r="MT29" s="1360">
        <f t="shared" si="230"/>
        <v>254101.37</v>
      </c>
      <c r="MU29" s="850">
        <f>[1]Субсидия_факт!CN27</f>
        <v>0</v>
      </c>
      <c r="MV29" s="858">
        <f>[1]Субсидия_факт!CP27</f>
        <v>0</v>
      </c>
      <c r="MW29" s="920">
        <f>[1]Субсидия_факт!CR27</f>
        <v>0</v>
      </c>
      <c r="MX29" s="921">
        <f>[1]Субсидия_факт!CT27</f>
        <v>0</v>
      </c>
      <c r="MY29" s="851">
        <f>[1]Субсидия_факт!DV27</f>
        <v>0</v>
      </c>
      <c r="MZ29" s="859">
        <f>[1]Субсидия_факт!FJ27</f>
        <v>66066.359999999986</v>
      </c>
      <c r="NA29" s="858">
        <f>[1]Субсидия_факт!FP27</f>
        <v>188035.01</v>
      </c>
      <c r="NB29" s="1003">
        <f t="shared" si="99"/>
        <v>254101.37</v>
      </c>
      <c r="NC29" s="902"/>
      <c r="ND29" s="909"/>
      <c r="NE29" s="902"/>
      <c r="NF29" s="925"/>
      <c r="NG29" s="902"/>
      <c r="NH29" s="850">
        <f>MZ29</f>
        <v>66066.359999999986</v>
      </c>
      <c r="NI29" s="860">
        <f t="shared" si="263"/>
        <v>188035.01</v>
      </c>
      <c r="NJ29" s="1003">
        <f t="shared" si="231"/>
        <v>0</v>
      </c>
      <c r="NK29" s="859">
        <f>[1]Субсидия_факт!FL27</f>
        <v>0</v>
      </c>
      <c r="NL29" s="858">
        <f>[1]Субсидия_факт!FR27</f>
        <v>0</v>
      </c>
      <c r="NM29" s="1003">
        <f t="shared" si="101"/>
        <v>0</v>
      </c>
      <c r="NN29" s="906"/>
      <c r="NO29" s="909"/>
      <c r="NP29" s="878">
        <f t="shared" si="102"/>
        <v>0</v>
      </c>
      <c r="NQ29" s="908">
        <f>'Проверочная  таблица'!NK29-NW29</f>
        <v>0</v>
      </c>
      <c r="NR29" s="909">
        <f>'Проверочная  таблица'!NL29-NX29</f>
        <v>0</v>
      </c>
      <c r="NS29" s="878">
        <f t="shared" si="103"/>
        <v>0</v>
      </c>
      <c r="NT29" s="902">
        <f>'Проверочная  таблица'!NN29-NZ29</f>
        <v>0</v>
      </c>
      <c r="NU29" s="926">
        <f>'Проверочная  таблица'!NO29-OA29</f>
        <v>0</v>
      </c>
      <c r="NV29" s="878">
        <f t="shared" si="232"/>
        <v>0</v>
      </c>
      <c r="NW29" s="859">
        <f>[1]Субсидия_факт!FN27</f>
        <v>0</v>
      </c>
      <c r="NX29" s="858">
        <f>[1]Субсидия_факт!FT27</f>
        <v>0</v>
      </c>
      <c r="NY29" s="878">
        <f t="shared" si="254"/>
        <v>0</v>
      </c>
      <c r="NZ29" s="902"/>
      <c r="OA29" s="909"/>
      <c r="OB29" s="1023">
        <f t="shared" si="233"/>
        <v>0</v>
      </c>
      <c r="OC29" s="859">
        <f>[1]Субсидия_факт!AR27</f>
        <v>0</v>
      </c>
      <c r="OD29" s="858">
        <f>[1]Субсидия_факт!AT27</f>
        <v>0</v>
      </c>
      <c r="OE29" s="859">
        <f>[1]Субсидия_факт!AV27</f>
        <v>0</v>
      </c>
      <c r="OF29" s="1014">
        <f t="shared" si="105"/>
        <v>0</v>
      </c>
      <c r="OG29" s="902"/>
      <c r="OH29" s="909"/>
      <c r="OI29" s="902"/>
      <c r="OJ29" s="1376">
        <f t="shared" si="106"/>
        <v>28806720.619999997</v>
      </c>
      <c r="OK29" s="859">
        <f>[1]Субсидия_факт!GD27</f>
        <v>15600000</v>
      </c>
      <c r="OL29" s="858">
        <f>[1]Субсидия_факт!GJ27</f>
        <v>13206720.619999999</v>
      </c>
      <c r="OM29" s="866">
        <f>[1]Субсидия_факт!GP27</f>
        <v>0</v>
      </c>
      <c r="ON29" s="1376">
        <f t="shared" si="107"/>
        <v>0</v>
      </c>
      <c r="OO29" s="906"/>
      <c r="OP29" s="909"/>
      <c r="OQ29" s="902"/>
      <c r="OR29" s="1004">
        <f t="shared" si="234"/>
        <v>38658732.519999996</v>
      </c>
      <c r="OS29" s="859">
        <f>[1]Субсидия_факт!GF27</f>
        <v>821052.83999999985</v>
      </c>
      <c r="OT29" s="858">
        <f>[1]Субсидия_факт!GL27</f>
        <v>15600000</v>
      </c>
      <c r="OU29" s="850">
        <f>[1]Субсидия_факт!GR27</f>
        <v>22237679.68</v>
      </c>
      <c r="OV29" s="1004">
        <f t="shared" si="108"/>
        <v>35884561.68</v>
      </c>
      <c r="OW29" s="902">
        <v>821052.84</v>
      </c>
      <c r="OX29" s="926">
        <v>15600000</v>
      </c>
      <c r="OY29" s="902">
        <v>19463508.84</v>
      </c>
      <c r="OZ29" s="1425">
        <f t="shared" si="109"/>
        <v>13206720.619999999</v>
      </c>
      <c r="PA29" s="1426">
        <f>'Проверочная  таблица'!OS29-PI29</f>
        <v>0</v>
      </c>
      <c r="PB29" s="924">
        <f>'Проверочная  таблица'!OT29-PJ29</f>
        <v>0</v>
      </c>
      <c r="PC29" s="1240">
        <f>'Проверочная  таблица'!OU29-PK29</f>
        <v>13206720.619999999</v>
      </c>
      <c r="PD29" s="1425">
        <f t="shared" si="235"/>
        <v>10437658.84</v>
      </c>
      <c r="PE29" s="906">
        <f>'Проверочная  таблица'!OW29-PM29</f>
        <v>0</v>
      </c>
      <c r="PF29" s="909">
        <f>'Проверочная  таблица'!OX29-PN29</f>
        <v>0</v>
      </c>
      <c r="PG29" s="902">
        <f>'Проверочная  таблица'!OY29-PO29</f>
        <v>10437658.84</v>
      </c>
      <c r="PH29" s="1425">
        <f t="shared" si="110"/>
        <v>25452011.899999999</v>
      </c>
      <c r="PI29" s="859">
        <f>[1]Субсидия_факт!GH27</f>
        <v>821052.83999999985</v>
      </c>
      <c r="PJ29" s="858">
        <f>[1]Субсидия_факт!GN27</f>
        <v>15600000</v>
      </c>
      <c r="PK29" s="859">
        <f>[1]Субсидия_факт!GT27</f>
        <v>9030959.0600000005</v>
      </c>
      <c r="PL29" s="1425">
        <f t="shared" si="111"/>
        <v>25446902.84</v>
      </c>
      <c r="PM29" s="851">
        <f t="shared" si="191"/>
        <v>821052.84</v>
      </c>
      <c r="PN29" s="860">
        <f t="shared" si="192"/>
        <v>15600000</v>
      </c>
      <c r="PO29" s="908">
        <v>9025850</v>
      </c>
      <c r="PP29" s="1003">
        <f t="shared" si="193"/>
        <v>0</v>
      </c>
      <c r="PQ29" s="920">
        <f>[1]Субсидия_факт!JB27</f>
        <v>0</v>
      </c>
      <c r="PR29" s="921">
        <f>[1]Субсидия_факт!JH27</f>
        <v>0</v>
      </c>
      <c r="PS29" s="920"/>
      <c r="PT29" s="921"/>
      <c r="PU29" s="1003">
        <f t="shared" si="194"/>
        <v>0</v>
      </c>
      <c r="PV29" s="902"/>
      <c r="PW29" s="925"/>
      <c r="PX29" s="902"/>
      <c r="PY29" s="925"/>
      <c r="PZ29" s="1014">
        <f t="shared" si="112"/>
        <v>0</v>
      </c>
      <c r="QA29" s="920">
        <f>[1]Субсидия_факт!JD27</f>
        <v>0</v>
      </c>
      <c r="QB29" s="921">
        <f>[1]Субсидия_факт!JJ27</f>
        <v>0</v>
      </c>
      <c r="QC29" s="1411">
        <f t="shared" si="113"/>
        <v>0</v>
      </c>
      <c r="QD29" s="902"/>
      <c r="QE29" s="925"/>
      <c r="QF29" s="1016">
        <f t="shared" si="236"/>
        <v>0</v>
      </c>
      <c r="QG29" s="902">
        <f t="shared" si="264"/>
        <v>0</v>
      </c>
      <c r="QH29" s="909">
        <f t="shared" si="264"/>
        <v>0</v>
      </c>
      <c r="QI29" s="1029">
        <f t="shared" si="115"/>
        <v>0</v>
      </c>
      <c r="QJ29" s="920">
        <f t="shared" si="265"/>
        <v>0</v>
      </c>
      <c r="QK29" s="921">
        <f t="shared" si="265"/>
        <v>0</v>
      </c>
      <c r="QL29" s="1029">
        <f t="shared" si="117"/>
        <v>0</v>
      </c>
      <c r="QM29" s="920">
        <f>[1]Субсидия_факт!JF27</f>
        <v>0</v>
      </c>
      <c r="QN29" s="921">
        <f>[1]Субсидия_факт!JL27</f>
        <v>0</v>
      </c>
      <c r="QO29" s="1016">
        <f t="shared" si="237"/>
        <v>0</v>
      </c>
      <c r="QP29" s="902"/>
      <c r="QQ29" s="925"/>
      <c r="QR29" s="939">
        <f t="shared" si="118"/>
        <v>0</v>
      </c>
      <c r="QS29" s="920">
        <f>[1]Субсидия_факт!CV27</f>
        <v>0</v>
      </c>
      <c r="QT29" s="921">
        <f>[1]Субсидия_факт!CX27</f>
        <v>0</v>
      </c>
      <c r="QU29" s="1014">
        <f t="shared" si="119"/>
        <v>0</v>
      </c>
      <c r="QV29" s="920"/>
      <c r="QW29" s="921"/>
      <c r="QX29" s="939">
        <f t="shared" si="120"/>
        <v>0</v>
      </c>
      <c r="QY29" s="920">
        <f>[1]Субсидия_факт!CZ27</f>
        <v>0</v>
      </c>
      <c r="QZ29" s="921">
        <f>[1]Субсидия_факт!DF27</f>
        <v>0</v>
      </c>
      <c r="RA29" s="1014">
        <f t="shared" si="121"/>
        <v>0</v>
      </c>
      <c r="RB29" s="920"/>
      <c r="RC29" s="921"/>
      <c r="RD29" s="939">
        <f t="shared" si="122"/>
        <v>0</v>
      </c>
      <c r="RE29" s="920">
        <f>[1]Субсидия_факт!DB27</f>
        <v>0</v>
      </c>
      <c r="RF29" s="921">
        <f>[1]Субсидия_факт!DH27</f>
        <v>0</v>
      </c>
      <c r="RG29" s="1014">
        <f t="shared" si="123"/>
        <v>0</v>
      </c>
      <c r="RH29" s="920"/>
      <c r="RI29" s="921"/>
      <c r="RJ29" s="1029">
        <f t="shared" si="124"/>
        <v>0</v>
      </c>
      <c r="RK29" s="920">
        <f t="shared" si="266"/>
        <v>0</v>
      </c>
      <c r="RL29" s="921">
        <f t="shared" si="266"/>
        <v>0</v>
      </c>
      <c r="RM29" s="1016">
        <f t="shared" si="126"/>
        <v>0</v>
      </c>
      <c r="RN29" s="920">
        <f t="shared" si="267"/>
        <v>0</v>
      </c>
      <c r="RO29" s="921">
        <f t="shared" si="267"/>
        <v>0</v>
      </c>
      <c r="RP29" s="1029">
        <f t="shared" si="128"/>
        <v>0</v>
      </c>
      <c r="RQ29" s="920">
        <f>[1]Субсидия_факт!DD27</f>
        <v>0</v>
      </c>
      <c r="RR29" s="921">
        <f>[1]Субсидия_факт!DJ27</f>
        <v>0</v>
      </c>
      <c r="RS29" s="1016">
        <f t="shared" si="129"/>
        <v>0</v>
      </c>
      <c r="RT29" s="920"/>
      <c r="RU29" s="921"/>
      <c r="RV29" s="939">
        <f t="shared" si="130"/>
        <v>0</v>
      </c>
      <c r="RW29" s="920">
        <f>[1]Субсидия_факт!DL27</f>
        <v>0</v>
      </c>
      <c r="RX29" s="921">
        <f>[1]Субсидия_факт!DN27</f>
        <v>0</v>
      </c>
      <c r="RY29" s="1411">
        <f t="shared" si="131"/>
        <v>0</v>
      </c>
      <c r="RZ29" s="906"/>
      <c r="SA29" s="907"/>
      <c r="SB29" s="1412">
        <f t="shared" si="238"/>
        <v>0</v>
      </c>
      <c r="SC29" s="908">
        <f>[1]Субсидия_факт!BJ27</f>
        <v>0</v>
      </c>
      <c r="SD29" s="920">
        <f>[1]Субсидия_факт!BF27</f>
        <v>0</v>
      </c>
      <c r="SE29" s="1427">
        <f>[1]Субсидия_факт!BH27</f>
        <v>0</v>
      </c>
      <c r="SF29" s="1412">
        <f t="shared" si="132"/>
        <v>0</v>
      </c>
      <c r="SG29" s="910"/>
      <c r="SH29" s="906"/>
      <c r="SI29" s="907"/>
      <c r="SJ29" s="939">
        <f t="shared" si="133"/>
        <v>0</v>
      </c>
      <c r="SK29" s="920">
        <f>[1]Субсидия_факт!AD27</f>
        <v>0</v>
      </c>
      <c r="SL29" s="921">
        <f>[1]Субсидия_факт!AF27</f>
        <v>0</v>
      </c>
      <c r="SM29" s="1014">
        <f t="shared" si="134"/>
        <v>0</v>
      </c>
      <c r="SN29" s="906"/>
      <c r="SO29" s="907"/>
      <c r="SP29" s="935">
        <f t="shared" si="239"/>
        <v>0</v>
      </c>
      <c r="SQ29" s="920">
        <f>[1]Субсидия_факт!ID27</f>
        <v>0</v>
      </c>
      <c r="SR29" s="921">
        <f>[1]Субсидия_факт!IJ27</f>
        <v>0</v>
      </c>
      <c r="SS29" s="915">
        <f>[1]Субсидия_факт!IP27</f>
        <v>0</v>
      </c>
      <c r="ST29" s="921">
        <f>[1]Субсидия_факт!IV27</f>
        <v>0</v>
      </c>
      <c r="SU29" s="1428">
        <f>[1]Субсидия_факт!JZ27</f>
        <v>0</v>
      </c>
      <c r="SV29" s="1427">
        <f>[1]Субсидия_факт!KF27</f>
        <v>0</v>
      </c>
      <c r="SW29" s="1412">
        <f t="shared" si="135"/>
        <v>0</v>
      </c>
      <c r="SX29" s="1429"/>
      <c r="SY29" s="1241"/>
      <c r="SZ29" s="1429"/>
      <c r="TA29" s="1241"/>
      <c r="TB29" s="1015"/>
      <c r="TC29" s="907"/>
      <c r="TD29" s="939">
        <f t="shared" si="136"/>
        <v>9527883.2599999998</v>
      </c>
      <c r="TE29" s="920">
        <f>[1]Субсидия_факт!IF27</f>
        <v>476394.16000000015</v>
      </c>
      <c r="TF29" s="921">
        <f>[1]Субсидия_факт!IL27</f>
        <v>9051489.0999999996</v>
      </c>
      <c r="TG29" s="915">
        <f>[1]Субсидия_факт!IR27</f>
        <v>0</v>
      </c>
      <c r="TH29" s="921">
        <f>[1]Субсидия_факт!IX27</f>
        <v>0</v>
      </c>
      <c r="TI29" s="915">
        <f>[1]Субсидия_факт!KB27</f>
        <v>0</v>
      </c>
      <c r="TJ29" s="921">
        <f>[1]Субсидия_факт!KH27</f>
        <v>0</v>
      </c>
      <c r="TK29" s="1014">
        <f t="shared" si="137"/>
        <v>6975102.2599999998</v>
      </c>
      <c r="TL29" s="902">
        <v>348755.1</v>
      </c>
      <c r="TM29" s="925">
        <v>6626347.1600000001</v>
      </c>
      <c r="TN29" s="1430"/>
      <c r="TO29" s="1241"/>
      <c r="TP29" s="902"/>
      <c r="TQ29" s="925"/>
      <c r="TR29" s="1016">
        <f t="shared" si="138"/>
        <v>9527883.2599999998</v>
      </c>
      <c r="TS29" s="908">
        <f t="shared" si="268"/>
        <v>476394.16000000015</v>
      </c>
      <c r="TT29" s="909">
        <f t="shared" si="268"/>
        <v>9051489.0999999996</v>
      </c>
      <c r="TU29" s="908">
        <f t="shared" si="268"/>
        <v>0</v>
      </c>
      <c r="TV29" s="909">
        <f t="shared" si="268"/>
        <v>0</v>
      </c>
      <c r="TW29" s="906">
        <f t="shared" si="268"/>
        <v>0</v>
      </c>
      <c r="TX29" s="909">
        <f t="shared" si="268"/>
        <v>0</v>
      </c>
      <c r="TY29" s="1016">
        <f t="shared" si="140"/>
        <v>6975102.2599999998</v>
      </c>
      <c r="TZ29" s="908">
        <f t="shared" si="269"/>
        <v>348755.1</v>
      </c>
      <c r="UA29" s="909">
        <f t="shared" si="269"/>
        <v>6626347.1600000001</v>
      </c>
      <c r="UB29" s="908">
        <f t="shared" si="269"/>
        <v>0</v>
      </c>
      <c r="UC29" s="909">
        <f t="shared" si="269"/>
        <v>0</v>
      </c>
      <c r="UD29" s="906">
        <f t="shared" si="269"/>
        <v>0</v>
      </c>
      <c r="UE29" s="909">
        <f t="shared" si="269"/>
        <v>0</v>
      </c>
      <c r="UF29" s="1029">
        <f t="shared" si="142"/>
        <v>0</v>
      </c>
      <c r="UG29" s="920">
        <f>[1]Субсидия_факт!IH27</f>
        <v>0</v>
      </c>
      <c r="UH29" s="921">
        <f>[1]Субсидия_факт!IN27</f>
        <v>0</v>
      </c>
      <c r="UI29" s="915">
        <f>[1]Субсидия_факт!IT27</f>
        <v>0</v>
      </c>
      <c r="UJ29" s="921">
        <f>[1]Субсидия_факт!IZ27</f>
        <v>0</v>
      </c>
      <c r="UK29" s="915">
        <f>[1]Субсидия_факт!KD27</f>
        <v>0</v>
      </c>
      <c r="UL29" s="921">
        <f>[1]Субсидия_факт!KJ27</f>
        <v>0</v>
      </c>
      <c r="UM29" s="1016">
        <f t="shared" si="143"/>
        <v>0</v>
      </c>
      <c r="UN29" s="1430"/>
      <c r="UO29" s="1241"/>
      <c r="UP29" s="1430"/>
      <c r="UQ29" s="1241"/>
      <c r="UR29" s="1430"/>
      <c r="US29" s="1241"/>
      <c r="UT29" s="1403">
        <f>'Прочая  субсидия_МР  и  ГО'!B25</f>
        <v>85936545.75</v>
      </c>
      <c r="UU29" s="1403">
        <f>'Прочая  субсидия_МР  и  ГО'!C25</f>
        <v>55884989.390000001</v>
      </c>
      <c r="UV29" s="1407">
        <f>'Прочая  субсидия_БП'!B25</f>
        <v>16955111.370000001</v>
      </c>
      <c r="UW29" s="1400">
        <f>'Прочая  субсидия_БП'!C25</f>
        <v>16283089.329999998</v>
      </c>
      <c r="UX29" s="1431">
        <f>'Прочая  субсидия_БП'!D25</f>
        <v>7439678.7700000005</v>
      </c>
      <c r="UY29" s="1432">
        <f>'Прочая  субсидия_БП'!E25</f>
        <v>6767656.7299999995</v>
      </c>
      <c r="UZ29" s="1433">
        <f>'Прочая  субсидия_БП'!F25</f>
        <v>9515432.5999999996</v>
      </c>
      <c r="VA29" s="1431">
        <f>'Прочая  субсидия_БП'!G25</f>
        <v>9515432.5999999996</v>
      </c>
      <c r="VB29" s="935">
        <f t="shared" si="144"/>
        <v>458375999.94000006</v>
      </c>
      <c r="VC29" s="914">
        <f>'Проверочная  таблица'!WE29+'Проверочная  таблица'!VH29+'Проверочная  таблица'!VJ29+VY29</f>
        <v>443746823.78000003</v>
      </c>
      <c r="VD29" s="1434">
        <f>'Проверочная  таблица'!WF29+'Проверочная  таблица'!VN29+'Проверочная  таблица'!VT29+'Проверочная  таблица'!VP29+'Проверочная  таблица'!VR29+VV29+VZ29+VL29</f>
        <v>14629176.16</v>
      </c>
      <c r="VE29" s="1412">
        <f t="shared" si="145"/>
        <v>338458848.03999996</v>
      </c>
      <c r="VF29" s="914">
        <f>'Проверочная  таблица'!WH29+'Проверочная  таблица'!VI29+'Проверочная  таблица'!VK29+WB29</f>
        <v>328699748.63999999</v>
      </c>
      <c r="VG29" s="1434">
        <f>'Проверочная  таблица'!WI29+'Проверочная  таблица'!VO29+'Проверочная  таблица'!VU29+'Проверочная  таблица'!VQ29+'Проверочная  таблица'!VS29+VW29+WC29+VM29</f>
        <v>9759099.4000000004</v>
      </c>
      <c r="VH29" s="1420">
        <f>'Субвенция  на  полномочия'!B25</f>
        <v>426644845.46000004</v>
      </c>
      <c r="VI29" s="1413">
        <f>'Субвенция  на  полномочия'!C25</f>
        <v>314892999.75999999</v>
      </c>
      <c r="VJ29" s="916">
        <f>[1]Субвенция_факт!M26*1000</f>
        <v>11268918</v>
      </c>
      <c r="VK29" s="927">
        <v>9093000</v>
      </c>
      <c r="VL29" s="916">
        <f>[1]Субвенция_факт!AE26*1000</f>
        <v>0</v>
      </c>
      <c r="VM29" s="927"/>
      <c r="VN29" s="916">
        <f>[1]Субвенция_факт!AF26*1000</f>
        <v>3193500</v>
      </c>
      <c r="VO29" s="927">
        <f>ВУС!E206</f>
        <v>1986522.3399999999</v>
      </c>
      <c r="VP29" s="1435">
        <f>[1]Субвенция_факт!AG26*1000</f>
        <v>0</v>
      </c>
      <c r="VQ29" s="928"/>
      <c r="VR29" s="918">
        <f>[1]Субвенция_факт!E26*1000</f>
        <v>0</v>
      </c>
      <c r="VS29" s="928"/>
      <c r="VT29" s="918">
        <f>[1]Субвенция_факт!F26*1000</f>
        <v>0</v>
      </c>
      <c r="VU29" s="928"/>
      <c r="VV29" s="917">
        <f>[1]Субвенция_факт!G26*1000</f>
        <v>0</v>
      </c>
      <c r="VW29" s="927"/>
      <c r="VX29" s="935">
        <f t="shared" si="146"/>
        <v>13514427.24</v>
      </c>
      <c r="VY29" s="920">
        <f>[1]Субвенция_факт!P26*1000</f>
        <v>3513751.08</v>
      </c>
      <c r="VZ29" s="921">
        <f>[1]Субвенция_факт!Q26*1000</f>
        <v>10000676.16</v>
      </c>
      <c r="WA29" s="1412">
        <f t="shared" si="147"/>
        <v>9279803.370000001</v>
      </c>
      <c r="WB29" s="914">
        <v>2412748.88</v>
      </c>
      <c r="WC29" s="929">
        <v>6867054.4900000002</v>
      </c>
      <c r="WD29" s="1412">
        <f t="shared" si="148"/>
        <v>3754309.2400000007</v>
      </c>
      <c r="WE29" s="930">
        <f>[1]Субвенция_факт!X26*1000</f>
        <v>2319309.2400000007</v>
      </c>
      <c r="WF29" s="931">
        <f>[1]Субвенция_факт!W26*1000</f>
        <v>1435000</v>
      </c>
      <c r="WG29" s="1412">
        <f t="shared" si="149"/>
        <v>3206522.57</v>
      </c>
      <c r="WH29" s="914">
        <v>2301000</v>
      </c>
      <c r="WI29" s="929">
        <v>905522.57</v>
      </c>
      <c r="WJ29" s="935">
        <f t="shared" si="201"/>
        <v>158206604.25</v>
      </c>
      <c r="WK29" s="1412">
        <f t="shared" si="202"/>
        <v>53437824.099999994</v>
      </c>
      <c r="WL29" s="1420">
        <f t="shared" si="240"/>
        <v>0</v>
      </c>
      <c r="WM29" s="930"/>
      <c r="WN29" s="931">
        <f>'[1]Иные межбюджетные трансферты'!I27</f>
        <v>0</v>
      </c>
      <c r="WO29" s="1404">
        <f t="shared" si="241"/>
        <v>0</v>
      </c>
      <c r="WP29" s="930"/>
      <c r="WQ29" s="931"/>
      <c r="WR29" s="1420">
        <f t="shared" si="152"/>
        <v>3425636.5300000003</v>
      </c>
      <c r="WS29" s="930">
        <f>'[1]Иные межбюджетные трансферты'!AQ27</f>
        <v>0</v>
      </c>
      <c r="WT29" s="931">
        <f>'[1]Иные межбюджетные трансферты'!AS27</f>
        <v>3425636.5300000003</v>
      </c>
      <c r="WU29" s="1404">
        <f t="shared" si="153"/>
        <v>0</v>
      </c>
      <c r="WV29" s="930"/>
      <c r="WW29" s="931"/>
      <c r="WX29" s="1412">
        <f t="shared" si="154"/>
        <v>2426572.25</v>
      </c>
      <c r="WY29" s="930">
        <f>'[1]Иные межбюджетные трансферты'!AM27</f>
        <v>121328.61</v>
      </c>
      <c r="WZ29" s="931">
        <f>'[1]Иные межбюджетные трансферты'!AO27</f>
        <v>2305243.64</v>
      </c>
      <c r="XA29" s="1412">
        <f t="shared" si="155"/>
        <v>1819929.19</v>
      </c>
      <c r="XB29" s="930">
        <v>90996.47</v>
      </c>
      <c r="XC29" s="931">
        <v>1728932.72</v>
      </c>
      <c r="XD29" s="1412">
        <f t="shared" si="156"/>
        <v>36165206</v>
      </c>
      <c r="XE29" s="930">
        <f>'[1]Иные межбюджетные трансферты'!K27</f>
        <v>16832683</v>
      </c>
      <c r="XF29" s="931">
        <f>'[1]Иные межбюджетные трансферты'!M27</f>
        <v>19332523</v>
      </c>
      <c r="XG29" s="940">
        <f t="shared" si="242"/>
        <v>19332523</v>
      </c>
      <c r="XH29" s="932"/>
      <c r="XI29" s="933">
        <v>19332523</v>
      </c>
      <c r="XJ29" s="1412">
        <f t="shared" si="158"/>
        <v>0</v>
      </c>
      <c r="XK29" s="915"/>
      <c r="XL29" s="1412">
        <f t="shared" si="159"/>
        <v>0</v>
      </c>
      <c r="XM29" s="915"/>
      <c r="XN29" s="935">
        <f t="shared" si="160"/>
        <v>0</v>
      </c>
      <c r="XO29" s="920">
        <f>'[1]Иные межбюджетные трансферты'!O27</f>
        <v>0</v>
      </c>
      <c r="XP29" s="1412">
        <f t="shared" si="161"/>
        <v>0</v>
      </c>
      <c r="XQ29" s="914"/>
      <c r="XR29" s="1421">
        <f t="shared" si="162"/>
        <v>0</v>
      </c>
      <c r="XS29" s="1423">
        <f t="shared" si="163"/>
        <v>0</v>
      </c>
      <c r="XT29" s="1421">
        <f t="shared" si="164"/>
        <v>0</v>
      </c>
      <c r="XU29" s="1423">
        <f t="shared" si="165"/>
        <v>0</v>
      </c>
      <c r="XV29" s="1412">
        <f t="shared" si="243"/>
        <v>103425786.64999999</v>
      </c>
      <c r="XW29" s="1436">
        <f>'[1]Иные межбюджетные трансферты'!E27</f>
        <v>0</v>
      </c>
      <c r="XX29" s="930">
        <f>'[1]Иные межбюджетные трансферты'!G27</f>
        <v>59306016</v>
      </c>
      <c r="XY29" s="934">
        <f>'[1]Иные межбюджетные трансферты'!S27</f>
        <v>0</v>
      </c>
      <c r="XZ29" s="1436">
        <f>'[1]Иные межбюджетные трансферты'!Y27</f>
        <v>12072900</v>
      </c>
      <c r="YA29" s="934">
        <f>'[1]Иные межбюджетные трансферты'!AA27</f>
        <v>12072900</v>
      </c>
      <c r="YB29" s="1216">
        <f>'[1]Иные межбюджетные трансферты'!AG27</f>
        <v>4548716</v>
      </c>
      <c r="YC29" s="934">
        <f>'[1]Иные межбюджетные трансферты'!AU27</f>
        <v>0</v>
      </c>
      <c r="YD29" s="920">
        <f>'[1]Иные межбюджетные трансферты'!BA27</f>
        <v>3288377.8</v>
      </c>
      <c r="YE29" s="934">
        <f>'[1]Иные межбюджетные трансферты'!BC27</f>
        <v>5460960.1599999992</v>
      </c>
      <c r="YF29" s="1216">
        <f>'[1]Иные межбюджетные трансферты'!BE27</f>
        <v>6675916.6900000004</v>
      </c>
      <c r="YG29" s="1412">
        <f t="shared" si="244"/>
        <v>26299706.75</v>
      </c>
      <c r="YH29" s="934"/>
      <c r="YI29" s="934">
        <v>6623170.0599999996</v>
      </c>
      <c r="YJ29" s="951"/>
      <c r="YK29" s="934"/>
      <c r="YL29" s="848">
        <f t="shared" si="245"/>
        <v>12072900</v>
      </c>
      <c r="YM29" s="932">
        <v>927720</v>
      </c>
      <c r="YN29" s="932"/>
      <c r="YO29" s="932"/>
      <c r="YP29" s="932"/>
      <c r="YQ29" s="1239">
        <v>6675916.6900000004</v>
      </c>
      <c r="YR29" s="1412">
        <f t="shared" si="166"/>
        <v>12763402.82</v>
      </c>
      <c r="YS29" s="930">
        <f>'[1]Иные межбюджетные трансферты'!U27</f>
        <v>524704.99999999988</v>
      </c>
      <c r="YT29" s="934">
        <f>'[1]Иные межбюджетные трансферты'!AC27</f>
        <v>0</v>
      </c>
      <c r="YU29" s="1216">
        <f>'[1]Иные межбюджетные трансферты'!AI27</f>
        <v>121328.61</v>
      </c>
      <c r="YV29" s="1436">
        <f>'[1]Иные межбюджетные трансферты'!AW27</f>
        <v>6656409.0500000007</v>
      </c>
      <c r="YW29" s="1239">
        <f>'[1]Иные межбюджетные трансферты'!BG27</f>
        <v>5460960.1599999992</v>
      </c>
      <c r="YX29" s="1412">
        <f t="shared" si="167"/>
        <v>5985665.1599999992</v>
      </c>
      <c r="YY29" s="1083">
        <f>215000+309705</f>
        <v>524705</v>
      </c>
      <c r="YZ29" s="865">
        <f t="shared" si="247"/>
        <v>0</v>
      </c>
      <c r="ZA29" s="1083"/>
      <c r="ZB29" s="932"/>
      <c r="ZC29" s="922">
        <v>5460960.1599999992</v>
      </c>
      <c r="ZD29" s="1423">
        <f t="shared" si="168"/>
        <v>12763402.82</v>
      </c>
      <c r="ZE29" s="973">
        <f>'Проверочная  таблица'!YS29-ZQ29</f>
        <v>524704.99999999988</v>
      </c>
      <c r="ZF29" s="973">
        <f>'Проверочная  таблица'!YT29-ZR29</f>
        <v>0</v>
      </c>
      <c r="ZG29" s="973">
        <f>'Проверочная  таблица'!YU29-ZS29</f>
        <v>121328.61</v>
      </c>
      <c r="ZH29" s="973">
        <f>'Проверочная  таблица'!YV29-ZT29</f>
        <v>6656409.0500000007</v>
      </c>
      <c r="ZI29" s="973">
        <f>'Проверочная  таблица'!YW29-ZU29</f>
        <v>5460960.1599999992</v>
      </c>
      <c r="ZJ29" s="1423">
        <f t="shared" si="169"/>
        <v>5985665.1599999992</v>
      </c>
      <c r="ZK29" s="973">
        <f>'Проверочная  таблица'!YY29-ZW29</f>
        <v>524705</v>
      </c>
      <c r="ZL29" s="973">
        <f>'Проверочная  таблица'!YZ29-ZX29</f>
        <v>0</v>
      </c>
      <c r="ZM29" s="973">
        <f>'Проверочная  таблица'!ZA29-ZY29</f>
        <v>0</v>
      </c>
      <c r="ZN29" s="973">
        <f>'Проверочная  таблица'!ZB29-ZZ29</f>
        <v>0</v>
      </c>
      <c r="ZO29" s="973">
        <f>'Проверочная  таблица'!ZC29-AAA29</f>
        <v>5460960.1599999992</v>
      </c>
      <c r="ZP29" s="1423">
        <f t="shared" si="170"/>
        <v>0</v>
      </c>
      <c r="ZQ29" s="930">
        <f>'[1]Иные межбюджетные трансферты'!W27</f>
        <v>0</v>
      </c>
      <c r="ZR29" s="1437">
        <f>'[1]Иные межбюджетные трансферты'!AE27</f>
        <v>0</v>
      </c>
      <c r="ZS29" s="934"/>
      <c r="ZT29" s="1436">
        <f>'[1]Иные межбюджетные трансферты'!AY27</f>
        <v>0</v>
      </c>
      <c r="ZU29" s="848">
        <f>'[1]Иные межбюджетные трансферты'!$BI$27</f>
        <v>0</v>
      </c>
      <c r="ZV29" s="1423">
        <f t="shared" si="171"/>
        <v>0</v>
      </c>
      <c r="ZW29" s="865"/>
      <c r="ZX29" s="865">
        <f t="shared" si="248"/>
        <v>0</v>
      </c>
      <c r="ZY29" s="865"/>
      <c r="ZZ29" s="932"/>
      <c r="AAA29" s="922">
        <v>0</v>
      </c>
      <c r="AAB29" s="1050">
        <f>AAD29+'Проверочная  таблица'!AAL29+AAH29+'Проверочная  таблица'!AAP29+AAJ29+'Проверочная  таблица'!AAR29</f>
        <v>0</v>
      </c>
      <c r="AAC29" s="1050">
        <f>AAE29+'Проверочная  таблица'!AAM29+AAI29+'Проверочная  таблица'!AAQ29+AAK29+'Проверочная  таблица'!AAS29</f>
        <v>0</v>
      </c>
      <c r="AAD29" s="935"/>
      <c r="AAE29" s="935"/>
      <c r="AAF29" s="935"/>
      <c r="AAG29" s="935"/>
      <c r="AAH29" s="1438">
        <f t="shared" si="172"/>
        <v>0</v>
      </c>
      <c r="AAI29" s="937">
        <f t="shared" si="172"/>
        <v>0</v>
      </c>
      <c r="AAJ29" s="936"/>
      <c r="AAK29" s="937"/>
      <c r="AAL29" s="935"/>
      <c r="AAM29" s="935"/>
      <c r="AAN29" s="935"/>
      <c r="AAO29" s="935"/>
      <c r="AAP29" s="1438">
        <f t="shared" si="173"/>
        <v>0</v>
      </c>
      <c r="AAQ29" s="937">
        <f t="shared" si="173"/>
        <v>0</v>
      </c>
      <c r="AAR29" s="937"/>
      <c r="AAS29" s="937"/>
      <c r="AAT29" s="1384">
        <f>'Проверочная  таблица'!AAL29+'Проверочная  таблица'!AAN29</f>
        <v>0</v>
      </c>
      <c r="AAU29" s="1384">
        <f>'Проверочная  таблица'!AAM29+'Проверочная  таблица'!AAO29</f>
        <v>0</v>
      </c>
    </row>
    <row r="30" spans="1:723" ht="20.45" customHeight="1" thickBot="1" x14ac:dyDescent="0.3">
      <c r="A30" s="938" t="s">
        <v>335</v>
      </c>
      <c r="B30" s="939">
        <f t="shared" ref="B30:BJ30" si="270">SUM(B12:B29)</f>
        <v>23981104808.91</v>
      </c>
      <c r="C30" s="940">
        <f t="shared" si="270"/>
        <v>14317822460.65</v>
      </c>
      <c r="D30" s="941">
        <f t="shared" si="270"/>
        <v>3791062187.5400009</v>
      </c>
      <c r="E30" s="942">
        <f t="shared" si="270"/>
        <v>2644607982.5799994</v>
      </c>
      <c r="F30" s="943">
        <f t="shared" si="270"/>
        <v>1475697965</v>
      </c>
      <c r="G30" s="944">
        <f t="shared" si="270"/>
        <v>1107342418</v>
      </c>
      <c r="H30" s="943">
        <f t="shared" si="270"/>
        <v>593090602.53999996</v>
      </c>
      <c r="I30" s="944">
        <f t="shared" si="270"/>
        <v>453357584.58000004</v>
      </c>
      <c r="J30" s="945">
        <f t="shared" si="270"/>
        <v>442904535.07999998</v>
      </c>
      <c r="K30" s="946">
        <f t="shared" si="270"/>
        <v>340476270.58000004</v>
      </c>
      <c r="L30" s="945">
        <f t="shared" si="270"/>
        <v>150186067.45999998</v>
      </c>
      <c r="M30" s="946">
        <f t="shared" si="270"/>
        <v>112881314</v>
      </c>
      <c r="N30" s="943">
        <f t="shared" si="270"/>
        <v>504617000</v>
      </c>
      <c r="O30" s="944">
        <f t="shared" si="270"/>
        <v>257365158.99000001</v>
      </c>
      <c r="P30" s="943">
        <f t="shared" si="270"/>
        <v>1189856620</v>
      </c>
      <c r="Q30" s="944">
        <f t="shared" si="270"/>
        <v>798742821.01000011</v>
      </c>
      <c r="R30" s="945">
        <f t="shared" si="270"/>
        <v>639280632.00000012</v>
      </c>
      <c r="S30" s="946">
        <f t="shared" si="270"/>
        <v>413600030.00999999</v>
      </c>
      <c r="T30" s="945">
        <f t="shared" si="270"/>
        <v>550575988</v>
      </c>
      <c r="U30" s="946">
        <f t="shared" si="270"/>
        <v>385142791</v>
      </c>
      <c r="V30" s="943">
        <f t="shared" ref="V30" si="271">SUM(V12:V29)</f>
        <v>16300000</v>
      </c>
      <c r="W30" s="948">
        <f t="shared" ref="W30" si="272">SUM(W12:W29)</f>
        <v>6000000</v>
      </c>
      <c r="X30" s="947">
        <f t="shared" ref="X30:Y30" si="273">SUM(X12:X29)</f>
        <v>8200000</v>
      </c>
      <c r="Y30" s="947">
        <f t="shared" si="273"/>
        <v>2100000</v>
      </c>
      <c r="Z30" s="1211">
        <f t="shared" si="270"/>
        <v>16300000</v>
      </c>
      <c r="AA30" s="1212">
        <f t="shared" si="270"/>
        <v>6000000</v>
      </c>
      <c r="AB30" s="947">
        <f t="shared" ref="AB30" si="274">SUM(AB12:AB29)</f>
        <v>8200000</v>
      </c>
      <c r="AC30" s="1214">
        <f t="shared" si="270"/>
        <v>2100000</v>
      </c>
      <c r="AD30" s="943">
        <f t="shared" ref="AD30" si="275">SUM(AD12:AD29)</f>
        <v>11500000</v>
      </c>
      <c r="AE30" s="1209">
        <f t="shared" ref="AE30:AF30" si="276">SUM(AE12:AE29)</f>
        <v>8500000</v>
      </c>
      <c r="AF30" s="1210">
        <f t="shared" si="276"/>
        <v>3000000</v>
      </c>
      <c r="AG30" s="943">
        <f t="shared" si="270"/>
        <v>11500000</v>
      </c>
      <c r="AH30" s="948">
        <f t="shared" si="270"/>
        <v>8500000</v>
      </c>
      <c r="AI30" s="947">
        <f t="shared" si="270"/>
        <v>3000000</v>
      </c>
      <c r="AJ30" s="945">
        <f t="shared" si="270"/>
        <v>8500000</v>
      </c>
      <c r="AK30" s="946">
        <f t="shared" si="270"/>
        <v>8500000</v>
      </c>
      <c r="AL30" s="945">
        <f t="shared" si="270"/>
        <v>3000000</v>
      </c>
      <c r="AM30" s="945">
        <f t="shared" si="270"/>
        <v>3000000</v>
      </c>
      <c r="AN30" s="949">
        <f t="shared" si="270"/>
        <v>9151224600.7700005</v>
      </c>
      <c r="AO30" s="942">
        <f t="shared" si="270"/>
        <v>3939396145.710001</v>
      </c>
      <c r="AP30" s="950">
        <f t="shared" si="270"/>
        <v>1031026903.36</v>
      </c>
      <c r="AQ30" s="951">
        <f t="shared" si="270"/>
        <v>993376703.36000001</v>
      </c>
      <c r="AR30" s="922">
        <f t="shared" si="270"/>
        <v>37650200</v>
      </c>
      <c r="AS30" s="950">
        <f t="shared" si="270"/>
        <v>303157465.58999997</v>
      </c>
      <c r="AT30" s="952">
        <f t="shared" si="270"/>
        <v>303157465.58999997</v>
      </c>
      <c r="AU30" s="953">
        <f t="shared" si="270"/>
        <v>0</v>
      </c>
      <c r="AV30" s="942">
        <f t="shared" si="270"/>
        <v>91624576.299999997</v>
      </c>
      <c r="AW30" s="954">
        <f t="shared" si="270"/>
        <v>91624576.299999997</v>
      </c>
      <c r="AX30" s="950">
        <f t="shared" si="270"/>
        <v>0</v>
      </c>
      <c r="AY30" s="952">
        <f t="shared" si="270"/>
        <v>0</v>
      </c>
      <c r="AZ30" s="950">
        <f t="shared" si="270"/>
        <v>202348830.24000001</v>
      </c>
      <c r="BA30" s="922">
        <f t="shared" si="270"/>
        <v>202348830.24000001</v>
      </c>
      <c r="BB30" s="950">
        <f t="shared" si="270"/>
        <v>108064226.06999999</v>
      </c>
      <c r="BC30" s="957">
        <f t="shared" si="270"/>
        <v>108064226.06999999</v>
      </c>
      <c r="BD30" s="950">
        <f t="shared" si="270"/>
        <v>212375065.56999999</v>
      </c>
      <c r="BE30" s="957">
        <f t="shared" si="270"/>
        <v>212375065.56999999</v>
      </c>
      <c r="BF30" s="940">
        <f t="shared" si="270"/>
        <v>94677102.019999996</v>
      </c>
      <c r="BG30" s="957">
        <f t="shared" si="270"/>
        <v>94677102.019999996</v>
      </c>
      <c r="BH30" s="958">
        <f t="shared" si="270"/>
        <v>0</v>
      </c>
      <c r="BI30" s="959">
        <f t="shared" si="270"/>
        <v>0</v>
      </c>
      <c r="BJ30" s="960">
        <f t="shared" si="270"/>
        <v>212375065.56999999</v>
      </c>
      <c r="BK30" s="959">
        <f t="shared" ref="BK30:DV30" si="277">SUM(BK12:BK29)</f>
        <v>94677102.019999996</v>
      </c>
      <c r="BL30" s="941">
        <f t="shared" si="277"/>
        <v>0</v>
      </c>
      <c r="BM30" s="940">
        <f t="shared" si="277"/>
        <v>0</v>
      </c>
      <c r="BN30" s="961">
        <f t="shared" si="277"/>
        <v>0</v>
      </c>
      <c r="BO30" s="940">
        <f t="shared" si="277"/>
        <v>0</v>
      </c>
      <c r="BP30" s="962">
        <f t="shared" si="277"/>
        <v>0</v>
      </c>
      <c r="BQ30" s="963">
        <f t="shared" si="277"/>
        <v>0</v>
      </c>
      <c r="BR30" s="964">
        <f t="shared" si="277"/>
        <v>0</v>
      </c>
      <c r="BS30" s="960">
        <f t="shared" si="277"/>
        <v>0</v>
      </c>
      <c r="BT30" s="942">
        <f t="shared" si="277"/>
        <v>1181351729.78</v>
      </c>
      <c r="BU30" s="973">
        <f t="shared" si="277"/>
        <v>865675729.78000009</v>
      </c>
      <c r="BV30" s="922">
        <f t="shared" si="277"/>
        <v>315676000</v>
      </c>
      <c r="BW30" s="950">
        <f t="shared" si="277"/>
        <v>37574331.689999998</v>
      </c>
      <c r="BX30" s="952">
        <f t="shared" si="277"/>
        <v>0</v>
      </c>
      <c r="BY30" s="957">
        <f t="shared" si="277"/>
        <v>37574331.689999998</v>
      </c>
      <c r="BZ30" s="965">
        <f t="shared" si="277"/>
        <v>0</v>
      </c>
      <c r="CA30" s="941">
        <f t="shared" si="277"/>
        <v>0</v>
      </c>
      <c r="CB30" s="942">
        <f t="shared" si="277"/>
        <v>0</v>
      </c>
      <c r="CC30" s="942">
        <f t="shared" si="277"/>
        <v>0</v>
      </c>
      <c r="CD30" s="966">
        <f t="shared" si="277"/>
        <v>0</v>
      </c>
      <c r="CE30" s="966">
        <f t="shared" si="277"/>
        <v>0</v>
      </c>
      <c r="CF30" s="966">
        <f t="shared" si="277"/>
        <v>0</v>
      </c>
      <c r="CG30" s="966">
        <f t="shared" si="277"/>
        <v>0</v>
      </c>
      <c r="CH30" s="942">
        <f t="shared" si="277"/>
        <v>423302330.55999988</v>
      </c>
      <c r="CI30" s="922">
        <f t="shared" si="277"/>
        <v>225412961.30000001</v>
      </c>
      <c r="CJ30" s="922">
        <f t="shared" si="277"/>
        <v>197889369.26000002</v>
      </c>
      <c r="CK30" s="950">
        <f t="shared" si="277"/>
        <v>24139750.189999998</v>
      </c>
      <c r="CL30" s="952">
        <f t="shared" si="277"/>
        <v>0</v>
      </c>
      <c r="CM30" s="952">
        <f t="shared" si="277"/>
        <v>24139750.189999998</v>
      </c>
      <c r="CN30" s="950">
        <f t="shared" si="277"/>
        <v>297713181.41000003</v>
      </c>
      <c r="CO30" s="967">
        <f t="shared" si="277"/>
        <v>742629.11</v>
      </c>
      <c r="CP30" s="968">
        <f t="shared" si="277"/>
        <v>243864.57</v>
      </c>
      <c r="CQ30" s="957">
        <f t="shared" si="277"/>
        <v>14500000</v>
      </c>
      <c r="CR30" s="969">
        <f t="shared" si="277"/>
        <v>275500000</v>
      </c>
      <c r="CS30" s="957">
        <f t="shared" si="277"/>
        <v>6726687.7300000004</v>
      </c>
      <c r="CT30" s="969">
        <f t="shared" si="277"/>
        <v>0</v>
      </c>
      <c r="CU30" s="950">
        <f t="shared" si="277"/>
        <v>147326618.09</v>
      </c>
      <c r="CV30" s="970">
        <f t="shared" si="277"/>
        <v>0</v>
      </c>
      <c r="CW30" s="968">
        <f t="shared" si="277"/>
        <v>0</v>
      </c>
      <c r="CX30" s="957">
        <f t="shared" si="277"/>
        <v>7366330.9000000004</v>
      </c>
      <c r="CY30" s="969">
        <f t="shared" si="277"/>
        <v>139960287.19</v>
      </c>
      <c r="CZ30" s="957">
        <f t="shared" si="277"/>
        <v>0</v>
      </c>
      <c r="DA30" s="969">
        <f t="shared" si="277"/>
        <v>0</v>
      </c>
      <c r="DB30" s="942">
        <f t="shared" si="277"/>
        <v>19567142.100000001</v>
      </c>
      <c r="DC30" s="957">
        <f t="shared" si="277"/>
        <v>3729042.1000000015</v>
      </c>
      <c r="DD30" s="971">
        <f t="shared" si="277"/>
        <v>15838100</v>
      </c>
      <c r="DE30" s="950">
        <f t="shared" si="277"/>
        <v>4587624.3599999994</v>
      </c>
      <c r="DF30" s="957">
        <f t="shared" si="277"/>
        <v>874294.48</v>
      </c>
      <c r="DG30" s="969">
        <f t="shared" si="277"/>
        <v>3713329.88</v>
      </c>
      <c r="DH30" s="1266">
        <f t="shared" si="277"/>
        <v>0</v>
      </c>
      <c r="DI30" s="959">
        <f t="shared" si="277"/>
        <v>0</v>
      </c>
      <c r="DJ30" s="960">
        <f t="shared" si="277"/>
        <v>19567142.100000001</v>
      </c>
      <c r="DK30" s="959">
        <f t="shared" si="277"/>
        <v>4587624.3599999994</v>
      </c>
      <c r="DL30" s="941">
        <f t="shared" si="277"/>
        <v>12500000</v>
      </c>
      <c r="DM30" s="973">
        <f t="shared" si="277"/>
        <v>7200000</v>
      </c>
      <c r="DN30" s="973">
        <f t="shared" si="277"/>
        <v>5300000</v>
      </c>
      <c r="DO30" s="922">
        <f t="shared" si="277"/>
        <v>0</v>
      </c>
      <c r="DP30" s="950">
        <f t="shared" si="277"/>
        <v>9291499.9900000002</v>
      </c>
      <c r="DQ30" s="954">
        <f t="shared" si="277"/>
        <v>4000000</v>
      </c>
      <c r="DR30" s="954">
        <f t="shared" si="277"/>
        <v>5291499.99</v>
      </c>
      <c r="DS30" s="954">
        <f t="shared" si="277"/>
        <v>0</v>
      </c>
      <c r="DT30" s="942">
        <f t="shared" si="277"/>
        <v>6297684.2199999997</v>
      </c>
      <c r="DU30" s="973">
        <f t="shared" si="277"/>
        <v>314884.21999999974</v>
      </c>
      <c r="DV30" s="974">
        <f t="shared" si="277"/>
        <v>5982800</v>
      </c>
      <c r="DW30" s="950">
        <f t="shared" ref="DW30:GH30" si="278">SUM(DW12:DW29)</f>
        <v>4764585.4399999995</v>
      </c>
      <c r="DX30" s="970">
        <f t="shared" si="278"/>
        <v>238229.28</v>
      </c>
      <c r="DY30" s="969">
        <f t="shared" si="278"/>
        <v>4526356.16</v>
      </c>
      <c r="DZ30" s="950">
        <f t="shared" si="278"/>
        <v>0</v>
      </c>
      <c r="EA30" s="967">
        <f t="shared" si="278"/>
        <v>0</v>
      </c>
      <c r="EB30" s="969">
        <f t="shared" si="278"/>
        <v>0</v>
      </c>
      <c r="EC30" s="940">
        <f t="shared" si="278"/>
        <v>0</v>
      </c>
      <c r="ED30" s="975">
        <f t="shared" si="278"/>
        <v>0</v>
      </c>
      <c r="EE30" s="974">
        <f t="shared" si="278"/>
        <v>0</v>
      </c>
      <c r="EF30" s="942">
        <f t="shared" si="278"/>
        <v>0</v>
      </c>
      <c r="EG30" s="957">
        <f t="shared" si="278"/>
        <v>0</v>
      </c>
      <c r="EH30" s="957">
        <f t="shared" si="278"/>
        <v>0</v>
      </c>
      <c r="EI30" s="972">
        <f t="shared" si="278"/>
        <v>0</v>
      </c>
      <c r="EJ30" s="942">
        <f t="shared" si="278"/>
        <v>0</v>
      </c>
      <c r="EK30" s="957">
        <f t="shared" si="278"/>
        <v>0</v>
      </c>
      <c r="EL30" s="957">
        <f t="shared" si="278"/>
        <v>0</v>
      </c>
      <c r="EM30" s="972">
        <f t="shared" si="278"/>
        <v>0</v>
      </c>
      <c r="EN30" s="942">
        <f t="shared" si="278"/>
        <v>82494836.710000008</v>
      </c>
      <c r="EO30" s="967">
        <f t="shared" si="278"/>
        <v>0</v>
      </c>
      <c r="EP30" s="968">
        <f t="shared" si="278"/>
        <v>82494836.710000008</v>
      </c>
      <c r="EQ30" s="950">
        <f t="shared" si="278"/>
        <v>0</v>
      </c>
      <c r="ER30" s="967">
        <f t="shared" si="278"/>
        <v>0</v>
      </c>
      <c r="ES30" s="968">
        <f t="shared" si="278"/>
        <v>0</v>
      </c>
      <c r="ET30" s="950">
        <f t="shared" si="278"/>
        <v>2027026.14</v>
      </c>
      <c r="EU30" s="957">
        <f t="shared" si="278"/>
        <v>529080.10999999987</v>
      </c>
      <c r="EV30" s="971">
        <f t="shared" si="278"/>
        <v>1497946.03</v>
      </c>
      <c r="EW30" s="950">
        <f t="shared" si="278"/>
        <v>0</v>
      </c>
      <c r="EX30" s="957">
        <f t="shared" si="278"/>
        <v>0</v>
      </c>
      <c r="EY30" s="972">
        <f t="shared" si="278"/>
        <v>0</v>
      </c>
      <c r="EZ30" s="942">
        <f t="shared" si="278"/>
        <v>3880682.69</v>
      </c>
      <c r="FA30" s="957">
        <f t="shared" si="278"/>
        <v>1012908.5099999999</v>
      </c>
      <c r="FB30" s="971">
        <f t="shared" si="278"/>
        <v>2867774.1799999997</v>
      </c>
      <c r="FC30" s="950">
        <f t="shared" si="278"/>
        <v>3447329.84</v>
      </c>
      <c r="FD30" s="957">
        <f t="shared" si="278"/>
        <v>899797.78999999992</v>
      </c>
      <c r="FE30" s="972">
        <f t="shared" si="278"/>
        <v>2547532.0500000003</v>
      </c>
      <c r="FF30" s="966">
        <f t="shared" si="278"/>
        <v>3880682.69</v>
      </c>
      <c r="FG30" s="957">
        <f t="shared" si="278"/>
        <v>1012908.5099999999</v>
      </c>
      <c r="FH30" s="971">
        <f t="shared" si="278"/>
        <v>2867774.1799999997</v>
      </c>
      <c r="FI30" s="955">
        <f t="shared" si="278"/>
        <v>3447329.84</v>
      </c>
      <c r="FJ30" s="957">
        <f t="shared" si="278"/>
        <v>899797.78999999992</v>
      </c>
      <c r="FK30" s="972">
        <f t="shared" si="278"/>
        <v>2547532.0500000003</v>
      </c>
      <c r="FL30" s="966">
        <f t="shared" si="278"/>
        <v>0</v>
      </c>
      <c r="FM30" s="957">
        <f t="shared" si="278"/>
        <v>0</v>
      </c>
      <c r="FN30" s="971">
        <f t="shared" si="278"/>
        <v>0</v>
      </c>
      <c r="FO30" s="955">
        <f t="shared" si="278"/>
        <v>0</v>
      </c>
      <c r="FP30" s="957">
        <f t="shared" si="278"/>
        <v>0</v>
      </c>
      <c r="FQ30" s="972">
        <f t="shared" si="278"/>
        <v>0</v>
      </c>
      <c r="FR30" s="942">
        <f t="shared" si="278"/>
        <v>0</v>
      </c>
      <c r="FS30" s="975">
        <f t="shared" si="278"/>
        <v>0</v>
      </c>
      <c r="FT30" s="974">
        <f t="shared" si="278"/>
        <v>0</v>
      </c>
      <c r="FU30" s="942">
        <f t="shared" si="278"/>
        <v>0</v>
      </c>
      <c r="FV30" s="976">
        <f t="shared" si="278"/>
        <v>0</v>
      </c>
      <c r="FW30" s="969">
        <f t="shared" si="278"/>
        <v>0</v>
      </c>
      <c r="FX30" s="942">
        <f t="shared" si="278"/>
        <v>200118022.88999996</v>
      </c>
      <c r="FY30" s="975">
        <f t="shared" si="278"/>
        <v>43030642.659999982</v>
      </c>
      <c r="FZ30" s="974">
        <f t="shared" si="278"/>
        <v>157087380.22999999</v>
      </c>
      <c r="GA30" s="942">
        <f t="shared" si="278"/>
        <v>165355175.5</v>
      </c>
      <c r="GB30" s="976">
        <f t="shared" si="278"/>
        <v>8267795.2799999993</v>
      </c>
      <c r="GC30" s="969">
        <f t="shared" si="278"/>
        <v>157087380.22</v>
      </c>
      <c r="GD30" s="1232">
        <f t="shared" si="278"/>
        <v>87446506</v>
      </c>
      <c r="GE30" s="976">
        <f t="shared" si="278"/>
        <v>10402506</v>
      </c>
      <c r="GF30" s="969">
        <f t="shared" si="278"/>
        <v>77044000</v>
      </c>
      <c r="GG30" s="1232">
        <f t="shared" si="278"/>
        <v>77777026.430000007</v>
      </c>
      <c r="GH30" s="976">
        <f t="shared" si="278"/>
        <v>9252239.1199999992</v>
      </c>
      <c r="GI30" s="969">
        <f t="shared" ref="GI30:IT30" si="279">SUM(GI12:GI29)</f>
        <v>68524787.310000002</v>
      </c>
      <c r="GJ30" s="1079">
        <f t="shared" si="279"/>
        <v>0</v>
      </c>
      <c r="GK30" s="956">
        <f t="shared" si="279"/>
        <v>0</v>
      </c>
      <c r="GL30" s="1122">
        <f t="shared" si="279"/>
        <v>87446506</v>
      </c>
      <c r="GM30" s="956">
        <f t="shared" si="279"/>
        <v>77777026.430000007</v>
      </c>
      <c r="GN30" s="942">
        <f t="shared" si="279"/>
        <v>222668000</v>
      </c>
      <c r="GO30" s="973">
        <f t="shared" si="279"/>
        <v>0</v>
      </c>
      <c r="GP30" s="974">
        <f t="shared" si="279"/>
        <v>75265211.599999994</v>
      </c>
      <c r="GQ30" s="973">
        <f t="shared" si="279"/>
        <v>147402788.39999998</v>
      </c>
      <c r="GR30" s="942">
        <f t="shared" si="279"/>
        <v>0</v>
      </c>
      <c r="GS30" s="973">
        <f t="shared" si="279"/>
        <v>0</v>
      </c>
      <c r="GT30" s="974">
        <f t="shared" si="279"/>
        <v>0</v>
      </c>
      <c r="GU30" s="957">
        <f t="shared" si="279"/>
        <v>0</v>
      </c>
      <c r="GV30" s="1232">
        <f t="shared" si="279"/>
        <v>123288200</v>
      </c>
      <c r="GW30" s="957">
        <f t="shared" si="279"/>
        <v>123288200</v>
      </c>
      <c r="GX30" s="1232">
        <f t="shared" si="279"/>
        <v>104295970.7</v>
      </c>
      <c r="GY30" s="957">
        <f t="shared" si="279"/>
        <v>104295970.7</v>
      </c>
      <c r="GZ30" s="966">
        <f t="shared" si="279"/>
        <v>0</v>
      </c>
      <c r="HA30" s="966">
        <f t="shared" si="279"/>
        <v>0</v>
      </c>
      <c r="HB30" s="966">
        <f t="shared" si="279"/>
        <v>123288200</v>
      </c>
      <c r="HC30" s="966">
        <f t="shared" si="279"/>
        <v>104295970.7</v>
      </c>
      <c r="HD30" s="942">
        <f t="shared" si="279"/>
        <v>51625558.140000008</v>
      </c>
      <c r="HE30" s="973">
        <f t="shared" si="279"/>
        <v>51625558.140000008</v>
      </c>
      <c r="HF30" s="974">
        <f t="shared" si="279"/>
        <v>0</v>
      </c>
      <c r="HG30" s="950">
        <f t="shared" si="279"/>
        <v>0</v>
      </c>
      <c r="HH30" s="973">
        <f t="shared" si="279"/>
        <v>0</v>
      </c>
      <c r="HI30" s="974">
        <f t="shared" si="279"/>
        <v>0</v>
      </c>
      <c r="HJ30" s="942">
        <f t="shared" si="279"/>
        <v>0</v>
      </c>
      <c r="HK30" s="973">
        <f t="shared" si="279"/>
        <v>0</v>
      </c>
      <c r="HL30" s="974">
        <f t="shared" si="279"/>
        <v>0</v>
      </c>
      <c r="HM30" s="950">
        <f t="shared" si="279"/>
        <v>0</v>
      </c>
      <c r="HN30" s="973">
        <f t="shared" si="279"/>
        <v>0</v>
      </c>
      <c r="HO30" s="974">
        <f t="shared" si="279"/>
        <v>0</v>
      </c>
      <c r="HP30" s="942">
        <f t="shared" si="279"/>
        <v>169455019.44999999</v>
      </c>
      <c r="HQ30" s="973">
        <f t="shared" si="279"/>
        <v>1661708.0899999999</v>
      </c>
      <c r="HR30" s="974">
        <f t="shared" si="279"/>
        <v>167793311.36000001</v>
      </c>
      <c r="HS30" s="950">
        <f t="shared" si="279"/>
        <v>166170808.08999997</v>
      </c>
      <c r="HT30" s="973">
        <f t="shared" si="279"/>
        <v>1661708.0899999999</v>
      </c>
      <c r="HU30" s="974">
        <f t="shared" si="279"/>
        <v>164509100</v>
      </c>
      <c r="HV30" s="966">
        <f t="shared" si="279"/>
        <v>0</v>
      </c>
      <c r="HW30" s="957">
        <f t="shared" si="279"/>
        <v>-3284211.3599999994</v>
      </c>
      <c r="HX30" s="971">
        <f t="shared" si="279"/>
        <v>3284211.3599999994</v>
      </c>
      <c r="HY30" s="955">
        <f t="shared" si="279"/>
        <v>0</v>
      </c>
      <c r="HZ30" s="957">
        <f t="shared" si="279"/>
        <v>0</v>
      </c>
      <c r="IA30" s="972">
        <f t="shared" si="279"/>
        <v>0</v>
      </c>
      <c r="IB30" s="966">
        <f t="shared" si="279"/>
        <v>169455019.44999999</v>
      </c>
      <c r="IC30" s="957">
        <f t="shared" si="279"/>
        <v>4945919.4499999993</v>
      </c>
      <c r="ID30" s="971">
        <f t="shared" si="279"/>
        <v>164509100</v>
      </c>
      <c r="IE30" s="955">
        <f t="shared" si="279"/>
        <v>166170808.08999997</v>
      </c>
      <c r="IF30" s="967">
        <f t="shared" si="279"/>
        <v>1661708.0899999999</v>
      </c>
      <c r="IG30" s="969">
        <f t="shared" si="279"/>
        <v>164509100</v>
      </c>
      <c r="IH30" s="950">
        <f t="shared" si="279"/>
        <v>0</v>
      </c>
      <c r="II30" s="967">
        <f t="shared" si="279"/>
        <v>0</v>
      </c>
      <c r="IJ30" s="969">
        <f t="shared" si="279"/>
        <v>0</v>
      </c>
      <c r="IK30" s="950">
        <f t="shared" si="279"/>
        <v>0</v>
      </c>
      <c r="IL30" s="967">
        <f t="shared" si="279"/>
        <v>0</v>
      </c>
      <c r="IM30" s="969">
        <f t="shared" si="279"/>
        <v>0</v>
      </c>
      <c r="IN30" s="1231">
        <f t="shared" si="279"/>
        <v>2631578.9500000002</v>
      </c>
      <c r="IO30" s="967">
        <f t="shared" si="279"/>
        <v>131578.95000000001</v>
      </c>
      <c r="IP30" s="969">
        <f t="shared" si="279"/>
        <v>2500000</v>
      </c>
      <c r="IQ30" s="1231">
        <f t="shared" si="279"/>
        <v>2631578.9500000002</v>
      </c>
      <c r="IR30" s="967">
        <f t="shared" si="279"/>
        <v>131578.95000000001</v>
      </c>
      <c r="IS30" s="969">
        <f t="shared" si="279"/>
        <v>2500000</v>
      </c>
      <c r="IT30" s="1079">
        <f t="shared" si="279"/>
        <v>0</v>
      </c>
      <c r="IU30" s="956">
        <f t="shared" ref="IU30:LF30" si="280">SUM(IU12:IU29)</f>
        <v>0</v>
      </c>
      <c r="IV30" s="1079">
        <f t="shared" si="280"/>
        <v>2631578.9500000002</v>
      </c>
      <c r="IW30" s="956">
        <f t="shared" si="280"/>
        <v>2631578.9500000002</v>
      </c>
      <c r="IX30" s="950">
        <f t="shared" si="280"/>
        <v>23000000</v>
      </c>
      <c r="IY30" s="967">
        <f t="shared" si="280"/>
        <v>1150000</v>
      </c>
      <c r="IZ30" s="969">
        <f t="shared" si="280"/>
        <v>21850000</v>
      </c>
      <c r="JA30" s="950">
        <f t="shared" si="280"/>
        <v>20430896.539999999</v>
      </c>
      <c r="JB30" s="973">
        <f t="shared" si="280"/>
        <v>1021544.81</v>
      </c>
      <c r="JC30" s="974">
        <f t="shared" si="280"/>
        <v>19409351.73</v>
      </c>
      <c r="JD30" s="950">
        <f t="shared" si="280"/>
        <v>0</v>
      </c>
      <c r="JE30" s="973">
        <f t="shared" si="280"/>
        <v>0</v>
      </c>
      <c r="JF30" s="974">
        <f t="shared" si="280"/>
        <v>0</v>
      </c>
      <c r="JG30" s="950">
        <f t="shared" si="280"/>
        <v>0</v>
      </c>
      <c r="JH30" s="973">
        <f t="shared" si="280"/>
        <v>0</v>
      </c>
      <c r="JI30" s="974">
        <f t="shared" si="280"/>
        <v>0</v>
      </c>
      <c r="JJ30" s="950">
        <f t="shared" si="280"/>
        <v>18358.319999999985</v>
      </c>
      <c r="JK30" s="954">
        <f t="shared" si="280"/>
        <v>0</v>
      </c>
      <c r="JL30" s="971">
        <f t="shared" si="280"/>
        <v>18358.319999999985</v>
      </c>
      <c r="JM30" s="950">
        <f t="shared" si="280"/>
        <v>0</v>
      </c>
      <c r="JN30" s="967">
        <f t="shared" si="280"/>
        <v>0</v>
      </c>
      <c r="JO30" s="969">
        <f t="shared" si="280"/>
        <v>0</v>
      </c>
      <c r="JP30" s="950">
        <f t="shared" si="280"/>
        <v>18358.319999999985</v>
      </c>
      <c r="JQ30" s="954">
        <f t="shared" si="280"/>
        <v>0</v>
      </c>
      <c r="JR30" s="969">
        <f t="shared" si="280"/>
        <v>18358.319999999985</v>
      </c>
      <c r="JS30" s="950">
        <f t="shared" si="280"/>
        <v>0</v>
      </c>
      <c r="JT30" s="954">
        <f t="shared" si="280"/>
        <v>0</v>
      </c>
      <c r="JU30" s="972">
        <f t="shared" si="280"/>
        <v>0</v>
      </c>
      <c r="JV30" s="955">
        <f t="shared" si="280"/>
        <v>-3237680.18</v>
      </c>
      <c r="JW30" s="977">
        <f t="shared" si="280"/>
        <v>-846570.0199999999</v>
      </c>
      <c r="JX30" s="969">
        <f t="shared" si="280"/>
        <v>-2391110.16</v>
      </c>
      <c r="JY30" s="978">
        <f t="shared" si="280"/>
        <v>0</v>
      </c>
      <c r="JZ30" s="954">
        <f t="shared" si="280"/>
        <v>0</v>
      </c>
      <c r="KA30" s="971">
        <f t="shared" si="280"/>
        <v>0</v>
      </c>
      <c r="KB30" s="955">
        <f t="shared" si="280"/>
        <v>3256038.5</v>
      </c>
      <c r="KC30" s="977">
        <f t="shared" si="280"/>
        <v>846570.0199999999</v>
      </c>
      <c r="KD30" s="969">
        <f t="shared" si="280"/>
        <v>2409468.4800000004</v>
      </c>
      <c r="KE30" s="955">
        <f t="shared" si="280"/>
        <v>0</v>
      </c>
      <c r="KF30" s="967">
        <f t="shared" si="280"/>
        <v>0</v>
      </c>
      <c r="KG30" s="969">
        <f t="shared" si="280"/>
        <v>0</v>
      </c>
      <c r="KH30" s="943">
        <f t="shared" si="280"/>
        <v>33356532.820000008</v>
      </c>
      <c r="KI30" s="954">
        <f t="shared" si="280"/>
        <v>20130231.120000001</v>
      </c>
      <c r="KJ30" s="969">
        <f t="shared" si="280"/>
        <v>6341171.7000000002</v>
      </c>
      <c r="KK30" s="954">
        <f t="shared" si="280"/>
        <v>2503073.06</v>
      </c>
      <c r="KL30" s="969">
        <f t="shared" si="280"/>
        <v>4382056.9399999995</v>
      </c>
      <c r="KM30" s="943">
        <f t="shared" si="280"/>
        <v>185180</v>
      </c>
      <c r="KN30" s="957">
        <f t="shared" si="280"/>
        <v>0</v>
      </c>
      <c r="KO30" s="969">
        <f t="shared" si="280"/>
        <v>0</v>
      </c>
      <c r="KP30" s="957">
        <f>SUM(KP12:KP29)</f>
        <v>67321.759999999995</v>
      </c>
      <c r="KQ30" s="969">
        <f>SUM(KQ12:KQ29)</f>
        <v>117858.24000000001</v>
      </c>
      <c r="KR30" s="943">
        <f t="shared" si="280"/>
        <v>2533780</v>
      </c>
      <c r="KS30" s="977">
        <f t="shared" si="280"/>
        <v>2533780</v>
      </c>
      <c r="KT30" s="969">
        <f t="shared" si="280"/>
        <v>0</v>
      </c>
      <c r="KU30" s="977">
        <f t="shared" si="280"/>
        <v>0</v>
      </c>
      <c r="KV30" s="969">
        <f t="shared" si="280"/>
        <v>0</v>
      </c>
      <c r="KW30" s="943">
        <f t="shared" si="280"/>
        <v>0</v>
      </c>
      <c r="KX30" s="957">
        <f t="shared" si="280"/>
        <v>0</v>
      </c>
      <c r="KY30" s="969">
        <f t="shared" si="280"/>
        <v>0</v>
      </c>
      <c r="KZ30" s="957">
        <f t="shared" si="280"/>
        <v>0</v>
      </c>
      <c r="LA30" s="969">
        <f t="shared" si="280"/>
        <v>0</v>
      </c>
      <c r="LB30" s="945">
        <f t="shared" si="280"/>
        <v>-1817570</v>
      </c>
      <c r="LC30" s="977">
        <f t="shared" si="280"/>
        <v>-1817570</v>
      </c>
      <c r="LD30" s="969">
        <f t="shared" si="280"/>
        <v>0</v>
      </c>
      <c r="LE30" s="945">
        <f t="shared" si="280"/>
        <v>0</v>
      </c>
      <c r="LF30" s="977">
        <f t="shared" si="280"/>
        <v>0</v>
      </c>
      <c r="LG30" s="969">
        <f t="shared" ref="LG30:NI30" si="281">SUM(LG12:LG29)</f>
        <v>0</v>
      </c>
      <c r="LH30" s="945">
        <f t="shared" si="281"/>
        <v>4351350</v>
      </c>
      <c r="LI30" s="954">
        <f t="shared" si="281"/>
        <v>4351350</v>
      </c>
      <c r="LJ30" s="971">
        <f t="shared" si="281"/>
        <v>0</v>
      </c>
      <c r="LK30" s="945">
        <f t="shared" si="281"/>
        <v>0</v>
      </c>
      <c r="LL30" s="977">
        <f t="shared" si="281"/>
        <v>0</v>
      </c>
      <c r="LM30" s="969">
        <f t="shared" si="281"/>
        <v>0</v>
      </c>
      <c r="LN30" s="940">
        <f t="shared" si="281"/>
        <v>7973513.5099999998</v>
      </c>
      <c r="LO30" s="957">
        <f t="shared" si="281"/>
        <v>0</v>
      </c>
      <c r="LP30" s="979">
        <f t="shared" si="281"/>
        <v>2073113.5099999998</v>
      </c>
      <c r="LQ30" s="972">
        <f t="shared" si="281"/>
        <v>5900400</v>
      </c>
      <c r="LR30" s="940">
        <f t="shared" si="281"/>
        <v>0</v>
      </c>
      <c r="LS30" s="957">
        <f t="shared" si="281"/>
        <v>0</v>
      </c>
      <c r="LT30" s="957">
        <f t="shared" si="281"/>
        <v>0</v>
      </c>
      <c r="LU30" s="969">
        <f t="shared" si="281"/>
        <v>0</v>
      </c>
      <c r="LV30" s="940">
        <f t="shared" si="281"/>
        <v>32277567.57</v>
      </c>
      <c r="LW30" s="957">
        <f t="shared" si="281"/>
        <v>0</v>
      </c>
      <c r="LX30" s="957">
        <f t="shared" si="281"/>
        <v>8392167.5700000003</v>
      </c>
      <c r="LY30" s="969">
        <f t="shared" si="281"/>
        <v>23885400</v>
      </c>
      <c r="LZ30" s="940">
        <f t="shared" si="281"/>
        <v>25231857.170000002</v>
      </c>
      <c r="MA30" s="957">
        <f t="shared" si="281"/>
        <v>0</v>
      </c>
      <c r="MB30" s="957">
        <f t="shared" si="281"/>
        <v>6560282.8599999994</v>
      </c>
      <c r="MC30" s="969">
        <f t="shared" si="281"/>
        <v>18671574.310000002</v>
      </c>
      <c r="MD30" s="956">
        <f t="shared" si="281"/>
        <v>32277567.57</v>
      </c>
      <c r="ME30" s="973">
        <f t="shared" si="281"/>
        <v>0</v>
      </c>
      <c r="MF30" s="973">
        <f t="shared" si="281"/>
        <v>8392167.5700000003</v>
      </c>
      <c r="MG30" s="974">
        <f t="shared" si="281"/>
        <v>23885400</v>
      </c>
      <c r="MH30" s="956">
        <f t="shared" si="281"/>
        <v>25231857.170000002</v>
      </c>
      <c r="MI30" s="975">
        <f t="shared" si="281"/>
        <v>0</v>
      </c>
      <c r="MJ30" s="975">
        <f t="shared" si="281"/>
        <v>6560282.8599999994</v>
      </c>
      <c r="MK30" s="974">
        <f t="shared" si="281"/>
        <v>18671574.310000002</v>
      </c>
      <c r="ML30" s="956">
        <f t="shared" si="281"/>
        <v>0</v>
      </c>
      <c r="MM30" s="957">
        <f t="shared" si="281"/>
        <v>0</v>
      </c>
      <c r="MN30" s="957">
        <f t="shared" si="281"/>
        <v>0</v>
      </c>
      <c r="MO30" s="969">
        <f t="shared" si="281"/>
        <v>0</v>
      </c>
      <c r="MP30" s="956">
        <f t="shared" si="281"/>
        <v>0</v>
      </c>
      <c r="MQ30" s="957">
        <f t="shared" si="281"/>
        <v>0</v>
      </c>
      <c r="MR30" s="957">
        <f t="shared" si="281"/>
        <v>0</v>
      </c>
      <c r="MS30" s="969">
        <f t="shared" si="281"/>
        <v>0</v>
      </c>
      <c r="MT30" s="965">
        <f t="shared" si="281"/>
        <v>9685227.6900000013</v>
      </c>
      <c r="MU30" s="979">
        <f t="shared" si="281"/>
        <v>0</v>
      </c>
      <c r="MV30" s="972">
        <f t="shared" si="281"/>
        <v>0</v>
      </c>
      <c r="MW30" s="973">
        <f t="shared" si="281"/>
        <v>1671589.1900000004</v>
      </c>
      <c r="MX30" s="974">
        <f t="shared" si="281"/>
        <v>4757600</v>
      </c>
      <c r="MY30" s="979">
        <f t="shared" si="281"/>
        <v>0</v>
      </c>
      <c r="MZ30" s="979">
        <f t="shared" si="281"/>
        <v>846570.0199999999</v>
      </c>
      <c r="NA30" s="971">
        <f t="shared" si="281"/>
        <v>2409468.4800000004</v>
      </c>
      <c r="NB30" s="950">
        <f t="shared" si="281"/>
        <v>3911170.4000000004</v>
      </c>
      <c r="NC30" s="957">
        <f t="shared" si="281"/>
        <v>0</v>
      </c>
      <c r="ND30" s="969">
        <f t="shared" si="281"/>
        <v>0</v>
      </c>
      <c r="NE30" s="954">
        <f t="shared" si="281"/>
        <v>170334.3</v>
      </c>
      <c r="NF30" s="972">
        <f t="shared" si="281"/>
        <v>484797.61</v>
      </c>
      <c r="NG30" s="957">
        <f t="shared" si="281"/>
        <v>0</v>
      </c>
      <c r="NH30" s="957">
        <f t="shared" si="281"/>
        <v>846570.0199999999</v>
      </c>
      <c r="NI30" s="971">
        <f t="shared" si="281"/>
        <v>2409468.4699999997</v>
      </c>
      <c r="NJ30" s="950">
        <f t="shared" ref="NJ30:PW30" si="282">SUM(NJ12:NJ29)</f>
        <v>164579708.91999999</v>
      </c>
      <c r="NK30" s="954">
        <f t="shared" si="282"/>
        <v>18358.319999999985</v>
      </c>
      <c r="NL30" s="971">
        <f t="shared" si="282"/>
        <v>164561350.59999999</v>
      </c>
      <c r="NM30" s="950">
        <f t="shared" si="282"/>
        <v>70608.919999999984</v>
      </c>
      <c r="NN30" s="970">
        <f t="shared" si="282"/>
        <v>18358.319999999985</v>
      </c>
      <c r="NO30" s="969">
        <f t="shared" si="282"/>
        <v>52250.6</v>
      </c>
      <c r="NP30" s="955">
        <f t="shared" si="282"/>
        <v>0</v>
      </c>
      <c r="NQ30" s="967">
        <f t="shared" si="282"/>
        <v>0</v>
      </c>
      <c r="NR30" s="969">
        <f t="shared" si="282"/>
        <v>0</v>
      </c>
      <c r="NS30" s="955">
        <f t="shared" si="282"/>
        <v>0</v>
      </c>
      <c r="NT30" s="954">
        <f t="shared" si="282"/>
        <v>0</v>
      </c>
      <c r="NU30" s="971">
        <f t="shared" si="282"/>
        <v>0</v>
      </c>
      <c r="NV30" s="955">
        <f t="shared" si="282"/>
        <v>164579708.91999999</v>
      </c>
      <c r="NW30" s="954">
        <f t="shared" si="282"/>
        <v>18358.319999999985</v>
      </c>
      <c r="NX30" s="971">
        <f t="shared" si="282"/>
        <v>164561350.59999999</v>
      </c>
      <c r="NY30" s="955">
        <f t="shared" si="282"/>
        <v>70608.919999999984</v>
      </c>
      <c r="NZ30" s="954">
        <f t="shared" si="282"/>
        <v>18358.319999999985</v>
      </c>
      <c r="OA30" s="969">
        <f t="shared" si="282"/>
        <v>52250.6</v>
      </c>
      <c r="OB30" s="949">
        <f t="shared" si="282"/>
        <v>0</v>
      </c>
      <c r="OC30" s="967">
        <f t="shared" si="282"/>
        <v>0</v>
      </c>
      <c r="OD30" s="968">
        <f t="shared" si="282"/>
        <v>0</v>
      </c>
      <c r="OE30" s="967">
        <f t="shared" si="282"/>
        <v>0</v>
      </c>
      <c r="OF30" s="950">
        <f t="shared" si="282"/>
        <v>0</v>
      </c>
      <c r="OG30" s="957">
        <f t="shared" si="282"/>
        <v>0</v>
      </c>
      <c r="OH30" s="969">
        <f t="shared" si="282"/>
        <v>0</v>
      </c>
      <c r="OI30" s="957">
        <f t="shared" si="282"/>
        <v>0</v>
      </c>
      <c r="OJ30" s="943">
        <f t="shared" si="282"/>
        <v>268560414.11000001</v>
      </c>
      <c r="OK30" s="954">
        <f t="shared" si="282"/>
        <v>104000000</v>
      </c>
      <c r="OL30" s="969">
        <f t="shared" si="282"/>
        <v>144560414.10999998</v>
      </c>
      <c r="OM30" s="954">
        <f t="shared" si="282"/>
        <v>20000000</v>
      </c>
      <c r="ON30" s="943">
        <f t="shared" si="282"/>
        <v>18839605.869999997</v>
      </c>
      <c r="OO30" s="977">
        <f t="shared" si="282"/>
        <v>0</v>
      </c>
      <c r="OP30" s="969">
        <f t="shared" si="282"/>
        <v>0</v>
      </c>
      <c r="OQ30" s="954">
        <f t="shared" si="282"/>
        <v>18839605.869999997</v>
      </c>
      <c r="OR30" s="943">
        <f t="shared" si="282"/>
        <v>281107380.46999997</v>
      </c>
      <c r="OS30" s="954">
        <f t="shared" si="282"/>
        <v>5473685.5999999978</v>
      </c>
      <c r="OT30" s="972">
        <f t="shared" si="282"/>
        <v>104000000</v>
      </c>
      <c r="OU30" s="954">
        <f t="shared" si="282"/>
        <v>171633694.87</v>
      </c>
      <c r="OV30" s="943">
        <f t="shared" si="282"/>
        <v>232312359.18000001</v>
      </c>
      <c r="OW30" s="954">
        <f t="shared" si="282"/>
        <v>5385436.2299999995</v>
      </c>
      <c r="OX30" s="971">
        <f t="shared" si="282"/>
        <v>102323262.37</v>
      </c>
      <c r="OY30" s="954">
        <f t="shared" si="282"/>
        <v>124603660.58</v>
      </c>
      <c r="OZ30" s="945">
        <f t="shared" si="282"/>
        <v>139560414.10999998</v>
      </c>
      <c r="PA30" s="977">
        <f t="shared" si="282"/>
        <v>-5000000</v>
      </c>
      <c r="PB30" s="969">
        <f t="shared" si="282"/>
        <v>0</v>
      </c>
      <c r="PC30" s="954">
        <f t="shared" si="282"/>
        <v>144560414.10999998</v>
      </c>
      <c r="PD30" s="945">
        <f t="shared" si="282"/>
        <v>113402780.59999999</v>
      </c>
      <c r="PE30" s="977">
        <f t="shared" si="282"/>
        <v>0</v>
      </c>
      <c r="PF30" s="969">
        <f t="shared" si="282"/>
        <v>0</v>
      </c>
      <c r="PG30" s="954">
        <f t="shared" si="282"/>
        <v>113402780.59999999</v>
      </c>
      <c r="PH30" s="945">
        <f t="shared" si="282"/>
        <v>141546966.35999998</v>
      </c>
      <c r="PI30" s="954">
        <f t="shared" si="282"/>
        <v>10473685.599999998</v>
      </c>
      <c r="PJ30" s="971">
        <f t="shared" si="282"/>
        <v>104000000</v>
      </c>
      <c r="PK30" s="954">
        <f t="shared" si="282"/>
        <v>27073280.759999998</v>
      </c>
      <c r="PL30" s="945">
        <f t="shared" si="282"/>
        <v>118909578.58000001</v>
      </c>
      <c r="PM30" s="977">
        <f t="shared" si="282"/>
        <v>5385436.2299999995</v>
      </c>
      <c r="PN30" s="969">
        <f t="shared" si="282"/>
        <v>102323262.37</v>
      </c>
      <c r="PO30" s="954">
        <f t="shared" si="282"/>
        <v>11200879.98</v>
      </c>
      <c r="PP30" s="950">
        <f t="shared" si="282"/>
        <v>171852053.88</v>
      </c>
      <c r="PQ30" s="975">
        <f t="shared" si="282"/>
        <v>152102.69</v>
      </c>
      <c r="PR30" s="974">
        <f t="shared" si="282"/>
        <v>2889951.19</v>
      </c>
      <c r="PS30" s="975">
        <f t="shared" ref="PS30:PT30" si="283">SUM(PS12:PS29)</f>
        <v>8440500</v>
      </c>
      <c r="PT30" s="974">
        <f t="shared" si="283"/>
        <v>160369500</v>
      </c>
      <c r="PU30" s="950">
        <f t="shared" si="282"/>
        <v>94284805.600000009</v>
      </c>
      <c r="PV30" s="957">
        <f t="shared" si="282"/>
        <v>70706.759999999995</v>
      </c>
      <c r="PW30" s="972">
        <f t="shared" si="282"/>
        <v>1343428.44</v>
      </c>
      <c r="PX30" s="957">
        <f t="shared" ref="PX30:PY30" si="284">SUM(PX12:PX29)</f>
        <v>4643533.53</v>
      </c>
      <c r="PY30" s="972">
        <f t="shared" si="284"/>
        <v>88227136.870000005</v>
      </c>
      <c r="PZ30" s="950">
        <f t="shared" ref="PZ30:SK30" si="285">SUM(PZ12:PZ29)</f>
        <v>7809735.5899999999</v>
      </c>
      <c r="QA30" s="975">
        <f t="shared" si="285"/>
        <v>390486.77999999991</v>
      </c>
      <c r="QB30" s="974">
        <f t="shared" si="285"/>
        <v>7419248.8100000005</v>
      </c>
      <c r="QC30" s="950">
        <f t="shared" si="285"/>
        <v>6146688.2699999996</v>
      </c>
      <c r="QD30" s="957">
        <f t="shared" si="285"/>
        <v>307334.41000000003</v>
      </c>
      <c r="QE30" s="972">
        <f t="shared" si="285"/>
        <v>5839353.8600000003</v>
      </c>
      <c r="QF30" s="955">
        <f t="shared" si="285"/>
        <v>7809735.5899999999</v>
      </c>
      <c r="QG30" s="957">
        <f t="shared" si="285"/>
        <v>390486.77999999991</v>
      </c>
      <c r="QH30" s="972">
        <f t="shared" si="285"/>
        <v>7419248.8100000005</v>
      </c>
      <c r="QI30" s="955">
        <f t="shared" si="285"/>
        <v>6146688.2699999996</v>
      </c>
      <c r="QJ30" s="975">
        <f t="shared" si="285"/>
        <v>307334.41000000003</v>
      </c>
      <c r="QK30" s="974">
        <f t="shared" si="285"/>
        <v>5839353.8600000003</v>
      </c>
      <c r="QL30" s="955">
        <f t="shared" si="285"/>
        <v>0</v>
      </c>
      <c r="QM30" s="975">
        <f t="shared" si="285"/>
        <v>0</v>
      </c>
      <c r="QN30" s="974">
        <f t="shared" si="285"/>
        <v>0</v>
      </c>
      <c r="QO30" s="955">
        <f t="shared" si="285"/>
        <v>0</v>
      </c>
      <c r="QP30" s="957">
        <f t="shared" si="285"/>
        <v>0</v>
      </c>
      <c r="QQ30" s="972">
        <f t="shared" si="285"/>
        <v>0</v>
      </c>
      <c r="QR30" s="942">
        <f t="shared" si="285"/>
        <v>0</v>
      </c>
      <c r="QS30" s="973">
        <f t="shared" si="285"/>
        <v>0</v>
      </c>
      <c r="QT30" s="974">
        <f t="shared" si="285"/>
        <v>0</v>
      </c>
      <c r="QU30" s="950">
        <f t="shared" si="285"/>
        <v>0</v>
      </c>
      <c r="QV30" s="973">
        <f t="shared" si="285"/>
        <v>0</v>
      </c>
      <c r="QW30" s="974">
        <f t="shared" si="285"/>
        <v>0</v>
      </c>
      <c r="QX30" s="942">
        <f t="shared" si="285"/>
        <v>0</v>
      </c>
      <c r="QY30" s="973">
        <f t="shared" si="285"/>
        <v>0</v>
      </c>
      <c r="QZ30" s="974">
        <f t="shared" si="285"/>
        <v>0</v>
      </c>
      <c r="RA30" s="950">
        <f t="shared" si="285"/>
        <v>0</v>
      </c>
      <c r="RB30" s="973">
        <f t="shared" si="285"/>
        <v>0</v>
      </c>
      <c r="RC30" s="974">
        <f t="shared" si="285"/>
        <v>0</v>
      </c>
      <c r="RD30" s="942">
        <f t="shared" si="285"/>
        <v>0</v>
      </c>
      <c r="RE30" s="973">
        <f t="shared" si="285"/>
        <v>0</v>
      </c>
      <c r="RF30" s="974">
        <f t="shared" si="285"/>
        <v>0</v>
      </c>
      <c r="RG30" s="950">
        <f t="shared" si="285"/>
        <v>0</v>
      </c>
      <c r="RH30" s="973">
        <f t="shared" si="285"/>
        <v>0</v>
      </c>
      <c r="RI30" s="974">
        <f t="shared" si="285"/>
        <v>0</v>
      </c>
      <c r="RJ30" s="966">
        <f t="shared" si="285"/>
        <v>0</v>
      </c>
      <c r="RK30" s="973">
        <f t="shared" si="285"/>
        <v>0</v>
      </c>
      <c r="RL30" s="974">
        <f t="shared" si="285"/>
        <v>0</v>
      </c>
      <c r="RM30" s="955">
        <f t="shared" si="285"/>
        <v>0</v>
      </c>
      <c r="RN30" s="973">
        <f t="shared" si="285"/>
        <v>0</v>
      </c>
      <c r="RO30" s="974">
        <f t="shared" si="285"/>
        <v>0</v>
      </c>
      <c r="RP30" s="966">
        <f t="shared" si="285"/>
        <v>0</v>
      </c>
      <c r="RQ30" s="973">
        <f t="shared" si="285"/>
        <v>0</v>
      </c>
      <c r="RR30" s="974">
        <f t="shared" si="285"/>
        <v>0</v>
      </c>
      <c r="RS30" s="955">
        <f t="shared" si="285"/>
        <v>0</v>
      </c>
      <c r="RT30" s="973">
        <f t="shared" si="285"/>
        <v>0</v>
      </c>
      <c r="RU30" s="974">
        <f t="shared" si="285"/>
        <v>0</v>
      </c>
      <c r="RV30" s="942">
        <f t="shared" si="285"/>
        <v>0</v>
      </c>
      <c r="RW30" s="975">
        <f t="shared" si="285"/>
        <v>0</v>
      </c>
      <c r="RX30" s="974">
        <f t="shared" si="285"/>
        <v>0</v>
      </c>
      <c r="RY30" s="950">
        <f t="shared" si="285"/>
        <v>0</v>
      </c>
      <c r="RZ30" s="970">
        <f t="shared" si="285"/>
        <v>0</v>
      </c>
      <c r="SA30" s="969">
        <f t="shared" si="285"/>
        <v>0</v>
      </c>
      <c r="SB30" s="940">
        <f t="shared" si="285"/>
        <v>121646756.76000001</v>
      </c>
      <c r="SC30" s="957">
        <f t="shared" si="285"/>
        <v>20000000</v>
      </c>
      <c r="SD30" s="975">
        <f t="shared" si="285"/>
        <v>26428156.760000005</v>
      </c>
      <c r="SE30" s="974">
        <f t="shared" si="285"/>
        <v>75218600</v>
      </c>
      <c r="SF30" s="940">
        <f t="shared" si="285"/>
        <v>9810526.8499999996</v>
      </c>
      <c r="SG30" s="957">
        <f t="shared" si="285"/>
        <v>0</v>
      </c>
      <c r="SH30" s="970">
        <f t="shared" si="285"/>
        <v>2550736.98</v>
      </c>
      <c r="SI30" s="969">
        <f t="shared" si="285"/>
        <v>7259789.8700000001</v>
      </c>
      <c r="SJ30" s="942">
        <f t="shared" si="285"/>
        <v>0</v>
      </c>
      <c r="SK30" s="975">
        <f t="shared" si="285"/>
        <v>0</v>
      </c>
      <c r="SL30" s="974">
        <f t="shared" ref="SL30:UW30" si="286">SUM(SL12:SL29)</f>
        <v>0</v>
      </c>
      <c r="SM30" s="950">
        <f t="shared" si="286"/>
        <v>0</v>
      </c>
      <c r="SN30" s="970">
        <f t="shared" si="286"/>
        <v>0</v>
      </c>
      <c r="SO30" s="969">
        <f t="shared" si="286"/>
        <v>0</v>
      </c>
      <c r="SP30" s="940">
        <f t="shared" si="286"/>
        <v>1415159876.3700001</v>
      </c>
      <c r="SQ30" s="973">
        <f t="shared" si="286"/>
        <v>6193124.0799999936</v>
      </c>
      <c r="SR30" s="974">
        <f t="shared" si="286"/>
        <v>117669358.27000001</v>
      </c>
      <c r="SS30" s="953">
        <f t="shared" si="286"/>
        <v>0</v>
      </c>
      <c r="ST30" s="974">
        <f t="shared" si="286"/>
        <v>0</v>
      </c>
      <c r="SU30" s="952">
        <f t="shared" si="286"/>
        <v>58400459.699999981</v>
      </c>
      <c r="SV30" s="974">
        <f t="shared" si="286"/>
        <v>1232896934.3200002</v>
      </c>
      <c r="SW30" s="940">
        <f t="shared" si="286"/>
        <v>978873447.02999997</v>
      </c>
      <c r="SX30" s="957">
        <f t="shared" si="286"/>
        <v>3843230.81</v>
      </c>
      <c r="SY30" s="972">
        <f t="shared" si="286"/>
        <v>73021384.909999996</v>
      </c>
      <c r="SZ30" s="957">
        <f t="shared" si="286"/>
        <v>0</v>
      </c>
      <c r="TA30" s="972">
        <f t="shared" si="286"/>
        <v>0</v>
      </c>
      <c r="TB30" s="957">
        <f t="shared" si="286"/>
        <v>45100441.549999997</v>
      </c>
      <c r="TC30" s="969">
        <f t="shared" si="286"/>
        <v>856908389.75999999</v>
      </c>
      <c r="TD30" s="950">
        <f t="shared" si="286"/>
        <v>102674184.42999999</v>
      </c>
      <c r="TE30" s="975">
        <f t="shared" si="286"/>
        <v>4963007.5000000009</v>
      </c>
      <c r="TF30" s="974">
        <f t="shared" si="286"/>
        <v>94297141.729999989</v>
      </c>
      <c r="TG30" s="953">
        <f t="shared" si="286"/>
        <v>170701.76000000024</v>
      </c>
      <c r="TH30" s="974">
        <f t="shared" si="286"/>
        <v>3243333.44</v>
      </c>
      <c r="TI30" s="953">
        <f t="shared" si="286"/>
        <v>0</v>
      </c>
      <c r="TJ30" s="974">
        <f t="shared" si="286"/>
        <v>0</v>
      </c>
      <c r="TK30" s="950">
        <f t="shared" si="286"/>
        <v>38255913.979999997</v>
      </c>
      <c r="TL30" s="957">
        <f t="shared" si="286"/>
        <v>1912795.6400000001</v>
      </c>
      <c r="TM30" s="972">
        <f t="shared" si="286"/>
        <v>36343118.340000004</v>
      </c>
      <c r="TN30" s="957">
        <f t="shared" si="286"/>
        <v>0</v>
      </c>
      <c r="TO30" s="972">
        <f t="shared" si="286"/>
        <v>0</v>
      </c>
      <c r="TP30" s="957">
        <f t="shared" si="286"/>
        <v>0</v>
      </c>
      <c r="TQ30" s="972">
        <f t="shared" si="286"/>
        <v>0</v>
      </c>
      <c r="TR30" s="966">
        <f t="shared" si="286"/>
        <v>75276754.939999998</v>
      </c>
      <c r="TS30" s="976">
        <f t="shared" si="286"/>
        <v>3965023.74</v>
      </c>
      <c r="TT30" s="969">
        <f t="shared" si="286"/>
        <v>75335450.269999996</v>
      </c>
      <c r="TU30" s="976">
        <f t="shared" si="286"/>
        <v>-201185.94999999949</v>
      </c>
      <c r="TV30" s="969">
        <f t="shared" si="286"/>
        <v>-3822533.12</v>
      </c>
      <c r="TW30" s="970">
        <f t="shared" si="286"/>
        <v>0</v>
      </c>
      <c r="TX30" s="969">
        <f t="shared" si="286"/>
        <v>0</v>
      </c>
      <c r="TY30" s="966">
        <f t="shared" si="286"/>
        <v>31630053.219999999</v>
      </c>
      <c r="TZ30" s="976">
        <f t="shared" si="286"/>
        <v>1581502.6</v>
      </c>
      <c r="UA30" s="969">
        <f t="shared" si="286"/>
        <v>30048550.620000001</v>
      </c>
      <c r="UB30" s="976">
        <f t="shared" si="286"/>
        <v>0</v>
      </c>
      <c r="UC30" s="969">
        <f t="shared" si="286"/>
        <v>0</v>
      </c>
      <c r="UD30" s="970">
        <f t="shared" si="286"/>
        <v>0</v>
      </c>
      <c r="UE30" s="969">
        <f t="shared" si="286"/>
        <v>0</v>
      </c>
      <c r="UF30" s="955">
        <f t="shared" si="286"/>
        <v>27397429.490000002</v>
      </c>
      <c r="UG30" s="975">
        <f t="shared" si="286"/>
        <v>997983.76</v>
      </c>
      <c r="UH30" s="974">
        <f t="shared" si="286"/>
        <v>18961691.460000001</v>
      </c>
      <c r="UI30" s="953">
        <f t="shared" si="286"/>
        <v>371887.70999999973</v>
      </c>
      <c r="UJ30" s="974">
        <f t="shared" si="286"/>
        <v>7065866.5600000005</v>
      </c>
      <c r="UK30" s="953">
        <f t="shared" si="286"/>
        <v>0</v>
      </c>
      <c r="UL30" s="974">
        <f t="shared" si="286"/>
        <v>0</v>
      </c>
      <c r="UM30" s="955">
        <f t="shared" si="286"/>
        <v>6625860.7599999998</v>
      </c>
      <c r="UN30" s="957">
        <f t="shared" si="286"/>
        <v>331293.03999999998</v>
      </c>
      <c r="UO30" s="972">
        <f t="shared" si="286"/>
        <v>6294567.7199999997</v>
      </c>
      <c r="UP30" s="957">
        <f t="shared" si="286"/>
        <v>0</v>
      </c>
      <c r="UQ30" s="972">
        <f t="shared" si="286"/>
        <v>0</v>
      </c>
      <c r="UR30" s="957">
        <f t="shared" si="286"/>
        <v>0</v>
      </c>
      <c r="US30" s="972">
        <f t="shared" si="286"/>
        <v>0</v>
      </c>
      <c r="UT30" s="950">
        <f t="shared" si="286"/>
        <v>1892915919.7600002</v>
      </c>
      <c r="UU30" s="950">
        <f t="shared" si="286"/>
        <v>1122546158.05</v>
      </c>
      <c r="UV30" s="942">
        <f t="shared" si="286"/>
        <v>192312357.73999998</v>
      </c>
      <c r="UW30" s="950">
        <f t="shared" si="286"/>
        <v>135235834.89999998</v>
      </c>
      <c r="UX30" s="980">
        <f t="shared" ref="UX30:XO30" si="287">SUM(UX12:UX29)</f>
        <v>24358920.560000002</v>
      </c>
      <c r="UY30" s="945">
        <f t="shared" si="287"/>
        <v>16656444.719999999</v>
      </c>
      <c r="UZ30" s="981">
        <f t="shared" si="287"/>
        <v>167953437.18000001</v>
      </c>
      <c r="VA30" s="945">
        <f t="shared" si="287"/>
        <v>118579390.17999999</v>
      </c>
      <c r="VB30" s="940">
        <f t="shared" si="287"/>
        <v>8444017080.1700001</v>
      </c>
      <c r="VC30" s="952">
        <f t="shared" si="287"/>
        <v>8209077439.6899996</v>
      </c>
      <c r="VD30" s="982">
        <f t="shared" si="287"/>
        <v>234939640.48000002</v>
      </c>
      <c r="VE30" s="940">
        <f t="shared" si="287"/>
        <v>6525709302.1100006</v>
      </c>
      <c r="VF30" s="952">
        <f t="shared" si="287"/>
        <v>6368299254.7399998</v>
      </c>
      <c r="VG30" s="953">
        <f t="shared" si="287"/>
        <v>157410047.37</v>
      </c>
      <c r="VH30" s="940">
        <f t="shared" si="287"/>
        <v>7852771054.4800005</v>
      </c>
      <c r="VI30" s="961">
        <f t="shared" si="287"/>
        <v>6116412499.9200001</v>
      </c>
      <c r="VJ30" s="940">
        <f t="shared" si="287"/>
        <v>261430127</v>
      </c>
      <c r="VK30" s="961">
        <f t="shared" si="287"/>
        <v>185452097.43000001</v>
      </c>
      <c r="VL30" s="940">
        <f t="shared" si="287"/>
        <v>9483500</v>
      </c>
      <c r="VM30" s="961">
        <f t="shared" si="287"/>
        <v>1490158.56</v>
      </c>
      <c r="VN30" s="940">
        <f t="shared" si="287"/>
        <v>36969300</v>
      </c>
      <c r="VO30" s="961">
        <f t="shared" si="287"/>
        <v>22695174.790000003</v>
      </c>
      <c r="VP30" s="941">
        <f t="shared" si="287"/>
        <v>0</v>
      </c>
      <c r="VQ30" s="940">
        <f t="shared" si="287"/>
        <v>0</v>
      </c>
      <c r="VR30" s="961">
        <f t="shared" si="287"/>
        <v>0</v>
      </c>
      <c r="VS30" s="940">
        <f t="shared" si="287"/>
        <v>0</v>
      </c>
      <c r="VT30" s="961">
        <f t="shared" si="287"/>
        <v>1553000</v>
      </c>
      <c r="VU30" s="940">
        <f t="shared" si="287"/>
        <v>1553000</v>
      </c>
      <c r="VV30" s="983">
        <f t="shared" si="287"/>
        <v>0</v>
      </c>
      <c r="VW30" s="961">
        <f t="shared" si="287"/>
        <v>0</v>
      </c>
      <c r="VX30" s="940">
        <f t="shared" si="287"/>
        <v>231544379.04000002</v>
      </c>
      <c r="VY30" s="951">
        <f t="shared" si="287"/>
        <v>60201538.560000002</v>
      </c>
      <c r="VZ30" s="974">
        <f t="shared" si="287"/>
        <v>171342840.48000002</v>
      </c>
      <c r="WA30" s="940">
        <f t="shared" si="287"/>
        <v>160460220.73000002</v>
      </c>
      <c r="WB30" s="922">
        <f t="shared" si="287"/>
        <v>41719657.390000001</v>
      </c>
      <c r="WC30" s="984">
        <f t="shared" si="287"/>
        <v>118740563.34</v>
      </c>
      <c r="WD30" s="940">
        <f t="shared" si="287"/>
        <v>50265719.649999999</v>
      </c>
      <c r="WE30" s="975">
        <f t="shared" si="287"/>
        <v>34674719.649999999</v>
      </c>
      <c r="WF30" s="974">
        <f t="shared" si="287"/>
        <v>15591000</v>
      </c>
      <c r="WG30" s="940">
        <f t="shared" si="287"/>
        <v>37646150.680000007</v>
      </c>
      <c r="WH30" s="922">
        <f t="shared" si="287"/>
        <v>24715000</v>
      </c>
      <c r="WI30" s="984">
        <f t="shared" si="287"/>
        <v>12931150.679999998</v>
      </c>
      <c r="WJ30" s="941">
        <f t="shared" si="287"/>
        <v>2594800940.4299998</v>
      </c>
      <c r="WK30" s="940">
        <f t="shared" si="287"/>
        <v>1208109030.25</v>
      </c>
      <c r="WL30" s="940">
        <f t="shared" ref="WL30:WQ30" si="288">SUM(WL12:WL29)</f>
        <v>0</v>
      </c>
      <c r="WM30" s="975">
        <f t="shared" si="288"/>
        <v>0</v>
      </c>
      <c r="WN30" s="974">
        <f t="shared" si="288"/>
        <v>0</v>
      </c>
      <c r="WO30" s="950">
        <f t="shared" si="288"/>
        <v>0</v>
      </c>
      <c r="WP30" s="975">
        <f t="shared" si="288"/>
        <v>0</v>
      </c>
      <c r="WQ30" s="974">
        <f t="shared" si="288"/>
        <v>0</v>
      </c>
      <c r="WR30" s="940">
        <f t="shared" si="287"/>
        <v>52850182.25</v>
      </c>
      <c r="WS30" s="975">
        <f t="shared" si="287"/>
        <v>8058869.6000000006</v>
      </c>
      <c r="WT30" s="974">
        <f t="shared" si="287"/>
        <v>44791312.649999999</v>
      </c>
      <c r="WU30" s="950">
        <f t="shared" si="287"/>
        <v>0</v>
      </c>
      <c r="WV30" s="975">
        <f t="shared" si="287"/>
        <v>0</v>
      </c>
      <c r="WW30" s="974">
        <f t="shared" si="287"/>
        <v>0</v>
      </c>
      <c r="WX30" s="940">
        <f t="shared" si="287"/>
        <v>38555536.839999996</v>
      </c>
      <c r="WY30" s="975">
        <f t="shared" si="287"/>
        <v>1927776.8400000003</v>
      </c>
      <c r="WZ30" s="974">
        <f t="shared" si="287"/>
        <v>36627760</v>
      </c>
      <c r="XA30" s="950">
        <f t="shared" si="287"/>
        <v>29055025.140000004</v>
      </c>
      <c r="XB30" s="975">
        <f t="shared" si="287"/>
        <v>1452751.3599999999</v>
      </c>
      <c r="XC30" s="974">
        <f t="shared" si="287"/>
        <v>27602273.779999997</v>
      </c>
      <c r="XD30" s="940">
        <f t="shared" si="287"/>
        <v>577533538</v>
      </c>
      <c r="XE30" s="975">
        <f t="shared" si="287"/>
        <v>266593709</v>
      </c>
      <c r="XF30" s="974">
        <f t="shared" si="287"/>
        <v>310939829</v>
      </c>
      <c r="XG30" s="950">
        <f t="shared" si="287"/>
        <v>306187870.50999999</v>
      </c>
      <c r="XH30" s="976">
        <f t="shared" si="287"/>
        <v>0</v>
      </c>
      <c r="XI30" s="969">
        <f t="shared" si="287"/>
        <v>306187870.50999999</v>
      </c>
      <c r="XJ30" s="987">
        <f t="shared" si="287"/>
        <v>0</v>
      </c>
      <c r="XK30" s="988">
        <f t="shared" si="287"/>
        <v>0</v>
      </c>
      <c r="XL30" s="989">
        <f t="shared" si="287"/>
        <v>0</v>
      </c>
      <c r="XM30" s="990">
        <f t="shared" si="287"/>
        <v>0</v>
      </c>
      <c r="XN30" s="986">
        <f t="shared" si="287"/>
        <v>240950249.07999998</v>
      </c>
      <c r="XO30" s="990">
        <f t="shared" si="287"/>
        <v>240950249.07999998</v>
      </c>
      <c r="XP30" s="986">
        <f t="shared" ref="XP30:AAA30" si="289">SUM(XP12:XP29)</f>
        <v>160058225.89999998</v>
      </c>
      <c r="XQ30" s="991">
        <f t="shared" si="289"/>
        <v>160058225.89999998</v>
      </c>
      <c r="XR30" s="992">
        <f t="shared" si="289"/>
        <v>0</v>
      </c>
      <c r="XS30" s="993">
        <f t="shared" si="289"/>
        <v>0</v>
      </c>
      <c r="XT30" s="992">
        <f t="shared" si="289"/>
        <v>240950249.07999998</v>
      </c>
      <c r="XU30" s="993">
        <f t="shared" si="289"/>
        <v>160058225.89999998</v>
      </c>
      <c r="XV30" s="986">
        <f t="shared" si="289"/>
        <v>1208775172.4300001</v>
      </c>
      <c r="XW30" s="994">
        <f t="shared" si="289"/>
        <v>0</v>
      </c>
      <c r="XX30" s="991">
        <f t="shared" si="289"/>
        <v>352865509.78999996</v>
      </c>
      <c r="XY30" s="991">
        <f t="shared" si="289"/>
        <v>8379862.2999999998</v>
      </c>
      <c r="XZ30" s="990">
        <f t="shared" si="289"/>
        <v>115383660</v>
      </c>
      <c r="YA30" s="990">
        <f t="shared" si="289"/>
        <v>134303260</v>
      </c>
      <c r="YB30" s="991">
        <f t="shared" si="289"/>
        <v>351263466.59999996</v>
      </c>
      <c r="YC30" s="991">
        <f t="shared" si="289"/>
        <v>17325883.600000001</v>
      </c>
      <c r="YD30" s="991">
        <f t="shared" si="289"/>
        <v>52550185.739999995</v>
      </c>
      <c r="YE30" s="990">
        <f t="shared" si="289"/>
        <v>63618812.569999985</v>
      </c>
      <c r="YF30" s="991">
        <f t="shared" si="289"/>
        <v>113084531.83000001</v>
      </c>
      <c r="YG30" s="986">
        <f t="shared" si="289"/>
        <v>483627400.63999999</v>
      </c>
      <c r="YH30" s="991">
        <f t="shared" si="289"/>
        <v>0</v>
      </c>
      <c r="YI30" s="991">
        <f t="shared" si="289"/>
        <v>128445597.34</v>
      </c>
      <c r="YJ30" s="994">
        <f t="shared" si="289"/>
        <v>8339862.2999999998</v>
      </c>
      <c r="YK30" s="991">
        <f t="shared" si="289"/>
        <v>0</v>
      </c>
      <c r="YL30" s="995">
        <f t="shared" si="289"/>
        <v>134303260</v>
      </c>
      <c r="YM30" s="991">
        <f t="shared" si="289"/>
        <v>99454149.170000017</v>
      </c>
      <c r="YN30" s="991">
        <f t="shared" si="289"/>
        <v>0</v>
      </c>
      <c r="YO30" s="991">
        <f t="shared" si="289"/>
        <v>0</v>
      </c>
      <c r="YP30" s="991">
        <f t="shared" si="289"/>
        <v>0</v>
      </c>
      <c r="YQ30" s="995">
        <f t="shared" si="289"/>
        <v>113084531.83000001</v>
      </c>
      <c r="YR30" s="940">
        <f t="shared" si="289"/>
        <v>476136261.82999992</v>
      </c>
      <c r="YS30" s="991">
        <f t="shared" si="289"/>
        <v>51888578.649999999</v>
      </c>
      <c r="YT30" s="991">
        <f t="shared" si="289"/>
        <v>51225900</v>
      </c>
      <c r="YU30" s="991">
        <f t="shared" si="289"/>
        <v>222865521.09</v>
      </c>
      <c r="YV30" s="990">
        <f t="shared" si="289"/>
        <v>86537449.520000011</v>
      </c>
      <c r="YW30" s="995">
        <f t="shared" si="289"/>
        <v>63618812.569999985</v>
      </c>
      <c r="YX30" s="940">
        <f t="shared" si="289"/>
        <v>229180508.05999997</v>
      </c>
      <c r="YY30" s="991">
        <f t="shared" si="289"/>
        <v>50221173.329999998</v>
      </c>
      <c r="YZ30" s="995">
        <f t="shared" si="289"/>
        <v>51225900</v>
      </c>
      <c r="ZA30" s="991">
        <f t="shared" si="289"/>
        <v>50820456.340000004</v>
      </c>
      <c r="ZB30" s="991">
        <f t="shared" si="289"/>
        <v>13399655.76</v>
      </c>
      <c r="ZC30" s="991">
        <f t="shared" si="289"/>
        <v>63513322.629999988</v>
      </c>
      <c r="ZD30" s="956">
        <f t="shared" si="289"/>
        <v>391080403.06</v>
      </c>
      <c r="ZE30" s="991">
        <f t="shared" si="289"/>
        <v>39589674.650000006</v>
      </c>
      <c r="ZF30" s="991">
        <f t="shared" si="289"/>
        <v>0</v>
      </c>
      <c r="ZG30" s="991">
        <f t="shared" si="289"/>
        <v>202951813.62</v>
      </c>
      <c r="ZH30" s="991">
        <f t="shared" si="289"/>
        <v>86537449.520000011</v>
      </c>
      <c r="ZI30" s="991">
        <f t="shared" si="289"/>
        <v>62001465.269999988</v>
      </c>
      <c r="ZJ30" s="956">
        <f t="shared" si="289"/>
        <v>164874215.35999998</v>
      </c>
      <c r="ZK30" s="991">
        <f t="shared" si="289"/>
        <v>38758127.929999992</v>
      </c>
      <c r="ZL30" s="991">
        <f t="shared" si="289"/>
        <v>0</v>
      </c>
      <c r="ZM30" s="991">
        <f t="shared" si="289"/>
        <v>50820456.340000004</v>
      </c>
      <c r="ZN30" s="991">
        <f t="shared" si="289"/>
        <v>13399655.76</v>
      </c>
      <c r="ZO30" s="991">
        <f t="shared" si="289"/>
        <v>61895975.329999991</v>
      </c>
      <c r="ZP30" s="956">
        <f t="shared" si="289"/>
        <v>85055858.769999996</v>
      </c>
      <c r="ZQ30" s="990">
        <f t="shared" si="289"/>
        <v>12298904</v>
      </c>
      <c r="ZR30" s="995">
        <f t="shared" si="289"/>
        <v>51225900</v>
      </c>
      <c r="ZS30" s="996">
        <f t="shared" si="289"/>
        <v>19913707.469999999</v>
      </c>
      <c r="ZT30" s="990">
        <f t="shared" si="289"/>
        <v>0</v>
      </c>
      <c r="ZU30" s="995">
        <f t="shared" si="289"/>
        <v>1617347.3000000003</v>
      </c>
      <c r="ZV30" s="956">
        <f t="shared" si="289"/>
        <v>64306292.700000003</v>
      </c>
      <c r="ZW30" s="995">
        <f t="shared" si="289"/>
        <v>11463045.4</v>
      </c>
      <c r="ZX30" s="995">
        <f t="shared" si="289"/>
        <v>51225900</v>
      </c>
      <c r="ZY30" s="995">
        <f t="shared" si="289"/>
        <v>0</v>
      </c>
      <c r="ZZ30" s="991">
        <f t="shared" si="289"/>
        <v>0</v>
      </c>
      <c r="AAA30" s="991">
        <f t="shared" si="289"/>
        <v>1617347.3000000003</v>
      </c>
      <c r="AAB30" s="997">
        <f t="shared" ref="AAB30:AAS30" si="290">SUM(AAB12:AAB29)</f>
        <v>-37900000</v>
      </c>
      <c r="AAC30" s="989">
        <f t="shared" si="290"/>
        <v>0</v>
      </c>
      <c r="AAD30" s="998">
        <f t="shared" si="290"/>
        <v>0</v>
      </c>
      <c r="AAE30" s="998">
        <f t="shared" si="290"/>
        <v>0</v>
      </c>
      <c r="AAF30" s="998">
        <f t="shared" si="290"/>
        <v>0</v>
      </c>
      <c r="AAG30" s="998">
        <f t="shared" si="290"/>
        <v>0</v>
      </c>
      <c r="AAH30" s="999">
        <f t="shared" si="290"/>
        <v>0</v>
      </c>
      <c r="AAI30" s="1000">
        <f t="shared" si="290"/>
        <v>0</v>
      </c>
      <c r="AAJ30" s="1001">
        <f t="shared" si="290"/>
        <v>0</v>
      </c>
      <c r="AAK30" s="1001">
        <f t="shared" si="290"/>
        <v>0</v>
      </c>
      <c r="AAL30" s="998">
        <f t="shared" si="290"/>
        <v>-36700000</v>
      </c>
      <c r="AAM30" s="998">
        <f t="shared" si="290"/>
        <v>0</v>
      </c>
      <c r="AAN30" s="998">
        <f t="shared" si="290"/>
        <v>-1200000</v>
      </c>
      <c r="AAO30" s="998">
        <f t="shared" si="290"/>
        <v>0</v>
      </c>
      <c r="AAP30" s="1001">
        <f t="shared" si="290"/>
        <v>-550000</v>
      </c>
      <c r="AAQ30" s="1001">
        <f t="shared" si="290"/>
        <v>0</v>
      </c>
      <c r="AAR30" s="1001">
        <f t="shared" si="290"/>
        <v>-650000</v>
      </c>
      <c r="AAS30" s="1001">
        <f t="shared" si="290"/>
        <v>0</v>
      </c>
      <c r="AAT30" s="1384">
        <f>'Проверочная  таблица'!AAL30+'Проверочная  таблица'!AAN30</f>
        <v>-37900000</v>
      </c>
      <c r="AAU30" s="1384">
        <f>'Проверочная  таблица'!AAM30+'Проверочная  таблица'!AAO30</f>
        <v>0</v>
      </c>
    </row>
    <row r="31" spans="1:723" ht="20.45" customHeight="1" x14ac:dyDescent="0.25">
      <c r="A31" s="1002"/>
      <c r="B31" s="875"/>
      <c r="C31" s="1003"/>
      <c r="D31" s="1013"/>
      <c r="E31" s="1013"/>
      <c r="F31" s="1004"/>
      <c r="G31" s="1005"/>
      <c r="H31" s="1004"/>
      <c r="I31" s="1005"/>
      <c r="J31" s="1006"/>
      <c r="K31" s="1007"/>
      <c r="L31" s="1006"/>
      <c r="M31" s="1007"/>
      <c r="N31" s="1008"/>
      <c r="O31" s="1005"/>
      <c r="P31" s="1008"/>
      <c r="Q31" s="1005"/>
      <c r="R31" s="1009"/>
      <c r="S31" s="1007"/>
      <c r="T31" s="1009"/>
      <c r="U31" s="1007"/>
      <c r="V31" s="1004"/>
      <c r="W31" s="1011"/>
      <c r="X31" s="1010"/>
      <c r="Y31" s="1010"/>
      <c r="Z31" s="1004"/>
      <c r="AA31" s="1213"/>
      <c r="AB31" s="1010"/>
      <c r="AC31" s="1215"/>
      <c r="AD31" s="1004"/>
      <c r="AE31" s="1011"/>
      <c r="AF31" s="1010"/>
      <c r="AG31" s="1004"/>
      <c r="AH31" s="1011"/>
      <c r="AI31" s="1010"/>
      <c r="AJ31" s="1009"/>
      <c r="AK31" s="1007"/>
      <c r="AL31" s="1009"/>
      <c r="AM31" s="1009"/>
      <c r="AN31" s="1012"/>
      <c r="AO31" s="1013"/>
      <c r="AP31" s="1014"/>
      <c r="AQ31" s="906"/>
      <c r="AR31" s="902"/>
      <c r="AS31" s="1014"/>
      <c r="AT31" s="861"/>
      <c r="AU31" s="861"/>
      <c r="AV31" s="939"/>
      <c r="AW31" s="1015"/>
      <c r="AX31" s="1014"/>
      <c r="AY31" s="861"/>
      <c r="AZ31" s="1014"/>
      <c r="BA31" s="902"/>
      <c r="BB31" s="1014"/>
      <c r="BC31" s="1019"/>
      <c r="BD31" s="1014"/>
      <c r="BE31" s="1015"/>
      <c r="BF31" s="1014"/>
      <c r="BG31" s="861"/>
      <c r="BH31" s="1020"/>
      <c r="BI31" s="1020"/>
      <c r="BJ31" s="1020"/>
      <c r="BK31" s="1021"/>
      <c r="BL31" s="1057"/>
      <c r="BM31" s="1022"/>
      <c r="BN31" s="1023"/>
      <c r="BO31" s="1024"/>
      <c r="BP31" s="1025"/>
      <c r="BQ31" s="1026"/>
      <c r="BR31" s="1025"/>
      <c r="BS31" s="1026"/>
      <c r="BT31" s="939"/>
      <c r="BU31" s="902"/>
      <c r="BV31" s="902"/>
      <c r="BW31" s="1014"/>
      <c r="BX31" s="861"/>
      <c r="BY31" s="861"/>
      <c r="BZ31" s="1407"/>
      <c r="CA31" s="1022"/>
      <c r="CB31" s="1023"/>
      <c r="CC31" s="1022"/>
      <c r="CD31" s="1027"/>
      <c r="CE31" s="919"/>
      <c r="CF31" s="1027"/>
      <c r="CG31" s="919"/>
      <c r="CH31" s="939"/>
      <c r="CI31" s="902"/>
      <c r="CJ31" s="902"/>
      <c r="CK31" s="1014"/>
      <c r="CL31" s="861"/>
      <c r="CM31" s="861"/>
      <c r="CN31" s="1014"/>
      <c r="CO31" s="908"/>
      <c r="CP31" s="907"/>
      <c r="CQ31" s="861"/>
      <c r="CR31" s="909"/>
      <c r="CS31" s="861"/>
      <c r="CT31" s="909"/>
      <c r="CU31" s="1014"/>
      <c r="CV31" s="1018"/>
      <c r="CW31" s="907"/>
      <c r="CX31" s="861"/>
      <c r="CY31" s="909"/>
      <c r="CZ31" s="861"/>
      <c r="DA31" s="909"/>
      <c r="DB31" s="939"/>
      <c r="DC31" s="1015"/>
      <c r="DD31" s="926"/>
      <c r="DE31" s="1014"/>
      <c r="DF31" s="1015"/>
      <c r="DG31" s="925"/>
      <c r="DH31" s="1025"/>
      <c r="DI31" s="1026"/>
      <c r="DJ31" s="1025"/>
      <c r="DK31" s="1026"/>
      <c r="DL31" s="939"/>
      <c r="DM31" s="908"/>
      <c r="DN31" s="908"/>
      <c r="DO31" s="902"/>
      <c r="DP31" s="1014"/>
      <c r="DQ31" s="902"/>
      <c r="DR31" s="902"/>
      <c r="DS31" s="902"/>
      <c r="DT31" s="939"/>
      <c r="DU31" s="908"/>
      <c r="DV31" s="907"/>
      <c r="DW31" s="1014"/>
      <c r="DX31" s="1018"/>
      <c r="DY31" s="909"/>
      <c r="DZ31" s="939"/>
      <c r="EA31" s="908"/>
      <c r="EB31" s="909"/>
      <c r="EC31" s="939"/>
      <c r="ED31" s="1019"/>
      <c r="EE31" s="1028"/>
      <c r="EF31" s="939"/>
      <c r="EG31" s="1015"/>
      <c r="EH31" s="1015"/>
      <c r="EI31" s="925"/>
      <c r="EJ31" s="939"/>
      <c r="EK31" s="1015"/>
      <c r="EL31" s="1015"/>
      <c r="EM31" s="925"/>
      <c r="EN31" s="939"/>
      <c r="EO31" s="908"/>
      <c r="EP31" s="907"/>
      <c r="EQ31" s="1014"/>
      <c r="ER31" s="908"/>
      <c r="ES31" s="907"/>
      <c r="ET31" s="939"/>
      <c r="EU31" s="1015"/>
      <c r="EV31" s="926"/>
      <c r="EW31" s="1014"/>
      <c r="EX31" s="1015"/>
      <c r="EY31" s="925"/>
      <c r="EZ31" s="939"/>
      <c r="FA31" s="1015"/>
      <c r="FB31" s="926"/>
      <c r="FC31" s="1014"/>
      <c r="FD31" s="1015"/>
      <c r="FE31" s="925"/>
      <c r="FF31" s="1029"/>
      <c r="FG31" s="1015"/>
      <c r="FH31" s="926"/>
      <c r="FI31" s="1016"/>
      <c r="FJ31" s="1015"/>
      <c r="FK31" s="925"/>
      <c r="FL31" s="1029"/>
      <c r="FM31" s="1015"/>
      <c r="FN31" s="926"/>
      <c r="FO31" s="1016"/>
      <c r="FP31" s="1015"/>
      <c r="FQ31" s="925"/>
      <c r="FR31" s="939"/>
      <c r="FS31" s="1017"/>
      <c r="FT31" s="909"/>
      <c r="FU31" s="939"/>
      <c r="FV31" s="1019"/>
      <c r="FW31" s="1028"/>
      <c r="FX31" s="939"/>
      <c r="FY31" s="1017"/>
      <c r="FZ31" s="909"/>
      <c r="GA31" s="939"/>
      <c r="GB31" s="1019"/>
      <c r="GC31" s="1028"/>
      <c r="GD31" s="1233"/>
      <c r="GE31" s="1017"/>
      <c r="GF31" s="909"/>
      <c r="GG31" s="1233"/>
      <c r="GH31" s="1019"/>
      <c r="GI31" s="1028"/>
      <c r="GJ31" s="1029"/>
      <c r="GK31" s="1029"/>
      <c r="GL31" s="1029"/>
      <c r="GM31" s="1029"/>
      <c r="GN31" s="939"/>
      <c r="GO31" s="908"/>
      <c r="GP31" s="907"/>
      <c r="GQ31" s="902"/>
      <c r="GR31" s="939"/>
      <c r="GS31" s="1019"/>
      <c r="GT31" s="1028"/>
      <c r="GU31" s="1015"/>
      <c r="GV31" s="1233"/>
      <c r="GW31" s="1015"/>
      <c r="GX31" s="1233"/>
      <c r="GY31" s="1015"/>
      <c r="GZ31" s="1029"/>
      <c r="HA31" s="1029"/>
      <c r="HB31" s="1029"/>
      <c r="HC31" s="1029"/>
      <c r="HD31" s="939"/>
      <c r="HE31" s="908"/>
      <c r="HF31" s="907"/>
      <c r="HG31" s="1014"/>
      <c r="HH31" s="1019"/>
      <c r="HI31" s="1028"/>
      <c r="HJ31" s="939"/>
      <c r="HK31" s="908"/>
      <c r="HL31" s="907"/>
      <c r="HM31" s="1014"/>
      <c r="HN31" s="1019"/>
      <c r="HO31" s="1028"/>
      <c r="HP31" s="939"/>
      <c r="HQ31" s="908"/>
      <c r="HR31" s="907"/>
      <c r="HS31" s="1014"/>
      <c r="HT31" s="1019"/>
      <c r="HU31" s="1028"/>
      <c r="HV31" s="1029"/>
      <c r="HW31" s="1015"/>
      <c r="HX31" s="926"/>
      <c r="HY31" s="1016"/>
      <c r="HZ31" s="1015"/>
      <c r="IA31" s="925"/>
      <c r="IB31" s="1029"/>
      <c r="IC31" s="1015"/>
      <c r="ID31" s="926"/>
      <c r="IE31" s="1016"/>
      <c r="IF31" s="1015"/>
      <c r="IG31" s="925"/>
      <c r="IH31" s="939"/>
      <c r="II31" s="908"/>
      <c r="IJ31" s="907"/>
      <c r="IK31" s="1014"/>
      <c r="IL31" s="1019"/>
      <c r="IM31" s="1028"/>
      <c r="IN31" s="1233"/>
      <c r="IO31" s="908"/>
      <c r="IP31" s="907"/>
      <c r="IQ31" s="1234"/>
      <c r="IR31" s="1019"/>
      <c r="IS31" s="1028"/>
      <c r="IT31" s="1029"/>
      <c r="IU31" s="1016"/>
      <c r="IV31" s="1029"/>
      <c r="IW31" s="1016"/>
      <c r="IX31" s="939"/>
      <c r="IY31" s="908"/>
      <c r="IZ31" s="907"/>
      <c r="JA31" s="1014"/>
      <c r="JB31" s="1019"/>
      <c r="JC31" s="1028"/>
      <c r="JD31" s="939"/>
      <c r="JE31" s="908"/>
      <c r="JF31" s="907"/>
      <c r="JG31" s="1014"/>
      <c r="JH31" s="1019"/>
      <c r="JI31" s="1028"/>
      <c r="JJ31" s="1023"/>
      <c r="JK31" s="902"/>
      <c r="JL31" s="926"/>
      <c r="JM31" s="1014"/>
      <c r="JN31" s="1019"/>
      <c r="JO31" s="1028"/>
      <c r="JP31" s="1014"/>
      <c r="JQ31" s="1030"/>
      <c r="JR31" s="1028"/>
      <c r="JS31" s="1014"/>
      <c r="JT31" s="861"/>
      <c r="JU31" s="1028"/>
      <c r="JV31" s="1016"/>
      <c r="JW31" s="1018"/>
      <c r="JX31" s="1028"/>
      <c r="JY31" s="1027"/>
      <c r="JZ31" s="861"/>
      <c r="KA31" s="1031"/>
      <c r="KB31" s="1016"/>
      <c r="KC31" s="1018"/>
      <c r="KD31" s="1028"/>
      <c r="KE31" s="1016"/>
      <c r="KF31" s="1019"/>
      <c r="KG31" s="1028"/>
      <c r="KH31" s="1014"/>
      <c r="KI31" s="902"/>
      <c r="KJ31" s="909"/>
      <c r="KK31" s="902"/>
      <c r="KL31" s="909"/>
      <c r="KM31" s="1014"/>
      <c r="KN31" s="861"/>
      <c r="KO31" s="1032"/>
      <c r="KP31" s="861"/>
      <c r="KQ31" s="1032"/>
      <c r="KR31" s="1008"/>
      <c r="KS31" s="1018"/>
      <c r="KT31" s="1028"/>
      <c r="KU31" s="1018"/>
      <c r="KV31" s="1028"/>
      <c r="KW31" s="1008"/>
      <c r="KX31" s="861"/>
      <c r="KY31" s="1032"/>
      <c r="KZ31" s="861"/>
      <c r="LA31" s="1032"/>
      <c r="LB31" s="1009"/>
      <c r="LC31" s="1018"/>
      <c r="LD31" s="1028"/>
      <c r="LE31" s="1009"/>
      <c r="LF31" s="1018"/>
      <c r="LG31" s="1028"/>
      <c r="LH31" s="1033"/>
      <c r="LI31" s="861"/>
      <c r="LJ31" s="1031"/>
      <c r="LK31" s="1009"/>
      <c r="LL31" s="1018"/>
      <c r="LM31" s="1028"/>
      <c r="LN31" s="1014"/>
      <c r="LO31" s="861"/>
      <c r="LP31" s="1030"/>
      <c r="LQ31" s="1032"/>
      <c r="LR31" s="1014"/>
      <c r="LS31" s="861"/>
      <c r="LT31" s="861"/>
      <c r="LU31" s="1032"/>
      <c r="LV31" s="1014"/>
      <c r="LW31" s="861"/>
      <c r="LX31" s="861"/>
      <c r="LY31" s="1032"/>
      <c r="LZ31" s="1014"/>
      <c r="MA31" s="861"/>
      <c r="MB31" s="861"/>
      <c r="MC31" s="1032"/>
      <c r="MD31" s="1016"/>
      <c r="ME31" s="861"/>
      <c r="MF31" s="861"/>
      <c r="MG31" s="1032"/>
      <c r="MH31" s="1016"/>
      <c r="MI31" s="861"/>
      <c r="MJ31" s="861"/>
      <c r="MK31" s="1032"/>
      <c r="ML31" s="1016"/>
      <c r="MM31" s="861"/>
      <c r="MN31" s="861"/>
      <c r="MO31" s="1032"/>
      <c r="MP31" s="1016"/>
      <c r="MQ31" s="861"/>
      <c r="MR31" s="861"/>
      <c r="MS31" s="1032"/>
      <c r="MT31" s="1034"/>
      <c r="MU31" s="1030"/>
      <c r="MV31" s="1032"/>
      <c r="MW31" s="861"/>
      <c r="MX31" s="1032"/>
      <c r="MY31" s="1030"/>
      <c r="MZ31" s="1030"/>
      <c r="NA31" s="1031"/>
      <c r="NB31" s="1035"/>
      <c r="NC31" s="861"/>
      <c r="ND31" s="1032"/>
      <c r="NE31" s="1019"/>
      <c r="NF31" s="1028"/>
      <c r="NG31" s="861"/>
      <c r="NH31" s="861"/>
      <c r="NI31" s="1028"/>
      <c r="NJ31" s="1014"/>
      <c r="NK31" s="861"/>
      <c r="NL31" s="1031"/>
      <c r="NM31" s="1014"/>
      <c r="NN31" s="1018"/>
      <c r="NO31" s="1028"/>
      <c r="NP31" s="1016"/>
      <c r="NQ31" s="1019"/>
      <c r="NR31" s="1028"/>
      <c r="NS31" s="1016"/>
      <c r="NT31" s="861"/>
      <c r="NU31" s="1031"/>
      <c r="NV31" s="1016"/>
      <c r="NW31" s="861"/>
      <c r="NX31" s="1031"/>
      <c r="NY31" s="1016"/>
      <c r="NZ31" s="861"/>
      <c r="OA31" s="1028"/>
      <c r="OB31" s="1023"/>
      <c r="OC31" s="908"/>
      <c r="OD31" s="907"/>
      <c r="OE31" s="908"/>
      <c r="OF31" s="1014"/>
      <c r="OG31" s="1015"/>
      <c r="OH31" s="909"/>
      <c r="OI31" s="1015"/>
      <c r="OJ31" s="1014"/>
      <c r="OK31" s="866"/>
      <c r="OL31" s="863"/>
      <c r="OM31" s="866"/>
      <c r="ON31" s="1014"/>
      <c r="OO31" s="1018"/>
      <c r="OP31" s="1028"/>
      <c r="OQ31" s="861"/>
      <c r="OR31" s="1014"/>
      <c r="OS31" s="861"/>
      <c r="OT31" s="1031"/>
      <c r="OU31" s="861"/>
      <c r="OV31" s="1036"/>
      <c r="OW31" s="861"/>
      <c r="OX31" s="1031"/>
      <c r="OY31" s="861"/>
      <c r="OZ31" s="1009"/>
      <c r="PA31" s="1018"/>
      <c r="PB31" s="1028"/>
      <c r="PC31" s="861"/>
      <c r="PD31" s="1009"/>
      <c r="PE31" s="1018"/>
      <c r="PF31" s="1028"/>
      <c r="PG31" s="861"/>
      <c r="PH31" s="1033"/>
      <c r="PI31" s="861"/>
      <c r="PJ31" s="1031"/>
      <c r="PK31" s="861"/>
      <c r="PL31" s="1009"/>
      <c r="PM31" s="1018"/>
      <c r="PN31" s="1028"/>
      <c r="PO31" s="861"/>
      <c r="PP31" s="1014"/>
      <c r="PQ31" s="902"/>
      <c r="PR31" s="925"/>
      <c r="PS31" s="902"/>
      <c r="PT31" s="925"/>
      <c r="PU31" s="1014"/>
      <c r="PV31" s="902"/>
      <c r="PW31" s="925"/>
      <c r="PX31" s="902"/>
      <c r="PY31" s="925"/>
      <c r="PZ31" s="1014"/>
      <c r="QA31" s="902"/>
      <c r="QB31" s="925"/>
      <c r="QC31" s="1014"/>
      <c r="QD31" s="902"/>
      <c r="QE31" s="925"/>
      <c r="QF31" s="1016"/>
      <c r="QG31" s="902"/>
      <c r="QH31" s="925"/>
      <c r="QI31" s="1016"/>
      <c r="QJ31" s="902"/>
      <c r="QK31" s="925"/>
      <c r="QL31" s="1016"/>
      <c r="QM31" s="902"/>
      <c r="QN31" s="925"/>
      <c r="QO31" s="1016"/>
      <c r="QP31" s="902"/>
      <c r="QQ31" s="925"/>
      <c r="QR31" s="939"/>
      <c r="QS31" s="908"/>
      <c r="QT31" s="907"/>
      <c r="QU31" s="1014"/>
      <c r="QV31" s="1019"/>
      <c r="QW31" s="1028"/>
      <c r="QX31" s="939"/>
      <c r="QY31" s="908"/>
      <c r="QZ31" s="907"/>
      <c r="RA31" s="1014"/>
      <c r="RB31" s="1019"/>
      <c r="RC31" s="1028"/>
      <c r="RD31" s="939"/>
      <c r="RE31" s="908"/>
      <c r="RF31" s="907"/>
      <c r="RG31" s="1014"/>
      <c r="RH31" s="1019"/>
      <c r="RI31" s="1028"/>
      <c r="RJ31" s="1029"/>
      <c r="RK31" s="908"/>
      <c r="RL31" s="907"/>
      <c r="RM31" s="1016"/>
      <c r="RN31" s="1019"/>
      <c r="RO31" s="1028"/>
      <c r="RP31" s="1029"/>
      <c r="RQ31" s="908"/>
      <c r="RR31" s="907"/>
      <c r="RS31" s="1016"/>
      <c r="RT31" s="1019"/>
      <c r="RU31" s="1028"/>
      <c r="RV31" s="939"/>
      <c r="RW31" s="1017"/>
      <c r="RX31" s="909"/>
      <c r="RY31" s="1014"/>
      <c r="RZ31" s="1018"/>
      <c r="SA31" s="909"/>
      <c r="SB31" s="1014"/>
      <c r="SC31" s="1017"/>
      <c r="SD31" s="1017"/>
      <c r="SE31" s="909"/>
      <c r="SF31" s="1014"/>
      <c r="SG31" s="861"/>
      <c r="SH31" s="1018"/>
      <c r="SI31" s="909"/>
      <c r="SJ31" s="939"/>
      <c r="SK31" s="1015"/>
      <c r="SL31" s="926"/>
      <c r="SM31" s="1014"/>
      <c r="SN31" s="1018"/>
      <c r="SO31" s="909"/>
      <c r="SP31" s="1014"/>
      <c r="SQ31" s="902"/>
      <c r="SR31" s="925"/>
      <c r="SS31" s="906"/>
      <c r="ST31" s="909"/>
      <c r="SU31" s="906"/>
      <c r="SV31" s="909"/>
      <c r="SW31" s="1014"/>
      <c r="SX31" s="902"/>
      <c r="SY31" s="925"/>
      <c r="SZ31" s="902"/>
      <c r="TA31" s="925"/>
      <c r="TB31" s="902"/>
      <c r="TC31" s="909"/>
      <c r="TD31" s="1014"/>
      <c r="TE31" s="902"/>
      <c r="TF31" s="925"/>
      <c r="TG31" s="908"/>
      <c r="TH31" s="909"/>
      <c r="TI31" s="910"/>
      <c r="TJ31" s="925"/>
      <c r="TK31" s="939"/>
      <c r="TL31" s="902"/>
      <c r="TM31" s="925"/>
      <c r="TN31" s="902"/>
      <c r="TO31" s="925"/>
      <c r="TP31" s="902"/>
      <c r="TQ31" s="925"/>
      <c r="TR31" s="1029"/>
      <c r="TS31" s="902"/>
      <c r="TT31" s="925"/>
      <c r="TU31" s="902"/>
      <c r="TV31" s="925"/>
      <c r="TW31" s="908"/>
      <c r="TX31" s="909"/>
      <c r="TY31" s="1029"/>
      <c r="TZ31" s="902"/>
      <c r="UA31" s="925"/>
      <c r="UB31" s="902"/>
      <c r="UC31" s="925"/>
      <c r="UD31" s="908"/>
      <c r="UE31" s="909"/>
      <c r="UF31" s="1016"/>
      <c r="UG31" s="902"/>
      <c r="UH31" s="925"/>
      <c r="UI31" s="902"/>
      <c r="UJ31" s="925"/>
      <c r="UK31" s="906"/>
      <c r="UL31" s="909"/>
      <c r="UM31" s="1029"/>
      <c r="UN31" s="902"/>
      <c r="UO31" s="925"/>
      <c r="UP31" s="902"/>
      <c r="UQ31" s="925"/>
      <c r="UR31" s="902"/>
      <c r="US31" s="925"/>
      <c r="UT31" s="1014"/>
      <c r="UU31" s="1014"/>
      <c r="UV31" s="939"/>
      <c r="UW31" s="1035"/>
      <c r="UX31" s="1007"/>
      <c r="UY31" s="1009"/>
      <c r="UZ31" s="1007"/>
      <c r="VA31" s="1009"/>
      <c r="VB31" s="1014"/>
      <c r="VC31" s="1037"/>
      <c r="VD31" s="1015"/>
      <c r="VE31" s="1014"/>
      <c r="VF31" s="1037"/>
      <c r="VG31" s="1017"/>
      <c r="VH31" s="1014"/>
      <c r="VI31" s="1036"/>
      <c r="VJ31" s="1014"/>
      <c r="VK31" s="1036"/>
      <c r="VL31" s="1014"/>
      <c r="VM31" s="1036"/>
      <c r="VN31" s="1014"/>
      <c r="VO31" s="1036"/>
      <c r="VP31" s="939"/>
      <c r="VQ31" s="1035"/>
      <c r="VR31" s="1036"/>
      <c r="VS31" s="1035"/>
      <c r="VT31" s="1036"/>
      <c r="VU31" s="1035"/>
      <c r="VV31" s="1034"/>
      <c r="VW31" s="1036"/>
      <c r="VX31" s="1014"/>
      <c r="VY31" s="1018"/>
      <c r="VZ31" s="1028"/>
      <c r="WA31" s="1014"/>
      <c r="WB31" s="861"/>
      <c r="WC31" s="1031"/>
      <c r="WD31" s="1014"/>
      <c r="WE31" s="1037"/>
      <c r="WF31" s="909"/>
      <c r="WG31" s="1014"/>
      <c r="WH31" s="861"/>
      <c r="WI31" s="1031"/>
      <c r="WJ31" s="1014"/>
      <c r="WK31" s="1014"/>
      <c r="WL31" s="1014"/>
      <c r="WM31" s="1017"/>
      <c r="WN31" s="909"/>
      <c r="WO31" s="1014"/>
      <c r="WP31" s="1015"/>
      <c r="WQ31" s="909"/>
      <c r="WR31" s="1014"/>
      <c r="WS31" s="1017"/>
      <c r="WT31" s="909"/>
      <c r="WU31" s="1014"/>
      <c r="WV31" s="1015"/>
      <c r="WW31" s="909"/>
      <c r="WX31" s="1014"/>
      <c r="WY31" s="1017"/>
      <c r="WZ31" s="909"/>
      <c r="XA31" s="1014"/>
      <c r="XB31" s="1015"/>
      <c r="XC31" s="909"/>
      <c r="XD31" s="1014"/>
      <c r="XE31" s="1015"/>
      <c r="XF31" s="926"/>
      <c r="XG31" s="1014"/>
      <c r="XH31" s="1015"/>
      <c r="XI31" s="909"/>
      <c r="XJ31" s="1038"/>
      <c r="XK31" s="1039"/>
      <c r="XL31" s="998"/>
      <c r="XM31" s="1040"/>
      <c r="XN31" s="998"/>
      <c r="XO31" s="1040"/>
      <c r="XP31" s="998"/>
      <c r="XQ31" s="1040"/>
      <c r="XR31" s="1041"/>
      <c r="XS31" s="1041"/>
      <c r="XT31" s="1041"/>
      <c r="XU31" s="1041"/>
      <c r="XV31" s="1042"/>
      <c r="XW31" s="1043"/>
      <c r="XX31" s="1044"/>
      <c r="XY31" s="1044"/>
      <c r="XZ31" s="1043"/>
      <c r="YA31" s="1043"/>
      <c r="YB31" s="1044"/>
      <c r="YC31" s="1044"/>
      <c r="YD31" s="1043"/>
      <c r="YE31" s="1044"/>
      <c r="YF31" s="1044"/>
      <c r="YG31" s="1042"/>
      <c r="YH31" s="902"/>
      <c r="YI31" s="902"/>
      <c r="YJ31" s="1043"/>
      <c r="YK31" s="902"/>
      <c r="YL31" s="902"/>
      <c r="YM31" s="902"/>
      <c r="YN31" s="902"/>
      <c r="YO31" s="902"/>
      <c r="YP31" s="902"/>
      <c r="YQ31" s="902"/>
      <c r="YR31" s="1014"/>
      <c r="YS31" s="1044"/>
      <c r="YT31" s="1044"/>
      <c r="YU31" s="1044"/>
      <c r="YV31" s="902"/>
      <c r="YW31" s="1045"/>
      <c r="YX31" s="1014"/>
      <c r="YY31" s="1044"/>
      <c r="YZ31" s="1044"/>
      <c r="ZA31" s="1044"/>
      <c r="ZB31" s="902"/>
      <c r="ZC31" s="1045"/>
      <c r="ZD31" s="1016"/>
      <c r="ZE31" s="1044"/>
      <c r="ZF31" s="1044"/>
      <c r="ZG31" s="1044"/>
      <c r="ZH31" s="1044"/>
      <c r="ZI31" s="1044"/>
      <c r="ZJ31" s="1016"/>
      <c r="ZK31" s="1044"/>
      <c r="ZL31" s="1044"/>
      <c r="ZM31" s="1044"/>
      <c r="ZN31" s="1044"/>
      <c r="ZO31" s="1044"/>
      <c r="ZP31" s="1016"/>
      <c r="ZQ31" s="1046"/>
      <c r="ZR31" s="1046"/>
      <c r="ZS31" s="1046"/>
      <c r="ZT31" s="902"/>
      <c r="ZU31" s="1045"/>
      <c r="ZV31" s="1016"/>
      <c r="ZW31" s="1044"/>
      <c r="ZX31" s="1044"/>
      <c r="ZY31" s="1044"/>
      <c r="ZZ31" s="902"/>
      <c r="AAA31" s="1045"/>
      <c r="AAB31" s="1047"/>
      <c r="AAC31" s="1042"/>
      <c r="AAD31" s="478"/>
      <c r="AAE31" s="478"/>
      <c r="AAF31" s="478"/>
      <c r="AAG31" s="478"/>
      <c r="AAH31" s="1048"/>
      <c r="AAI31" s="1048"/>
      <c r="AAJ31" s="1048"/>
      <c r="AAK31" s="1048"/>
      <c r="AAL31" s="478"/>
      <c r="AAM31" s="478"/>
      <c r="AAN31" s="478"/>
      <c r="AAO31" s="478"/>
      <c r="AAP31" s="1048"/>
      <c r="AAQ31" s="1048"/>
      <c r="AAR31" s="1048"/>
      <c r="AAS31" s="1048"/>
      <c r="AAT31" s="1384">
        <f>'Проверочная  таблица'!AAL31+'Проверочная  таблица'!AAN31</f>
        <v>0</v>
      </c>
      <c r="AAU31" s="1384">
        <f>'Проверочная  таблица'!AAM31+'Проверочная  таблица'!AAO31</f>
        <v>0</v>
      </c>
    </row>
    <row r="32" spans="1:723" ht="20.45" customHeight="1" x14ac:dyDescent="0.25">
      <c r="A32" s="1049" t="s">
        <v>1299</v>
      </c>
      <c r="B32" s="897">
        <f>D32+AN32+'Проверочная  таблица'!VB32+'Проверочная  таблица'!WJ32</f>
        <v>3411889029.8900003</v>
      </c>
      <c r="C32" s="1050">
        <f>E32+'Проверочная  таблица'!VE32+AO32+'Проверочная  таблица'!WK32</f>
        <v>2057638134.6099999</v>
      </c>
      <c r="D32" s="1371">
        <f>F32+P32+N32+V32+AD32+H32</f>
        <v>788370268</v>
      </c>
      <c r="E32" s="897">
        <f>G32+Q32+O32+Z32+AG32+I32</f>
        <v>372092539.73000002</v>
      </c>
      <c r="F32" s="1376">
        <f>'[1]Дотация  из  ОБ_факт'!M28</f>
        <v>468220268</v>
      </c>
      <c r="G32" s="1385">
        <v>79092539.730000004</v>
      </c>
      <c r="H32" s="1376">
        <f>'[1]Дотация  из  ОБ_факт'!G28</f>
        <v>0</v>
      </c>
      <c r="I32" s="1385"/>
      <c r="J32" s="1386">
        <f>H32-L32</f>
        <v>0</v>
      </c>
      <c r="K32" s="1387">
        <f>I32-M32</f>
        <v>0</v>
      </c>
      <c r="L32" s="1386">
        <f>'[1]Дотация  из  ОБ_факт'!K28</f>
        <v>0</v>
      </c>
      <c r="M32" s="881"/>
      <c r="N32" s="1376">
        <f>'[1]Дотация  из  ОБ_факт'!Q28</f>
        <v>318450000</v>
      </c>
      <c r="O32" s="1385">
        <v>293000000</v>
      </c>
      <c r="P32" s="1376">
        <f>'[1]Дотация  из  ОБ_факт'!S28</f>
        <v>0</v>
      </c>
      <c r="Q32" s="1385"/>
      <c r="R32" s="1386">
        <f>P32-T32</f>
        <v>0</v>
      </c>
      <c r="S32" s="1387">
        <f>Q32-U32</f>
        <v>0</v>
      </c>
      <c r="T32" s="1386">
        <f>'[1]Дотация  из  ОБ_факт'!W28</f>
        <v>0</v>
      </c>
      <c r="U32" s="881"/>
      <c r="V32" s="886">
        <f>SUM(W32:Y32)</f>
        <v>1700000</v>
      </c>
      <c r="W32" s="1388">
        <f>'[1]Дотация  из  ОБ_факт'!AA28</f>
        <v>0</v>
      </c>
      <c r="X32" s="1389">
        <f>'[1]Дотация  из  ОБ_факт'!AC28</f>
        <v>800000</v>
      </c>
      <c r="Y32" s="1389">
        <f>'[1]Дотация  из  ОБ_факт'!AG28</f>
        <v>900000</v>
      </c>
      <c r="Z32" s="886">
        <f>SUM(AA32:AC32)</f>
        <v>0</v>
      </c>
      <c r="AA32" s="895">
        <f t="shared" ref="AA32:AA33" si="291">W32</f>
        <v>0</v>
      </c>
      <c r="AB32" s="882"/>
      <c r="AC32" s="1275"/>
      <c r="AD32" s="886">
        <f>SUM(AE32:AF32)</f>
        <v>0</v>
      </c>
      <c r="AE32" s="883"/>
      <c r="AF32" s="882"/>
      <c r="AG32" s="886">
        <f>SUM(AH32:AI32)</f>
        <v>0</v>
      </c>
      <c r="AH32" s="883"/>
      <c r="AI32" s="882"/>
      <c r="AJ32" s="1386">
        <f>AD32-AL32</f>
        <v>0</v>
      </c>
      <c r="AK32" s="1387">
        <f>AG32-AM32</f>
        <v>0</v>
      </c>
      <c r="AL32" s="1386">
        <f>'[1]Дотация  из  ОБ_факт'!AE28</f>
        <v>0</v>
      </c>
      <c r="AM32" s="884"/>
      <c r="AN32" s="1012">
        <f>'Проверочная  таблица'!UT32+'Проверочная  таблица'!UV32+BL32+BN32+BZ32+CB32+AZ32+BD32+'Проверочная  таблица'!MT32+'Проверочная  таблица'!NJ32+'Проверочная  таблица'!DT32+'Проверочная  таблица'!OB32+DL32+'Проверочная  таблица'!JJ32+'Проверочная  таблица'!JP32+'Проверочная  таблица'!OJ32+'Проверочная  таблица'!OR32+JD32+AP32+AV32+ET32+EZ32+CN32+SP32+DZ32+TD32+PZ32+EF32+EN32+LN32+LV32+SJ32+GN32+RV32+QX32+KH32+KR32+RD32+SB32+CH32+QR32+HD32+FX32+HJ32+HP32+FR32+DB32+PP32+BT32+IH32+IX32+GV32+GD32+IN32</f>
        <v>752600612.93000007</v>
      </c>
      <c r="AO32" s="1013">
        <f>'Проверочная  таблица'!UU32+'Проверочная  таблица'!UW32+BM32+BO32+CA32+CC32+BB32+BF32+'Проверочная  таблица'!NB32+'Проверочная  таблица'!NM32+'Проверочная  таблица'!DW32+'Проверочная  таблица'!OF32+DP32+'Проверочная  таблица'!JM32+'Проверочная  таблица'!JS32+'Проверочная  таблица'!ON32+'Проверочная  таблица'!OV32+JG32+AS32+AX32+EW32+FC32+CU32+SW32+EC32+TK32+QC32+EJ32+EQ32+LR32+LZ32+SM32+GR32+RY32+RA32+KM32+KW32+RG32+SF32+CK32+QU32+HG32+GA32+HM32+HS32+FU32+DE32+PU32+BW32+IK32+JA32+GX32+GG32+IQ32</f>
        <v>538929627.11999989</v>
      </c>
      <c r="AP32" s="1050">
        <f>SUM(AQ32:AR32)</f>
        <v>0</v>
      </c>
      <c r="AQ32" s="885">
        <f>[1]Субсидия_факт!HV30</f>
        <v>0</v>
      </c>
      <c r="AR32" s="866">
        <f>[1]Субсидия_факт!MR30</f>
        <v>0</v>
      </c>
      <c r="AS32" s="1050">
        <f>SUM(AT32:AU32)</f>
        <v>0</v>
      </c>
      <c r="AT32" s="862"/>
      <c r="AU32" s="862"/>
      <c r="AV32" s="897"/>
      <c r="AW32" s="866"/>
      <c r="AX32" s="1050"/>
      <c r="AY32" s="866"/>
      <c r="AZ32" s="1050">
        <f>SUM(BA32:BA32)</f>
        <v>35219325.390000001</v>
      </c>
      <c r="BA32" s="866">
        <f>[1]Субсидия_факт!KZ30</f>
        <v>35219325.390000001</v>
      </c>
      <c r="BB32" s="1050">
        <f>SUM(BC32:BC32)</f>
        <v>0</v>
      </c>
      <c r="BC32" s="866"/>
      <c r="BD32" s="1050"/>
      <c r="BE32" s="862"/>
      <c r="BF32" s="1050"/>
      <c r="BG32" s="866"/>
      <c r="BH32" s="1373"/>
      <c r="BI32" s="879"/>
      <c r="BJ32" s="1390"/>
      <c r="BK32" s="1373"/>
      <c r="BL32" s="897">
        <f>[1]Субсидия_факт!GV30</f>
        <v>0</v>
      </c>
      <c r="BM32" s="886"/>
      <c r="BN32" s="1391"/>
      <c r="BO32" s="888"/>
      <c r="BP32" s="879"/>
      <c r="BQ32" s="1390"/>
      <c r="BR32" s="879"/>
      <c r="BS32" s="881"/>
      <c r="BT32" s="897">
        <f>SUM(BU32:BV32)</f>
        <v>37759000</v>
      </c>
      <c r="BU32" s="862">
        <f>[1]Субсидия_факт!HL30</f>
        <v>37759000</v>
      </c>
      <c r="BV32" s="866">
        <f>[1]Субсидия_факт!HN30</f>
        <v>0</v>
      </c>
      <c r="BW32" s="1050">
        <f>SUM(BX32:BY32)</f>
        <v>0</v>
      </c>
      <c r="BX32" s="866"/>
      <c r="BY32" s="866"/>
      <c r="BZ32" s="1391">
        <f>[1]Субсидия_факт!HB30</f>
        <v>0</v>
      </c>
      <c r="CA32" s="886"/>
      <c r="CB32" s="1371"/>
      <c r="CC32" s="886"/>
      <c r="CD32" s="898"/>
      <c r="CE32" s="879"/>
      <c r="CF32" s="1390"/>
      <c r="CG32" s="884"/>
      <c r="CH32" s="897">
        <f>SUM(CI32:CJ32)</f>
        <v>25590065.600000001</v>
      </c>
      <c r="CI32" s="866">
        <f>[1]Субсидия_факт!HP30</f>
        <v>25590065.600000001</v>
      </c>
      <c r="CJ32" s="866">
        <f>[1]Субсидия_факт!HR30</f>
        <v>0</v>
      </c>
      <c r="CK32" s="1050">
        <f>SUM(CL32:CM32)</f>
        <v>0</v>
      </c>
      <c r="CL32" s="866"/>
      <c r="CM32" s="862"/>
      <c r="CN32" s="1050">
        <f>SUM(CO32:CT32)</f>
        <v>0</v>
      </c>
      <c r="CO32" s="862">
        <f>[1]Субсидия_факт!LR30</f>
        <v>0</v>
      </c>
      <c r="CP32" s="889">
        <f>[1]Субсидия_факт!LT30</f>
        <v>0</v>
      </c>
      <c r="CQ32" s="866">
        <f>[1]Субсидия_факт!LV30</f>
        <v>0</v>
      </c>
      <c r="CR32" s="889">
        <f>[1]Субсидия_факт!MB30</f>
        <v>0</v>
      </c>
      <c r="CS32" s="866">
        <f>[1]Субсидия_факт!MH30</f>
        <v>0</v>
      </c>
      <c r="CT32" s="863">
        <f>[1]Субсидия_факт!MJ30</f>
        <v>0</v>
      </c>
      <c r="CU32" s="1050">
        <f>SUM(CV32:DA32)</f>
        <v>0</v>
      </c>
      <c r="CV32" s="885"/>
      <c r="CW32" s="889"/>
      <c r="CX32" s="866"/>
      <c r="CY32" s="889"/>
      <c r="CZ32" s="866"/>
      <c r="DA32" s="889"/>
      <c r="DB32" s="897"/>
      <c r="DC32" s="862"/>
      <c r="DD32" s="863"/>
      <c r="DE32" s="1050"/>
      <c r="DF32" s="862"/>
      <c r="DG32" s="863"/>
      <c r="DH32" s="898"/>
      <c r="DI32" s="879"/>
      <c r="DJ32" s="1390"/>
      <c r="DK32" s="884"/>
      <c r="DL32" s="1050">
        <f t="shared" ref="DL32:DL33" si="292">SUM(DM32:DO32)</f>
        <v>0</v>
      </c>
      <c r="DM32" s="862">
        <f>[1]Субсидия_факт!R30</f>
        <v>0</v>
      </c>
      <c r="DN32" s="862">
        <f>[1]Субсидия_факт!T30</f>
        <v>0</v>
      </c>
      <c r="DO32" s="866">
        <f>[1]Субсидия_факт!V30</f>
        <v>0</v>
      </c>
      <c r="DP32" s="1050">
        <f t="shared" ref="DP32:DP33" si="293">SUM(DQ32:DS32)</f>
        <v>0</v>
      </c>
      <c r="DQ32" s="866"/>
      <c r="DR32" s="866"/>
      <c r="DS32" s="866"/>
      <c r="DT32" s="897">
        <f t="shared" ref="DT32:DT33" si="294">SUM(DU32:DV32)</f>
        <v>0</v>
      </c>
      <c r="DU32" s="862">
        <f>[1]Субсидия_факт!AX30</f>
        <v>0</v>
      </c>
      <c r="DV32" s="863">
        <f>[1]Субсидия_факт!AZ30</f>
        <v>0</v>
      </c>
      <c r="DW32" s="1050">
        <f t="shared" ref="DW32:DW33" si="295">SUM(DX32:DY32)</f>
        <v>0</v>
      </c>
      <c r="DX32" s="885"/>
      <c r="DY32" s="889"/>
      <c r="DZ32" s="1050">
        <f>SUM(EA32:EB32)</f>
        <v>0</v>
      </c>
      <c r="EA32" s="862">
        <f>[1]Субсидия_факт!X30</f>
        <v>0</v>
      </c>
      <c r="EB32" s="863">
        <f>[1]Субсидия_факт!Z30</f>
        <v>0</v>
      </c>
      <c r="EC32" s="1050">
        <f>SUM(ED32:EE32)</f>
        <v>0</v>
      </c>
      <c r="ED32" s="862"/>
      <c r="EE32" s="863"/>
      <c r="EF32" s="1050">
        <f t="shared" ref="EF32:EF33" si="296">SUM(EG32:EI32)</f>
        <v>0</v>
      </c>
      <c r="EG32" s="866">
        <f>[1]Субсидия_факт!AP30</f>
        <v>0</v>
      </c>
      <c r="EH32" s="862">
        <f>[1]Субсидия_факт!AL30</f>
        <v>0</v>
      </c>
      <c r="EI32" s="863">
        <f>[1]Субсидия_факт!AN30</f>
        <v>0</v>
      </c>
      <c r="EJ32" s="1050">
        <f t="shared" ref="EJ32:EJ33" si="297">SUM(EK32:EM32)</f>
        <v>0</v>
      </c>
      <c r="EK32" s="862"/>
      <c r="EL32" s="862"/>
      <c r="EM32" s="863"/>
      <c r="EN32" s="897">
        <f t="shared" ref="EN32:EN33" si="298">SUM(EO32:EP32)</f>
        <v>0</v>
      </c>
      <c r="EO32" s="862">
        <f>[1]Субсидия_факт!HH30</f>
        <v>0</v>
      </c>
      <c r="EP32" s="863">
        <f>[1]Субсидия_факт!HJ30</f>
        <v>0</v>
      </c>
      <c r="EQ32" s="1050">
        <f t="shared" ref="EQ32:EQ33" si="299">SUM(ER32:ES32)</f>
        <v>0</v>
      </c>
      <c r="ER32" s="862"/>
      <c r="ES32" s="863"/>
      <c r="ET32" s="1050">
        <f t="shared" ref="ET32:ET33" si="300">SUM(EU32:EV32)</f>
        <v>0</v>
      </c>
      <c r="EU32" s="862">
        <f>[1]Субсидия_факт!PK30</f>
        <v>0</v>
      </c>
      <c r="EV32" s="863">
        <f>[1]Субсидия_факт!PQ30</f>
        <v>0</v>
      </c>
      <c r="EW32" s="1050">
        <f>SUM(EX32:EY32)</f>
        <v>0</v>
      </c>
      <c r="EX32" s="862"/>
      <c r="EY32" s="863"/>
      <c r="EZ32" s="897"/>
      <c r="FA32" s="862"/>
      <c r="FB32" s="863"/>
      <c r="FC32" s="1050"/>
      <c r="FD32" s="862"/>
      <c r="FE32" s="863"/>
      <c r="FF32" s="1373">
        <f t="shared" ref="FF32:FF33" si="301">SUM(FG32:FH32)</f>
        <v>0</v>
      </c>
      <c r="FG32" s="862">
        <f t="shared" ref="FG32:FH33" si="302">FA32-FM32</f>
        <v>0</v>
      </c>
      <c r="FH32" s="889">
        <f t="shared" si="302"/>
        <v>0</v>
      </c>
      <c r="FI32" s="879">
        <f t="shared" ref="FI32:FI33" si="303">SUM(FJ32:FK32)</f>
        <v>0</v>
      </c>
      <c r="FJ32" s="862">
        <f t="shared" ref="FJ32:FK33" si="304">FD32-FP32</f>
        <v>0</v>
      </c>
      <c r="FK32" s="889">
        <f t="shared" si="304"/>
        <v>0</v>
      </c>
      <c r="FL32" s="1373">
        <f t="shared" ref="FL32:FL33" si="305">SUM(FM32:FN32)</f>
        <v>0</v>
      </c>
      <c r="FM32" s="862">
        <f>[1]Субсидия_факт!PO30</f>
        <v>0</v>
      </c>
      <c r="FN32" s="889">
        <f>[1]Субсидия_факт!PU30</f>
        <v>0</v>
      </c>
      <c r="FO32" s="879">
        <f t="shared" ref="FO32:FO33" si="306">SUM(FP32:FQ32)</f>
        <v>0</v>
      </c>
      <c r="FP32" s="862"/>
      <c r="FQ32" s="863"/>
      <c r="FR32" s="897">
        <f t="shared" ref="FR32:FR33" si="307">SUM(FS32:FT32)</f>
        <v>0</v>
      </c>
      <c r="FS32" s="862">
        <f>[1]Субсидия_факт!EP30</f>
        <v>0</v>
      </c>
      <c r="FT32" s="863">
        <f>[1]Субсидия_факт!ER30</f>
        <v>0</v>
      </c>
      <c r="FU32" s="897">
        <f t="shared" ref="FU32:FU33" si="308">SUM(FV32:FW32)</f>
        <v>0</v>
      </c>
      <c r="FV32" s="862"/>
      <c r="FW32" s="863"/>
      <c r="FX32" s="897">
        <f t="shared" ref="FX32:FX33" si="309">SUM(FY32:FZ32)</f>
        <v>0</v>
      </c>
      <c r="FY32" s="862">
        <f>[1]Субсидия_факт!JN30</f>
        <v>0</v>
      </c>
      <c r="FZ32" s="863">
        <f>[1]Субсидия_факт!JP30</f>
        <v>0</v>
      </c>
      <c r="GA32" s="897">
        <f t="shared" ref="GA32:GA33" si="310">SUM(GB32:GC32)</f>
        <v>0</v>
      </c>
      <c r="GB32" s="862"/>
      <c r="GC32" s="863"/>
      <c r="GD32" s="1372">
        <f t="shared" ref="GD32:GD33" si="311">SUM(GE32:GF32)</f>
        <v>0</v>
      </c>
      <c r="GE32" s="862">
        <f>[1]Субсидия_факт!JR30</f>
        <v>0</v>
      </c>
      <c r="GF32" s="863">
        <f>[1]Субсидия_факт!JV30</f>
        <v>0</v>
      </c>
      <c r="GG32" s="1372">
        <f t="shared" ref="GG32:GG33" si="312">SUM(GH32:GI32)</f>
        <v>0</v>
      </c>
      <c r="GH32" s="862"/>
      <c r="GI32" s="863"/>
      <c r="GJ32" s="1373">
        <f t="shared" ref="GJ32:GJ33" si="313">GD32-GL32</f>
        <v>0</v>
      </c>
      <c r="GK32" s="879">
        <f t="shared" ref="GK32:GK33" si="314">GG32-GM32</f>
        <v>0</v>
      </c>
      <c r="GL32" s="1390">
        <f t="shared" ref="GL32:GL33" si="315">GD32</f>
        <v>0</v>
      </c>
      <c r="GM32" s="879">
        <f t="shared" ref="GM32:GM33" si="316">GG32</f>
        <v>0</v>
      </c>
      <c r="GN32" s="897">
        <f>SUM(GO32:GQ32)</f>
        <v>315192127.60000002</v>
      </c>
      <c r="GO32" s="862">
        <f>[1]Субсидия_факт!KL30</f>
        <v>0</v>
      </c>
      <c r="GP32" s="863">
        <f>[1]Субсидия_факт!KN30</f>
        <v>0</v>
      </c>
      <c r="GQ32" s="862">
        <f>[1]Субсидия_факт!KP30</f>
        <v>315192127.60000002</v>
      </c>
      <c r="GR32" s="897">
        <f>SUM(GS32:GU32)</f>
        <v>269739677.79999995</v>
      </c>
      <c r="GS32" s="866"/>
      <c r="GT32" s="890"/>
      <c r="GU32" s="866">
        <v>269739677.79999995</v>
      </c>
      <c r="GV32" s="1372"/>
      <c r="GW32" s="866"/>
      <c r="GX32" s="1372"/>
      <c r="GY32" s="862"/>
      <c r="GZ32" s="1373">
        <f t="shared" ref="GZ32:GZ33" si="317">GV32-HB32</f>
        <v>0</v>
      </c>
      <c r="HA32" s="1373">
        <f t="shared" ref="HA32:HA33" si="318">GX32-HC32</f>
        <v>0</v>
      </c>
      <c r="HB32" s="1373">
        <f t="shared" ref="HB32:HB33" si="319">GV32</f>
        <v>0</v>
      </c>
      <c r="HC32" s="1373">
        <f t="shared" ref="HC32:HC33" si="320">GX32</f>
        <v>0</v>
      </c>
      <c r="HD32" s="897">
        <f t="shared" ref="HD32:HD33" si="321">SUM(HE32:HF32)</f>
        <v>0</v>
      </c>
      <c r="HE32" s="862">
        <f>[1]Субсидия_факт!KV30</f>
        <v>0</v>
      </c>
      <c r="HF32" s="863">
        <f>[1]Субсидия_факт!KX30</f>
        <v>0</v>
      </c>
      <c r="HG32" s="1050">
        <f t="shared" ref="HG32:HG33" si="322">SUM(HH32:HI32)</f>
        <v>0</v>
      </c>
      <c r="HH32" s="866"/>
      <c r="HI32" s="890"/>
      <c r="HJ32" s="897">
        <f t="shared" ref="HJ32:HJ33" si="323">SUM(HK32:HL32)</f>
        <v>1526316.1799999997</v>
      </c>
      <c r="HK32" s="862">
        <f>[1]Субсидия_факт!FV30</f>
        <v>1526316.1799999997</v>
      </c>
      <c r="HL32" s="863">
        <f>[1]Субсидия_факт!FZ30</f>
        <v>0</v>
      </c>
      <c r="HM32" s="1050">
        <f t="shared" ref="HM32:HM33" si="324">SUM(HN32:HO32)</f>
        <v>0</v>
      </c>
      <c r="HN32" s="866"/>
      <c r="HO32" s="890"/>
      <c r="HP32" s="897">
        <f t="shared" ref="HP32:HP33" si="325">SUM(HQ32:HR32)</f>
        <v>0</v>
      </c>
      <c r="HQ32" s="862"/>
      <c r="HR32" s="863"/>
      <c r="HS32" s="1050">
        <f t="shared" ref="HS32:HS33" si="326">SUM(HT32:HU32)</f>
        <v>0</v>
      </c>
      <c r="HT32" s="866"/>
      <c r="HU32" s="890"/>
      <c r="HV32" s="1373">
        <f t="shared" ref="HV32:HV33" si="327">SUM(HW32:HX32)</f>
        <v>0</v>
      </c>
      <c r="HW32" s="862">
        <f t="shared" ref="HW32:HX33" si="328">HQ32-IC32</f>
        <v>0</v>
      </c>
      <c r="HX32" s="889">
        <f t="shared" si="328"/>
        <v>0</v>
      </c>
      <c r="HY32" s="879">
        <f t="shared" ref="HY32:HY33" si="329">SUM(HZ32:IA32)</f>
        <v>0</v>
      </c>
      <c r="HZ32" s="862">
        <f t="shared" ref="HZ32:IA33" si="330">HT32-IF32</f>
        <v>0</v>
      </c>
      <c r="IA32" s="889">
        <f t="shared" si="330"/>
        <v>0</v>
      </c>
      <c r="IB32" s="1373">
        <f t="shared" ref="IB32:IB33" si="331">SUM(IC32:ID32)</f>
        <v>0</v>
      </c>
      <c r="IC32" s="862"/>
      <c r="ID32" s="889"/>
      <c r="IE32" s="879">
        <f t="shared" ref="IE32:IE33" si="332">SUM(IF32:IG32)</f>
        <v>0</v>
      </c>
      <c r="IF32" s="862"/>
      <c r="IG32" s="863"/>
      <c r="IH32" s="897">
        <f t="shared" ref="IH32:IH33" si="333">SUM(II32:IJ32)</f>
        <v>0</v>
      </c>
      <c r="II32" s="862">
        <f>[1]Субсидия_факт!ED30</f>
        <v>0</v>
      </c>
      <c r="IJ32" s="863">
        <f>[1]Субсидия_факт!EF30</f>
        <v>0</v>
      </c>
      <c r="IK32" s="1050">
        <f t="shared" ref="IK32:IK33" si="334">SUM(IL32:IM32)</f>
        <v>0</v>
      </c>
      <c r="IL32" s="866"/>
      <c r="IM32" s="890"/>
      <c r="IN32" s="1372">
        <f t="shared" ref="IN32:IN33" si="335">SUM(IO32:IP32)</f>
        <v>0</v>
      </c>
      <c r="IO32" s="862"/>
      <c r="IP32" s="863"/>
      <c r="IQ32" s="1392">
        <f t="shared" ref="IQ32:IQ33" si="336">SUM(IR32:IS32)</f>
        <v>0</v>
      </c>
      <c r="IR32" s="866"/>
      <c r="IS32" s="890"/>
      <c r="IT32" s="1373"/>
      <c r="IU32" s="879"/>
      <c r="IV32" s="1373"/>
      <c r="IW32" s="879"/>
      <c r="IX32" s="897">
        <f t="shared" ref="IX32:IX33" si="337">SUM(IY32:IZ32)</f>
        <v>0</v>
      </c>
      <c r="IY32" s="862">
        <f>[1]Субсидия_факт!BX30</f>
        <v>0</v>
      </c>
      <c r="IZ32" s="863">
        <f>[1]Субсидия_факт!BZ30</f>
        <v>0</v>
      </c>
      <c r="JA32" s="1050">
        <f t="shared" ref="JA32:JA33" si="338">SUM(JB32:JC32)</f>
        <v>0</v>
      </c>
      <c r="JB32" s="866"/>
      <c r="JC32" s="890"/>
      <c r="JD32" s="897">
        <f t="shared" ref="JD32:JD33" si="339">SUM(JE32:JF32)</f>
        <v>3362567.57</v>
      </c>
      <c r="JE32" s="862">
        <f>[1]Субсидия_факт!ET30</f>
        <v>874267.56999999983</v>
      </c>
      <c r="JF32" s="863">
        <f>[1]Субсидия_факт!EV30</f>
        <v>2488300</v>
      </c>
      <c r="JG32" s="1050">
        <f t="shared" ref="JG32:JG33" si="340">SUM(JH32:JI32)</f>
        <v>3362567.57</v>
      </c>
      <c r="JH32" s="866">
        <v>874267.57</v>
      </c>
      <c r="JI32" s="890">
        <v>2488300</v>
      </c>
      <c r="JJ32" s="1371">
        <f t="shared" ref="JJ32:JJ33" si="341">SUM(JK32:JL32)</f>
        <v>0</v>
      </c>
      <c r="JK32" s="862">
        <f>[1]Субсидия_факт!EX30</f>
        <v>0</v>
      </c>
      <c r="JL32" s="863">
        <f>[1]Субсидия_факт!FD30</f>
        <v>0</v>
      </c>
      <c r="JM32" s="1050">
        <f t="shared" ref="JM32:JM33" si="342">SUM(JN32:JO32)</f>
        <v>0</v>
      </c>
      <c r="JN32" s="862"/>
      <c r="JO32" s="863"/>
      <c r="JP32" s="1050"/>
      <c r="JQ32" s="862"/>
      <c r="JR32" s="863"/>
      <c r="JS32" s="1050"/>
      <c r="JT32" s="866"/>
      <c r="JU32" s="890"/>
      <c r="JV32" s="879"/>
      <c r="JW32" s="885"/>
      <c r="JX32" s="863"/>
      <c r="JY32" s="1390"/>
      <c r="JZ32" s="866"/>
      <c r="KA32" s="894"/>
      <c r="KB32" s="879"/>
      <c r="KC32" s="862"/>
      <c r="KD32" s="889"/>
      <c r="KE32" s="879"/>
      <c r="KF32" s="862"/>
      <c r="KG32" s="863"/>
      <c r="KH32" s="1376">
        <f t="shared" ref="KH32:KH33" si="343">SUM(KI32:KL32)</f>
        <v>3023463.13</v>
      </c>
      <c r="KI32" s="866">
        <f>[1]Субсидия_факт!OD30</f>
        <v>2142010</v>
      </c>
      <c r="KJ32" s="863">
        <f>[1]Субсидия_факт!OJ30</f>
        <v>826233.13</v>
      </c>
      <c r="KK32" s="866">
        <f>[1]Субсидия_факт!OR30</f>
        <v>20075.099999999999</v>
      </c>
      <c r="KL32" s="863">
        <f>[1]Субсидия_факт!OT30</f>
        <v>35144.9</v>
      </c>
      <c r="KM32" s="1376">
        <f t="shared" ref="KM32:KM33" si="344">SUM(KN32:KQ32)</f>
        <v>0</v>
      </c>
      <c r="KN32" s="866"/>
      <c r="KO32" s="863"/>
      <c r="KP32" s="866"/>
      <c r="KQ32" s="863"/>
      <c r="KR32" s="1376"/>
      <c r="KS32" s="885"/>
      <c r="KT32" s="863"/>
      <c r="KU32" s="885"/>
      <c r="KV32" s="863"/>
      <c r="KW32" s="1376"/>
      <c r="KX32" s="866"/>
      <c r="KY32" s="863"/>
      <c r="KZ32" s="866"/>
      <c r="LA32" s="863"/>
      <c r="LB32" s="1386"/>
      <c r="LC32" s="885"/>
      <c r="LD32" s="863"/>
      <c r="LE32" s="1386"/>
      <c r="LF32" s="885"/>
      <c r="LG32" s="863"/>
      <c r="LH32" s="1386"/>
      <c r="LI32" s="862"/>
      <c r="LJ32" s="889"/>
      <c r="LK32" s="1386"/>
      <c r="LL32" s="885"/>
      <c r="LM32" s="863"/>
      <c r="LN32" s="1050">
        <f t="shared" ref="LN32:LN33" si="345">SUM(LO32:LQ32)</f>
        <v>0</v>
      </c>
      <c r="LO32" s="866">
        <f>[1]Субсидия_факт!DP30</f>
        <v>0</v>
      </c>
      <c r="LP32" s="866">
        <f>[1]Субсидия_факт!CB30</f>
        <v>0</v>
      </c>
      <c r="LQ32" s="863">
        <f>[1]Субсидия_факт!CH30</f>
        <v>0</v>
      </c>
      <c r="LR32" s="1050">
        <f t="shared" ref="LR32:LR33" si="346">SUM(LS32:LU32)</f>
        <v>0</v>
      </c>
      <c r="LS32" s="866"/>
      <c r="LT32" s="866"/>
      <c r="LU32" s="863"/>
      <c r="LV32" s="1050"/>
      <c r="LW32" s="866"/>
      <c r="LX32" s="866"/>
      <c r="LY32" s="863"/>
      <c r="LZ32" s="1050"/>
      <c r="MA32" s="866"/>
      <c r="MB32" s="866"/>
      <c r="MC32" s="863"/>
      <c r="MD32" s="879">
        <f t="shared" ref="MD32:MD33" si="347">SUM(ME32:MG32)</f>
        <v>0</v>
      </c>
      <c r="ME32" s="866"/>
      <c r="MF32" s="866"/>
      <c r="MG32" s="863"/>
      <c r="MH32" s="879">
        <f t="shared" ref="MH32:MH33" si="348">SUM(MI32:MK32)</f>
        <v>0</v>
      </c>
      <c r="MI32" s="866"/>
      <c r="MJ32" s="866"/>
      <c r="MK32" s="890"/>
      <c r="ML32" s="879">
        <f t="shared" ref="ML32:ML33" si="349">SUM(MM32:MO32)</f>
        <v>0</v>
      </c>
      <c r="MM32" s="866"/>
      <c r="MN32" s="866"/>
      <c r="MO32" s="863"/>
      <c r="MP32" s="879">
        <f t="shared" ref="MP32:MP33" si="350">SUM(MQ32:MS32)</f>
        <v>0</v>
      </c>
      <c r="MQ32" s="866"/>
      <c r="MR32" s="866"/>
      <c r="MS32" s="863"/>
      <c r="MT32" s="1050">
        <f t="shared" ref="MT32:MT33" si="351">SUM(MU32:NA32)</f>
        <v>445147.94999999995</v>
      </c>
      <c r="MU32" s="866">
        <f>[1]Субсидия_факт!CN30</f>
        <v>0</v>
      </c>
      <c r="MV32" s="889">
        <f>[1]Субсидия_факт!CP30</f>
        <v>0</v>
      </c>
      <c r="MW32" s="862">
        <f>[1]Субсидия_факт!CR30</f>
        <v>0</v>
      </c>
      <c r="MX32" s="863">
        <f>[1]Субсидия_факт!CT30</f>
        <v>0</v>
      </c>
      <c r="MY32" s="885">
        <f>[1]Субсидия_факт!DV30</f>
        <v>0</v>
      </c>
      <c r="MZ32" s="862">
        <f>[1]Субсидия_факт!FJ30</f>
        <v>115738.47</v>
      </c>
      <c r="NA32" s="863">
        <f>[1]Субсидия_факт!FP30</f>
        <v>329409.48</v>
      </c>
      <c r="NB32" s="1050">
        <f t="shared" ref="NB32:NB33" si="352">SUM(NC32:NI32)</f>
        <v>445147.94999999995</v>
      </c>
      <c r="NC32" s="866"/>
      <c r="ND32" s="863"/>
      <c r="NE32" s="866"/>
      <c r="NF32" s="890"/>
      <c r="NG32" s="866"/>
      <c r="NH32" s="866">
        <f>MZ32</f>
        <v>115738.47</v>
      </c>
      <c r="NI32" s="863">
        <f t="shared" ref="NI32" si="353">NA32</f>
        <v>329409.48</v>
      </c>
      <c r="NJ32" s="1050">
        <f t="shared" ref="NJ32:NJ33" si="354">SUM(NK32:NL32)</f>
        <v>0</v>
      </c>
      <c r="NK32" s="862"/>
      <c r="NL32" s="889"/>
      <c r="NM32" s="1050">
        <f t="shared" ref="NM32:NM33" si="355">SUM(NN32:NO32)</f>
        <v>0</v>
      </c>
      <c r="NN32" s="885"/>
      <c r="NO32" s="863"/>
      <c r="NP32" s="879">
        <f t="shared" ref="NP32:NP33" si="356">SUM(NQ32:NR32)</f>
        <v>0</v>
      </c>
      <c r="NQ32" s="862"/>
      <c r="NR32" s="863"/>
      <c r="NS32" s="879">
        <f t="shared" ref="NS32:NS33" si="357">SUM(NT32:NU32)</f>
        <v>0</v>
      </c>
      <c r="NT32" s="866"/>
      <c r="NU32" s="894"/>
      <c r="NV32" s="879">
        <f t="shared" ref="NV32:NV33" si="358">SUM(NW32:NX32)</f>
        <v>0</v>
      </c>
      <c r="NW32" s="862"/>
      <c r="NX32" s="889"/>
      <c r="NY32" s="879">
        <f t="shared" ref="NY32:NY33" si="359">SUM(NZ32:OA32)</f>
        <v>0</v>
      </c>
      <c r="NZ32" s="866"/>
      <c r="OA32" s="863"/>
      <c r="OB32" s="1371">
        <f t="shared" ref="OB32:OB33" si="360">SUM(OC32:OE32)</f>
        <v>0</v>
      </c>
      <c r="OC32" s="862">
        <f>[1]Субсидия_факт!AR30</f>
        <v>0</v>
      </c>
      <c r="OD32" s="889">
        <f>[1]Субсидия_факт!AT30</f>
        <v>0</v>
      </c>
      <c r="OE32" s="866">
        <f>[1]Субсидия_факт!AV30</f>
        <v>0</v>
      </c>
      <c r="OF32" s="1050">
        <f t="shared" ref="OF32:OF33" si="361">SUM(OG32:OI32)</f>
        <v>0</v>
      </c>
      <c r="OG32" s="866"/>
      <c r="OH32" s="863"/>
      <c r="OI32" s="866"/>
      <c r="OJ32" s="1376">
        <f t="shared" ref="OJ32:OJ33" si="362">SUM(OK32:OM32)</f>
        <v>50526316.18</v>
      </c>
      <c r="OK32" s="859">
        <f>[1]Субсидия_факт!GD30</f>
        <v>1526316.1799999997</v>
      </c>
      <c r="OL32" s="858">
        <f>[1]Субсидия_факт!GJ30</f>
        <v>29000000</v>
      </c>
      <c r="OM32" s="866">
        <f>[1]Субсидия_факт!GP30</f>
        <v>20000000</v>
      </c>
      <c r="ON32" s="1376">
        <f t="shared" ref="ON32:ON33" si="363">SUM(OO32:OQ32)</f>
        <v>30533525.939999998</v>
      </c>
      <c r="OO32" s="885">
        <v>1213354.8899999999</v>
      </c>
      <c r="OP32" s="863">
        <v>23053737.059999999</v>
      </c>
      <c r="OQ32" s="866">
        <v>6266433.9900000002</v>
      </c>
      <c r="OR32" s="1376"/>
      <c r="OS32" s="862"/>
      <c r="OT32" s="889"/>
      <c r="OU32" s="866"/>
      <c r="OV32" s="1376"/>
      <c r="OW32" s="866"/>
      <c r="OX32" s="894"/>
      <c r="OY32" s="866"/>
      <c r="OZ32" s="1386"/>
      <c r="PA32" s="885"/>
      <c r="PB32" s="863"/>
      <c r="PC32" s="866"/>
      <c r="PD32" s="1386"/>
      <c r="PE32" s="885"/>
      <c r="PF32" s="863"/>
      <c r="PG32" s="866"/>
      <c r="PH32" s="1386"/>
      <c r="PI32" s="862"/>
      <c r="PJ32" s="889"/>
      <c r="PK32" s="862"/>
      <c r="PL32" s="1386"/>
      <c r="PM32" s="885"/>
      <c r="PN32" s="863"/>
      <c r="PO32" s="862"/>
      <c r="PP32" s="1050"/>
      <c r="PQ32" s="885"/>
      <c r="PR32" s="863"/>
      <c r="PS32" s="885"/>
      <c r="PT32" s="863"/>
      <c r="PU32" s="1050"/>
      <c r="PV32" s="866"/>
      <c r="PW32" s="890"/>
      <c r="PX32" s="866"/>
      <c r="PY32" s="890"/>
      <c r="PZ32" s="1050"/>
      <c r="QA32" s="885"/>
      <c r="QB32" s="863"/>
      <c r="QC32" s="1050"/>
      <c r="QD32" s="866"/>
      <c r="QE32" s="890"/>
      <c r="QF32" s="879"/>
      <c r="QG32" s="866"/>
      <c r="QH32" s="863"/>
      <c r="QI32" s="879"/>
      <c r="QJ32" s="866"/>
      <c r="QK32" s="863"/>
      <c r="QL32" s="879"/>
      <c r="QM32" s="862"/>
      <c r="QN32" s="863"/>
      <c r="QO32" s="879"/>
      <c r="QP32" s="866"/>
      <c r="QQ32" s="890"/>
      <c r="QR32" s="897">
        <f t="shared" ref="QR32:QR33" si="364">SUM(QS32:QT32)</f>
        <v>0</v>
      </c>
      <c r="QS32" s="862">
        <f>[1]Субсидия_факт!CV30</f>
        <v>0</v>
      </c>
      <c r="QT32" s="863">
        <f>[1]Субсидия_факт!CX30</f>
        <v>0</v>
      </c>
      <c r="QU32" s="1050">
        <f t="shared" ref="QU32:QU33" si="365">SUM(QV32:QW32)</f>
        <v>0</v>
      </c>
      <c r="QV32" s="866"/>
      <c r="QW32" s="890"/>
      <c r="QX32" s="897">
        <f t="shared" ref="QX32:QX33" si="366">SUM(QY32:QZ32)</f>
        <v>0</v>
      </c>
      <c r="QY32" s="862">
        <f>[1]Субсидия_факт!CZ30</f>
        <v>0</v>
      </c>
      <c r="QZ32" s="863">
        <f>[1]Субсидия_факт!DF30</f>
        <v>0</v>
      </c>
      <c r="RA32" s="1050">
        <f t="shared" ref="RA32:RA33" si="367">SUM(RB32:RC32)</f>
        <v>0</v>
      </c>
      <c r="RB32" s="866"/>
      <c r="RC32" s="890"/>
      <c r="RD32" s="897">
        <f t="shared" ref="RD32:RD33" si="368">SUM(RE32:RF32)</f>
        <v>0</v>
      </c>
      <c r="RE32" s="862"/>
      <c r="RF32" s="863"/>
      <c r="RG32" s="1050">
        <f t="shared" ref="RG32:RG33" si="369">SUM(RH32:RI32)</f>
        <v>0</v>
      </c>
      <c r="RH32" s="866"/>
      <c r="RI32" s="890"/>
      <c r="RJ32" s="1373">
        <f t="shared" ref="RJ32:RJ33" si="370">SUM(RK32:RL32)</f>
        <v>0</v>
      </c>
      <c r="RK32" s="862"/>
      <c r="RL32" s="863"/>
      <c r="RM32" s="879">
        <f t="shared" ref="RM32:RM33" si="371">SUM(RN32:RO32)</f>
        <v>0</v>
      </c>
      <c r="RN32" s="866"/>
      <c r="RO32" s="890"/>
      <c r="RP32" s="1373">
        <f t="shared" ref="RP32:RP33" si="372">SUM(RQ32:RR32)</f>
        <v>0</v>
      </c>
      <c r="RQ32" s="862"/>
      <c r="RR32" s="863"/>
      <c r="RS32" s="879">
        <f t="shared" ref="RS32:RS33" si="373">SUM(RT32:RU32)</f>
        <v>0</v>
      </c>
      <c r="RT32" s="866"/>
      <c r="RU32" s="890"/>
      <c r="RV32" s="897">
        <f t="shared" ref="RV32:RV33" si="374">SUM(RW32:RX32)</f>
        <v>0</v>
      </c>
      <c r="RW32" s="862">
        <f>[1]Субсидия_факт!DL30</f>
        <v>0</v>
      </c>
      <c r="RX32" s="863">
        <f>[1]Субсидия_факт!DN30</f>
        <v>0</v>
      </c>
      <c r="RY32" s="1050">
        <f t="shared" ref="RY32:RY33" si="375">SUM(RZ32:SA32)</f>
        <v>0</v>
      </c>
      <c r="RZ32" s="885"/>
      <c r="SA32" s="889"/>
      <c r="SB32" s="1050">
        <f t="shared" ref="SB32:SB33" si="376">SUM(SC32:SE32)</f>
        <v>199370487.68000001</v>
      </c>
      <c r="SC32" s="866">
        <f>[1]Субсидия_факт!BJ30</f>
        <v>63250622.82</v>
      </c>
      <c r="SD32" s="862">
        <f>[1]Субсидия_факт!BF30</f>
        <v>35391164.860000014</v>
      </c>
      <c r="SE32" s="863">
        <f>[1]Субсидия_факт!BH30</f>
        <v>100728700</v>
      </c>
      <c r="SF32" s="1050">
        <f t="shared" ref="SF32:SF33" si="377">SUM(SG32:SI32)</f>
        <v>188900552.38999999</v>
      </c>
      <c r="SG32" s="866">
        <v>52780687.530000001</v>
      </c>
      <c r="SH32" s="885">
        <v>35391164.859999999</v>
      </c>
      <c r="SI32" s="889">
        <v>100728700</v>
      </c>
      <c r="SJ32" s="897">
        <f t="shared" ref="SJ32:SJ33" si="378">SUM(SK32:SL32)</f>
        <v>0</v>
      </c>
      <c r="SK32" s="862">
        <f>[1]Субсидия_факт!AD30</f>
        <v>0</v>
      </c>
      <c r="SL32" s="863">
        <f>[1]Субсидия_факт!AF30</f>
        <v>0</v>
      </c>
      <c r="SM32" s="1050">
        <f t="shared" ref="SM32:SM33" si="379">SUM(SN32:SO32)</f>
        <v>0</v>
      </c>
      <c r="SN32" s="885"/>
      <c r="SO32" s="889"/>
      <c r="SP32" s="1050">
        <f t="shared" ref="SP32:SP33" si="380">SUM(SQ32:SV32)</f>
        <v>0</v>
      </c>
      <c r="SQ32" s="885"/>
      <c r="SR32" s="863"/>
      <c r="SS32" s="885">
        <f>[1]Субсидия_факт!IP30</f>
        <v>0</v>
      </c>
      <c r="ST32" s="863">
        <f>[1]Субсидия_факт!IV30</f>
        <v>0</v>
      </c>
      <c r="SU32" s="1439">
        <f>[1]Субсидия_факт!JZ30</f>
        <v>0</v>
      </c>
      <c r="SV32" s="863">
        <f>[1]Субсидия_факт!KF30</f>
        <v>0</v>
      </c>
      <c r="SW32" s="1050">
        <f t="shared" ref="SW32:SW33" si="381">SUM(SX32:TC32)</f>
        <v>0</v>
      </c>
      <c r="SX32" s="1123"/>
      <c r="SY32" s="890"/>
      <c r="SZ32" s="1123"/>
      <c r="TA32" s="890"/>
      <c r="TB32" s="1123"/>
      <c r="TC32" s="889"/>
      <c r="TD32" s="1050"/>
      <c r="TE32" s="885"/>
      <c r="TF32" s="863"/>
      <c r="TG32" s="1123"/>
      <c r="TH32" s="890"/>
      <c r="TI32" s="885"/>
      <c r="TJ32" s="863"/>
      <c r="TK32" s="1050"/>
      <c r="TL32" s="866"/>
      <c r="TM32" s="890"/>
      <c r="TN32" s="1123"/>
      <c r="TO32" s="890"/>
      <c r="TP32" s="866"/>
      <c r="TQ32" s="890"/>
      <c r="TR32" s="879"/>
      <c r="TS32" s="862"/>
      <c r="TT32" s="863"/>
      <c r="TU32" s="862"/>
      <c r="TV32" s="863"/>
      <c r="TW32" s="885"/>
      <c r="TX32" s="863"/>
      <c r="TY32" s="879"/>
      <c r="TZ32" s="862"/>
      <c r="UA32" s="863"/>
      <c r="UB32" s="862"/>
      <c r="UC32" s="863"/>
      <c r="UD32" s="885"/>
      <c r="UE32" s="863"/>
      <c r="UF32" s="879"/>
      <c r="UG32" s="862"/>
      <c r="UH32" s="863"/>
      <c r="UI32" s="1123"/>
      <c r="UJ32" s="890"/>
      <c r="UK32" s="885"/>
      <c r="UL32" s="863"/>
      <c r="UM32" s="879"/>
      <c r="UN32" s="1123"/>
      <c r="UO32" s="890"/>
      <c r="UP32" s="1123"/>
      <c r="UQ32" s="890"/>
      <c r="UR32" s="1123"/>
      <c r="US32" s="890"/>
      <c r="UT32" s="1050">
        <f>'Прочая  субсидия_МР  и  ГО'!B28</f>
        <v>80585795.650000006</v>
      </c>
      <c r="UU32" s="1050">
        <f>'Прочая  субсидия_МР  и  ГО'!C28</f>
        <v>45948155.470000006</v>
      </c>
      <c r="UV32" s="1050"/>
      <c r="UW32" s="1050"/>
      <c r="UX32" s="1440"/>
      <c r="UY32" s="1051"/>
      <c r="UZ32" s="1440"/>
      <c r="VA32" s="1051"/>
      <c r="VB32" s="1050">
        <f t="shared" ref="VB32:VB33" si="382">SUM(VC32:VD32)</f>
        <v>1285126093.6099999</v>
      </c>
      <c r="VC32" s="866">
        <f>'Проверочная  таблица'!WE32+'Проверочная  таблица'!VH32+'Проверочная  таблица'!VJ32+VY32</f>
        <v>1245713396.8999999</v>
      </c>
      <c r="VD32" s="866">
        <f>'Проверочная  таблица'!WF32+'Проверочная  таблица'!VN32+'Проверочная  таблица'!VT32+'Проверочная  таблица'!VP32+'Проверочная  таблица'!VR32+VV32+VZ32</f>
        <v>39412696.710000001</v>
      </c>
      <c r="VE32" s="1050">
        <f t="shared" ref="VE32:VE33" si="383">SUM(VF32:VG32)</f>
        <v>886032015.12</v>
      </c>
      <c r="VF32" s="866">
        <f>'Проверочная  таблица'!WH32+'Проверочная  таблица'!VI32+'Проверочная  таблица'!VK32+WB32</f>
        <v>858980550.84000003</v>
      </c>
      <c r="VG32" s="1441">
        <f>'Проверочная  таблица'!WI32+'Проверочная  таблица'!VO32+'Проверочная  таблица'!VU32+'Проверочная  таблица'!VQ32+'Проверочная  таблица'!VS32+VW32+WC32</f>
        <v>27051464.280000001</v>
      </c>
      <c r="VH32" s="1050">
        <f>'Субвенция  на  полномочия'!B27</f>
        <v>1193223445.7499998</v>
      </c>
      <c r="VI32" s="1050">
        <f>'Субвенция  на  полномочия'!C27</f>
        <v>821297242.35000002</v>
      </c>
      <c r="VJ32" s="886">
        <f>[1]Субвенция_факт!M29*1000</f>
        <v>36070025</v>
      </c>
      <c r="VK32" s="892">
        <v>26000000</v>
      </c>
      <c r="VL32" s="886"/>
      <c r="VM32" s="892"/>
      <c r="VN32" s="886"/>
      <c r="VO32" s="892"/>
      <c r="VP32" s="1396">
        <f>[1]Субвенция_факт!AG29*1000</f>
        <v>0</v>
      </c>
      <c r="VQ32" s="893"/>
      <c r="VR32" s="888">
        <f>[1]Субвенция_факт!E29*1000</f>
        <v>0</v>
      </c>
      <c r="VS32" s="893"/>
      <c r="VT32" s="888">
        <f>[1]Субвенция_факт!F29*1000</f>
        <v>0</v>
      </c>
      <c r="VU32" s="893"/>
      <c r="VV32" s="887">
        <f>[1]Субвенция_факт!G29*1000</f>
        <v>1567098.0000000002</v>
      </c>
      <c r="VW32" s="892">
        <v>1567098</v>
      </c>
      <c r="VX32" s="1050">
        <f t="shared" ref="VX32:VX33" si="384">SUM(VY32:VZ32)</f>
        <v>49635944.200000003</v>
      </c>
      <c r="VY32" s="862">
        <f>[1]Субвенция_факт!P29*1000</f>
        <v>12905345.490000002</v>
      </c>
      <c r="VZ32" s="863">
        <f>[1]Субвенция_факт!Q29*1000</f>
        <v>36730598.710000001</v>
      </c>
      <c r="WA32" s="1050">
        <f t="shared" ref="WA32:WA33" si="385">SUM(WB32:WC32)</f>
        <v>33201186.490000002</v>
      </c>
      <c r="WB32" s="866">
        <v>8632308.4900000002</v>
      </c>
      <c r="WC32" s="894">
        <v>24568878</v>
      </c>
      <c r="WD32" s="1050">
        <f t="shared" ref="WD32:WD33" si="386">SUM(WE32:WF32)</f>
        <v>4629580.66</v>
      </c>
      <c r="WE32" s="895">
        <f>[1]Субвенция_факт!X29*1000</f>
        <v>3514580.66</v>
      </c>
      <c r="WF32" s="896">
        <f>[1]Субвенция_факт!W29*1000</f>
        <v>1115000</v>
      </c>
      <c r="WG32" s="1050">
        <f t="shared" ref="WG32:WG33" si="387">SUM(WH32:WI32)</f>
        <v>3966488.2800000003</v>
      </c>
      <c r="WH32" s="866">
        <v>3051000</v>
      </c>
      <c r="WI32" s="894">
        <v>915488.28</v>
      </c>
      <c r="WJ32" s="897">
        <f t="shared" ref="WJ32:WJ33" si="388">WR32+WX32+XD32+XJ32+XN32+XV32+YR32+WL32</f>
        <v>585792055.35000014</v>
      </c>
      <c r="WK32" s="1050">
        <f t="shared" ref="WK32:WK33" si="389">WU32+XA32+XG32+XL32+XP32+YG32+YX32+WO32</f>
        <v>260583952.64000005</v>
      </c>
      <c r="WL32" s="1050">
        <f t="shared" ref="WL32:WL33" si="390">SUM(WM32:WN32)</f>
        <v>0</v>
      </c>
      <c r="WM32" s="895"/>
      <c r="WN32" s="896">
        <f>'[1]Иные межбюджетные трансферты'!I30</f>
        <v>0</v>
      </c>
      <c r="WO32" s="1050">
        <f>SUM(WP32:WQ32)</f>
        <v>0</v>
      </c>
      <c r="WP32" s="895"/>
      <c r="WQ32" s="896"/>
      <c r="WR32" s="1050">
        <f t="shared" ref="WR32:WR33" si="391">SUM(WS32:WT32)</f>
        <v>96014740</v>
      </c>
      <c r="WS32" s="895">
        <f>'[1]Иные межбюджетные трансферты'!AQ30</f>
        <v>4800739.34</v>
      </c>
      <c r="WT32" s="896">
        <f>'[1]Иные межбюджетные трансферты'!AS30</f>
        <v>91214000.659999996</v>
      </c>
      <c r="WU32" s="1050">
        <f>SUM(WV32:WW32)</f>
        <v>15963290.640000001</v>
      </c>
      <c r="WV32" s="895">
        <v>798164.93</v>
      </c>
      <c r="WW32" s="896">
        <v>15165125.710000001</v>
      </c>
      <c r="WX32" s="1050">
        <f t="shared" ref="WX32:WX33" si="392">SUM(WY32:WZ32)</f>
        <v>3235429.67</v>
      </c>
      <c r="WY32" s="895">
        <f>'[1]Иные межбюджетные трансферты'!AM30</f>
        <v>161771.49</v>
      </c>
      <c r="WZ32" s="896">
        <f>'[1]Иные межбюджетные трансферты'!AO30</f>
        <v>3073658.1799999997</v>
      </c>
      <c r="XA32" s="1050">
        <f>SUM(XB32:XC32)</f>
        <v>2516444.91</v>
      </c>
      <c r="XB32" s="895">
        <v>125822.25</v>
      </c>
      <c r="XC32" s="896">
        <v>2390622.66</v>
      </c>
      <c r="XD32" s="1050">
        <f t="shared" ref="XD32:XD33" si="393">SUM(XE32:XF32)</f>
        <v>70083200</v>
      </c>
      <c r="XE32" s="895">
        <f>'[1]Иные межбюджетные трансферты'!K30</f>
        <v>32352960</v>
      </c>
      <c r="XF32" s="896">
        <f>'[1]Иные межбюджетные трансферты'!M30</f>
        <v>37730240</v>
      </c>
      <c r="XG32" s="1050">
        <f>SUM(XH32:XI32)</f>
        <v>37730240</v>
      </c>
      <c r="XH32" s="895"/>
      <c r="XI32" s="896">
        <v>37730240</v>
      </c>
      <c r="XJ32" s="1391">
        <f>SUM(XK32:XK32)</f>
        <v>0</v>
      </c>
      <c r="XK32" s="885">
        <f>'[1]Иные межбюджетные трансферты'!O30</f>
        <v>0</v>
      </c>
      <c r="XL32" s="1050">
        <f>SUM(XM32:XM32)</f>
        <v>0</v>
      </c>
      <c r="XM32" s="891"/>
      <c r="XN32" s="1050">
        <f>SUM(XO32:XO32)</f>
        <v>0</v>
      </c>
      <c r="XO32" s="891"/>
      <c r="XP32" s="1050">
        <f>SUM(XQ32:XQ32)</f>
        <v>0</v>
      </c>
      <c r="XQ32" s="891"/>
      <c r="XR32" s="879"/>
      <c r="XS32" s="879"/>
      <c r="XT32" s="879"/>
      <c r="XU32" s="879"/>
      <c r="XV32" s="1050">
        <f t="shared" ref="XV32:XV33" si="394">SUM(XW32:YF32)</f>
        <v>416458685.68000007</v>
      </c>
      <c r="XW32" s="895">
        <f>'[1]Иные межбюджетные трансферты'!E30</f>
        <v>335640263.04000002</v>
      </c>
      <c r="XX32" s="882">
        <f>'[1]Иные межбюджетные трансферты'!G30</f>
        <v>29584308</v>
      </c>
      <c r="XY32" s="882">
        <f>'[1]Иные межбюджетные трансферты'!S30</f>
        <v>0</v>
      </c>
      <c r="XZ32" s="883">
        <f>'[1]Иные межбюджетные трансферты'!Y30</f>
        <v>0</v>
      </c>
      <c r="YA32" s="882">
        <f>'[1]Иные межбюджетные трансферты'!AA30</f>
        <v>0</v>
      </c>
      <c r="YB32" s="882">
        <f>'[1]Иные межбюджетные трансферты'!AG30</f>
        <v>28808010</v>
      </c>
      <c r="YC32" s="882">
        <f>'[1]Иные межбюджетные трансферты'!AU30</f>
        <v>4968497.47</v>
      </c>
      <c r="YD32" s="862">
        <f>'[1]Иные межбюджетные трансферты'!BA30</f>
        <v>7062103.370000001</v>
      </c>
      <c r="YE32" s="882">
        <f>'[1]Иные межбюджетные трансферты'!BC30</f>
        <v>0</v>
      </c>
      <c r="YF32" s="1275">
        <f>'[1]Иные межбюджетные трансферты'!BE30</f>
        <v>10395503.800000001</v>
      </c>
      <c r="YG32" s="1050">
        <f t="shared" ref="YG32:YG33" si="395">SUM(YH32:YQ32)</f>
        <v>204373977.09000003</v>
      </c>
      <c r="YH32" s="882">
        <v>176246821.08000001</v>
      </c>
      <c r="YI32" s="882">
        <v>11367279.060000001</v>
      </c>
      <c r="YJ32" s="859"/>
      <c r="YK32" s="882"/>
      <c r="YL32" s="882"/>
      <c r="YM32" s="882">
        <v>6364373.1500000004</v>
      </c>
      <c r="YN32" s="882"/>
      <c r="YO32" s="882"/>
      <c r="YP32" s="882"/>
      <c r="YQ32" s="882">
        <v>10395503.800000001</v>
      </c>
      <c r="YR32" s="1050">
        <f>SUM(YS32:YW32)</f>
        <v>0</v>
      </c>
      <c r="YS32" s="882"/>
      <c r="YT32" s="882"/>
      <c r="YU32" s="882"/>
      <c r="YV32" s="882"/>
      <c r="YW32" s="851"/>
      <c r="YX32" s="1050">
        <f>SUM(YY32:ZC32)</f>
        <v>0</v>
      </c>
      <c r="YY32" s="850"/>
      <c r="YZ32" s="850"/>
      <c r="ZA32" s="850"/>
      <c r="ZB32" s="882"/>
      <c r="ZC32" s="851"/>
      <c r="ZD32" s="879">
        <f>SUM(ZE32:ZI32)</f>
        <v>0</v>
      </c>
      <c r="ZE32" s="859">
        <f>'Проверочная  таблица'!YS32-ZQ32</f>
        <v>0</v>
      </c>
      <c r="ZF32" s="859">
        <f>'Проверочная  таблица'!YT32-ZR32</f>
        <v>0</v>
      </c>
      <c r="ZG32" s="859">
        <f>'Проверочная  таблица'!YU32-ZS32</f>
        <v>0</v>
      </c>
      <c r="ZH32" s="859">
        <f>'Проверочная  таблица'!YV32-ZT32</f>
        <v>0</v>
      </c>
      <c r="ZI32" s="859">
        <f>'Проверочная  таблица'!YW32-ZU32</f>
        <v>0</v>
      </c>
      <c r="ZJ32" s="879">
        <f>SUM(ZK32:ZO32)</f>
        <v>0</v>
      </c>
      <c r="ZK32" s="859">
        <f>'Проверочная  таблица'!YY32-ZW32</f>
        <v>0</v>
      </c>
      <c r="ZL32" s="859">
        <f>'Проверочная  таблица'!YZ32-ZX32</f>
        <v>0</v>
      </c>
      <c r="ZM32" s="859">
        <f>'Проверочная  таблица'!ZA32-ZY32</f>
        <v>0</v>
      </c>
      <c r="ZN32" s="859">
        <f>'Проверочная  таблица'!ZB32-ZZ32</f>
        <v>0</v>
      </c>
      <c r="ZO32" s="859">
        <f>'Проверочная  таблица'!ZC32-AAA32</f>
        <v>0</v>
      </c>
      <c r="ZP32" s="879">
        <f>SUM(ZQ32:ZU32)</f>
        <v>0</v>
      </c>
      <c r="ZQ32" s="882"/>
      <c r="ZR32" s="882"/>
      <c r="ZS32" s="882"/>
      <c r="ZT32" s="882"/>
      <c r="ZU32" s="851"/>
      <c r="ZV32" s="879">
        <f>SUM(ZW32:AAA32)</f>
        <v>0</v>
      </c>
      <c r="ZW32" s="850"/>
      <c r="ZX32" s="850"/>
      <c r="ZY32" s="850"/>
      <c r="ZZ32" s="882"/>
      <c r="AAA32" s="851"/>
      <c r="AAB32" s="1050">
        <f>AAD32+'Проверочная  таблица'!AAL32+AAH32+'Проверочная  таблица'!AAP32+AAJ32+'Проверочная  таблица'!AAR32</f>
        <v>-85900000.159999996</v>
      </c>
      <c r="AAC32" s="1050">
        <f>AAE32+'Проверочная  таблица'!AAM32+AAI32+'Проверочная  таблица'!AAQ32+AAK32+'Проверочная  таблица'!AAS32</f>
        <v>0</v>
      </c>
      <c r="AAD32" s="1050"/>
      <c r="AAE32" s="1050"/>
      <c r="AAF32" s="1050"/>
      <c r="AAG32" s="1050"/>
      <c r="AAH32" s="905"/>
      <c r="AAI32" s="905"/>
      <c r="AAJ32" s="905"/>
      <c r="AAK32" s="905"/>
      <c r="AAL32" s="1050">
        <v>-85900000.159999996</v>
      </c>
      <c r="AAM32" s="1050"/>
      <c r="AAN32" s="1050"/>
      <c r="AAO32" s="1050"/>
      <c r="AAP32" s="905"/>
      <c r="AAQ32" s="905"/>
      <c r="AAR32" s="905"/>
      <c r="AAS32" s="905"/>
      <c r="AAT32" s="1384">
        <f>'Проверочная  таблица'!AAL32+'Проверочная  таблица'!AAN32</f>
        <v>-85900000.159999996</v>
      </c>
      <c r="AAU32" s="1384">
        <f>'Проверочная  таблица'!AAM32+'Проверочная  таблица'!AAO32</f>
        <v>0</v>
      </c>
    </row>
    <row r="33" spans="1:723" ht="20.45" customHeight="1" thickBot="1" x14ac:dyDescent="0.3">
      <c r="A33" s="1002" t="s">
        <v>1300</v>
      </c>
      <c r="B33" s="897">
        <f>D33+AN33+'Проверочная  таблица'!VB33+'Проверочная  таблица'!WJ33</f>
        <v>20276330405.049999</v>
      </c>
      <c r="C33" s="1050">
        <f>E33+'Проверочная  таблица'!VE33+AO33+'Проверочная  таблица'!WK33</f>
        <v>13304497969.729998</v>
      </c>
      <c r="D33" s="1371">
        <f>F33+P33+N33+V33+AD33+H33</f>
        <v>3974840175.3000002</v>
      </c>
      <c r="E33" s="897">
        <f>G33+Q33+O33+Z33+AG33+I33</f>
        <v>2690990356</v>
      </c>
      <c r="F33" s="1376">
        <f>'[1]Дотация  из  ОБ_факт'!M29</f>
        <v>867300861.29999995</v>
      </c>
      <c r="G33" s="1385">
        <v>792240356</v>
      </c>
      <c r="H33" s="1442">
        <f>'[1]Дотация  из  ОБ_факт'!G29</f>
        <v>0</v>
      </c>
      <c r="I33" s="1385"/>
      <c r="J33" s="1386">
        <f>H33-L33</f>
        <v>0</v>
      </c>
      <c r="K33" s="1387">
        <f>I33-M33</f>
        <v>0</v>
      </c>
      <c r="L33" s="1443">
        <f>'[1]Дотация  из  ОБ_факт'!K29</f>
        <v>0</v>
      </c>
      <c r="M33" s="881"/>
      <c r="N33" s="1442">
        <f>'[1]Дотация  из  ОБ_факт'!Q29</f>
        <v>3106539314.0000005</v>
      </c>
      <c r="O33" s="1385">
        <v>1898750000</v>
      </c>
      <c r="P33" s="1376">
        <f>'[1]Дотация  из  ОБ_факт'!S29</f>
        <v>0</v>
      </c>
      <c r="Q33" s="1385"/>
      <c r="R33" s="1443">
        <f>P33-T33</f>
        <v>0</v>
      </c>
      <c r="S33" s="1387">
        <f>Q33-U33</f>
        <v>0</v>
      </c>
      <c r="T33" s="1386">
        <f>'[1]Дотация  из  ОБ_факт'!W29</f>
        <v>0</v>
      </c>
      <c r="U33" s="881"/>
      <c r="V33" s="1054">
        <f>SUM(W33:Y33)</f>
        <v>1000000</v>
      </c>
      <c r="W33" s="1388">
        <f>'[1]Дотация  из  ОБ_факт'!AA29</f>
        <v>0</v>
      </c>
      <c r="X33" s="1389">
        <f>'[1]Дотация  из  ОБ_факт'!AC29</f>
        <v>1000000</v>
      </c>
      <c r="Y33" s="1389">
        <f>'[1]Дотация  из  ОБ_факт'!AG29</f>
        <v>0</v>
      </c>
      <c r="Z33" s="1054">
        <f>SUM(AA33:AC33)</f>
        <v>0</v>
      </c>
      <c r="AA33" s="1055">
        <f t="shared" si="291"/>
        <v>0</v>
      </c>
      <c r="AB33" s="848"/>
      <c r="AC33" s="1216"/>
      <c r="AD33" s="886">
        <f>SUM(AE33:AF33)</f>
        <v>0</v>
      </c>
      <c r="AE33" s="883"/>
      <c r="AF33" s="934"/>
      <c r="AG33" s="886">
        <f>SUM(AH33:AI33)</f>
        <v>0</v>
      </c>
      <c r="AH33" s="883"/>
      <c r="AI33" s="934"/>
      <c r="AJ33" s="1386">
        <f>AD33-AL33</f>
        <v>0</v>
      </c>
      <c r="AK33" s="1387">
        <f>AG33-AM33</f>
        <v>0</v>
      </c>
      <c r="AL33" s="1386">
        <f>'[1]Дотация  из  ОБ_факт'!AE29</f>
        <v>0</v>
      </c>
      <c r="AM33" s="884"/>
      <c r="AN33" s="1012">
        <f>'Проверочная  таблица'!UT33+'Проверочная  таблица'!UV33+BL33+BN33+BZ33+CB33+AZ33+BD33+'Проверочная  таблица'!MT33+'Проверочная  таблица'!NJ33+'Проверочная  таблица'!DT33+'Проверочная  таблица'!OB33+DL33+'Проверочная  таблица'!JJ33+'Проверочная  таблица'!JP33+'Проверочная  таблица'!OJ33+'Проверочная  таблица'!OR33+JD33+AP33+AV33+ET33+EZ33+CN33+SP33+DZ33+TD33+PZ33+EF33+EN33+LN33+LV33+SJ33+GN33+RV33+QX33+KH33+KR33+RD33+SB33+CH33+QR33+HD33+FX33+HJ33+HP33+FR33+DB33+PP33+BT33+IH33+IX33+GV33+GD33+IN33</f>
        <v>7960852459.9199991</v>
      </c>
      <c r="AO33" s="1013">
        <f>'Проверочная  таблица'!UU33+'Проверочная  таблица'!UW33+BM33+BO33+CA33+CC33+BB33+BF33+'Проверочная  таблица'!NB33+'Проверочная  таблица'!NM33+'Проверочная  таблица'!DW33+'Проверочная  таблица'!OF33+DP33+'Проверочная  таблица'!JM33+'Проверочная  таблица'!JS33+'Проверочная  таблица'!ON33+'Проверочная  таблица'!OV33+JG33+AS33+AX33+EW33+FC33+CU33+SW33+EC33+TK33+QC33+EJ33+EQ33+LR33+LZ33+SM33+GR33+RY33+RA33+KM33+KW33+RG33+SF33+CK33+QU33+HG33+GA33+HM33+HS33+FU33+DE33+PU33+BW33+IK33+JA33+GX33+GG33+IQ33</f>
        <v>4615268908.6699991</v>
      </c>
      <c r="AP33" s="1003">
        <f>SUM(AQ33:AR33)</f>
        <v>18900000</v>
      </c>
      <c r="AQ33" s="885">
        <f>[1]Субсидия_факт!HV31</f>
        <v>0</v>
      </c>
      <c r="AR33" s="866">
        <f>[1]Субсидия_факт!MR31</f>
        <v>18900000</v>
      </c>
      <c r="AS33" s="1003">
        <f>SUM(AT33:AU33)</f>
        <v>0</v>
      </c>
      <c r="AT33" s="859"/>
      <c r="AU33" s="908"/>
      <c r="AV33" s="1013"/>
      <c r="AW33" s="850"/>
      <c r="AX33" s="1003"/>
      <c r="AY33" s="850"/>
      <c r="AZ33" s="1050">
        <f>SUM(BA33:BA33)</f>
        <v>17640000</v>
      </c>
      <c r="BA33" s="866">
        <f>[1]Субсидия_факт!KZ31</f>
        <v>17640000</v>
      </c>
      <c r="BB33" s="1050">
        <f>SUM(BC33:BC33)</f>
        <v>0</v>
      </c>
      <c r="BC33" s="850"/>
      <c r="BD33" s="1003"/>
      <c r="BE33" s="859"/>
      <c r="BF33" s="1003"/>
      <c r="BG33" s="850"/>
      <c r="BH33" s="1369"/>
      <c r="BI33" s="878"/>
      <c r="BJ33" s="1368"/>
      <c r="BK33" s="1369"/>
      <c r="BL33" s="897">
        <f>[1]Субсидия_факт!GV31</f>
        <v>0</v>
      </c>
      <c r="BM33" s="1052"/>
      <c r="BN33" s="1360"/>
      <c r="BO33" s="1053"/>
      <c r="BP33" s="878"/>
      <c r="BQ33" s="1368"/>
      <c r="BR33" s="878"/>
      <c r="BS33" s="847"/>
      <c r="BT33" s="1013">
        <f>SUM(BU33:BV33)</f>
        <v>0</v>
      </c>
      <c r="BU33" s="862">
        <f>[1]Субсидия_факт!HL31</f>
        <v>0</v>
      </c>
      <c r="BV33" s="866">
        <f>[1]Субсидия_факт!HN31</f>
        <v>0</v>
      </c>
      <c r="BW33" s="1003">
        <f>SUM(BX33:BY33)</f>
        <v>0</v>
      </c>
      <c r="BX33" s="850"/>
      <c r="BY33" s="850"/>
      <c r="BZ33" s="1391">
        <f>[1]Субсидия_факт!HB31</f>
        <v>115116800</v>
      </c>
      <c r="CA33" s="1054"/>
      <c r="CB33" s="1012"/>
      <c r="CC33" s="1054"/>
      <c r="CD33" s="1367"/>
      <c r="CE33" s="878"/>
      <c r="CF33" s="1368"/>
      <c r="CG33" s="849"/>
      <c r="CH33" s="1013">
        <f>SUM(CI33:CJ33)</f>
        <v>0</v>
      </c>
      <c r="CI33" s="866">
        <f>[1]Субсидия_факт!HP31</f>
        <v>0</v>
      </c>
      <c r="CJ33" s="866">
        <f>[1]Субсидия_факт!HR31</f>
        <v>0</v>
      </c>
      <c r="CK33" s="1003">
        <f>SUM(CL33:CM33)</f>
        <v>0</v>
      </c>
      <c r="CL33" s="850"/>
      <c r="CM33" s="859"/>
      <c r="CN33" s="1003">
        <f>SUM(CO33:CT33)</f>
        <v>860245068.48000002</v>
      </c>
      <c r="CO33" s="859">
        <f>[1]Субсидия_факт!LR31</f>
        <v>1145900</v>
      </c>
      <c r="CP33" s="858">
        <f>[1]Субсидия_факт!LT31</f>
        <v>21770300</v>
      </c>
      <c r="CQ33" s="850">
        <f>[1]Субсидия_факт!LV31</f>
        <v>37815349</v>
      </c>
      <c r="CR33" s="858">
        <f>[1]Субсидия_факт!MB31</f>
        <v>720202200</v>
      </c>
      <c r="CS33" s="850">
        <f>[1]Субсидия_факт!MH31</f>
        <v>3965576.2799999993</v>
      </c>
      <c r="CT33" s="858">
        <f>[1]Субсидия_факт!MJ31</f>
        <v>75345743.200000003</v>
      </c>
      <c r="CU33" s="1003">
        <f>SUM(CV33:DA33)</f>
        <v>322655436.38</v>
      </c>
      <c r="CV33" s="851">
        <v>333023.57999999996</v>
      </c>
      <c r="CW33" s="858">
        <v>6326925.6400000006</v>
      </c>
      <c r="CX33" s="850">
        <v>12293952.280000001</v>
      </c>
      <c r="CY33" s="858">
        <v>233933281.38</v>
      </c>
      <c r="CZ33" s="850">
        <v>3488418.57</v>
      </c>
      <c r="DA33" s="858">
        <v>66279834.93</v>
      </c>
      <c r="DB33" s="1013"/>
      <c r="DC33" s="859"/>
      <c r="DD33" s="858"/>
      <c r="DE33" s="1003"/>
      <c r="DF33" s="859"/>
      <c r="DG33" s="860"/>
      <c r="DH33" s="1367"/>
      <c r="DI33" s="878"/>
      <c r="DJ33" s="1368"/>
      <c r="DK33" s="849"/>
      <c r="DL33" s="1050">
        <f t="shared" si="292"/>
        <v>5400000</v>
      </c>
      <c r="DM33" s="862">
        <f>[1]Субсидия_факт!R31</f>
        <v>2700000</v>
      </c>
      <c r="DN33" s="862">
        <f>[1]Субсидия_факт!T31</f>
        <v>2700000</v>
      </c>
      <c r="DO33" s="866">
        <f>[1]Субсидия_факт!V31</f>
        <v>0</v>
      </c>
      <c r="DP33" s="1050">
        <f t="shared" si="293"/>
        <v>3960000</v>
      </c>
      <c r="DQ33" s="850">
        <v>1260000</v>
      </c>
      <c r="DR33" s="902">
        <f>DN33</f>
        <v>2700000</v>
      </c>
      <c r="DS33" s="850"/>
      <c r="DT33" s="1013">
        <f t="shared" si="294"/>
        <v>0</v>
      </c>
      <c r="DU33" s="862">
        <f>[1]Субсидия_факт!AX31</f>
        <v>0</v>
      </c>
      <c r="DV33" s="863">
        <f>[1]Субсидия_факт!AZ31</f>
        <v>0</v>
      </c>
      <c r="DW33" s="1003">
        <f t="shared" si="295"/>
        <v>0</v>
      </c>
      <c r="DX33" s="851"/>
      <c r="DY33" s="858"/>
      <c r="DZ33" s="1050">
        <f>SUM(EA33:EB33)</f>
        <v>0</v>
      </c>
      <c r="EA33" s="862">
        <f>[1]Субсидия_факт!X31</f>
        <v>0</v>
      </c>
      <c r="EB33" s="863">
        <f>[1]Субсидия_факт!Z31</f>
        <v>0</v>
      </c>
      <c r="EC33" s="1050">
        <f>SUM(ED33:EE33)</f>
        <v>0</v>
      </c>
      <c r="ED33" s="859"/>
      <c r="EE33" s="860"/>
      <c r="EF33" s="1013">
        <f t="shared" si="296"/>
        <v>1207687968.96</v>
      </c>
      <c r="EG33" s="859">
        <f>[1]Субсидия_факт!AP31</f>
        <v>319132705.80000001</v>
      </c>
      <c r="EH33" s="859">
        <f>[1]Субсидия_факт!AL31</f>
        <v>44427763.159999996</v>
      </c>
      <c r="EI33" s="860">
        <f>[1]Субсидия_факт!AN31</f>
        <v>844127500</v>
      </c>
      <c r="EJ33" s="1013">
        <f t="shared" si="297"/>
        <v>759395774.06000006</v>
      </c>
      <c r="EK33" s="859">
        <v>121024.36</v>
      </c>
      <c r="EL33" s="859">
        <v>37963737.479999997</v>
      </c>
      <c r="EM33" s="860">
        <v>721311012.22000003</v>
      </c>
      <c r="EN33" s="1013">
        <f t="shared" si="298"/>
        <v>121175580</v>
      </c>
      <c r="EO33" s="859">
        <f>[1]Субсидия_факт!HH31</f>
        <v>6058780</v>
      </c>
      <c r="EP33" s="858">
        <f>[1]Субсидия_факт!HJ31</f>
        <v>115116800</v>
      </c>
      <c r="EQ33" s="1003">
        <f t="shared" si="299"/>
        <v>109618863.97</v>
      </c>
      <c r="ER33" s="859">
        <v>5480944.0999999996</v>
      </c>
      <c r="ES33" s="858">
        <v>104137919.87</v>
      </c>
      <c r="ET33" s="1013">
        <f t="shared" si="300"/>
        <v>19378391.170000002</v>
      </c>
      <c r="EU33" s="862">
        <f>[1]Субсидия_факт!PK31</f>
        <v>5058011.3800000027</v>
      </c>
      <c r="EV33" s="863">
        <f>[1]Субсидия_факт!PQ31</f>
        <v>14320379.789999999</v>
      </c>
      <c r="EW33" s="1003">
        <f>SUM(EX33:EY33)</f>
        <v>0</v>
      </c>
      <c r="EX33" s="859"/>
      <c r="EY33" s="860"/>
      <c r="EZ33" s="1013"/>
      <c r="FA33" s="859"/>
      <c r="FB33" s="858"/>
      <c r="FC33" s="1003"/>
      <c r="FD33" s="859"/>
      <c r="FE33" s="860"/>
      <c r="FF33" s="1369">
        <f t="shared" si="301"/>
        <v>0</v>
      </c>
      <c r="FG33" s="859">
        <f t="shared" si="302"/>
        <v>0</v>
      </c>
      <c r="FH33" s="858">
        <f t="shared" si="302"/>
        <v>0</v>
      </c>
      <c r="FI33" s="878">
        <f t="shared" si="303"/>
        <v>0</v>
      </c>
      <c r="FJ33" s="859">
        <f t="shared" si="304"/>
        <v>0</v>
      </c>
      <c r="FK33" s="858">
        <f t="shared" si="304"/>
        <v>0</v>
      </c>
      <c r="FL33" s="1369">
        <f t="shared" si="305"/>
        <v>0</v>
      </c>
      <c r="FM33" s="859">
        <f>[1]Субсидия_факт!PO31</f>
        <v>0</v>
      </c>
      <c r="FN33" s="858">
        <f>[1]Субсидия_факт!PU31</f>
        <v>0</v>
      </c>
      <c r="FO33" s="878">
        <f t="shared" si="306"/>
        <v>0</v>
      </c>
      <c r="FP33" s="859"/>
      <c r="FQ33" s="860"/>
      <c r="FR33" s="1013">
        <f t="shared" si="307"/>
        <v>0</v>
      </c>
      <c r="FS33" s="862">
        <f>[1]Субсидия_факт!EP31</f>
        <v>0</v>
      </c>
      <c r="FT33" s="863">
        <f>[1]Субсидия_факт!ER31</f>
        <v>0</v>
      </c>
      <c r="FU33" s="1013">
        <f t="shared" si="308"/>
        <v>0</v>
      </c>
      <c r="FV33" s="859"/>
      <c r="FW33" s="860"/>
      <c r="FX33" s="1013">
        <f t="shared" si="309"/>
        <v>0</v>
      </c>
      <c r="FY33" s="862">
        <f>[1]Субсидия_факт!JN31</f>
        <v>0</v>
      </c>
      <c r="FZ33" s="863">
        <f>[1]Субсидия_факт!JP31</f>
        <v>0</v>
      </c>
      <c r="GA33" s="1013">
        <f t="shared" si="310"/>
        <v>0</v>
      </c>
      <c r="GB33" s="859"/>
      <c r="GC33" s="860"/>
      <c r="GD33" s="1370">
        <f t="shared" si="311"/>
        <v>0</v>
      </c>
      <c r="GE33" s="859">
        <f>[1]Субсидия_факт!JR31</f>
        <v>0</v>
      </c>
      <c r="GF33" s="860">
        <f>[1]Субсидия_факт!JV31</f>
        <v>0</v>
      </c>
      <c r="GG33" s="1370">
        <f t="shared" si="312"/>
        <v>0</v>
      </c>
      <c r="GH33" s="859"/>
      <c r="GI33" s="860"/>
      <c r="GJ33" s="1373">
        <f t="shared" si="313"/>
        <v>0</v>
      </c>
      <c r="GK33" s="879">
        <f t="shared" si="314"/>
        <v>0</v>
      </c>
      <c r="GL33" s="1390">
        <f t="shared" si="315"/>
        <v>0</v>
      </c>
      <c r="GM33" s="879">
        <f t="shared" si="316"/>
        <v>0</v>
      </c>
      <c r="GN33" s="897">
        <f>SUM(GO33:GQ33)</f>
        <v>1443797808.29</v>
      </c>
      <c r="GO33" s="862">
        <f>[1]Субсидия_факт!KL31</f>
        <v>13685959.390000001</v>
      </c>
      <c r="GP33" s="863">
        <f>[1]Субсидия_факт!KN31</f>
        <v>260033228.37</v>
      </c>
      <c r="GQ33" s="862">
        <f>[1]Субсидия_факт!KP31</f>
        <v>1170078620.53</v>
      </c>
      <c r="GR33" s="897">
        <f>SUM(GS33:GU33)</f>
        <v>923634894.92999995</v>
      </c>
      <c r="GS33" s="850">
        <v>9553788.7300000004</v>
      </c>
      <c r="GT33" s="864">
        <v>181521985.75</v>
      </c>
      <c r="GU33" s="850">
        <v>732559120.44999993</v>
      </c>
      <c r="GV33" s="1372"/>
      <c r="GW33" s="850"/>
      <c r="GX33" s="1372"/>
      <c r="GY33" s="859"/>
      <c r="GZ33" s="1373">
        <f t="shared" si="317"/>
        <v>0</v>
      </c>
      <c r="HA33" s="1373">
        <f t="shared" si="318"/>
        <v>0</v>
      </c>
      <c r="HB33" s="1373">
        <f t="shared" si="319"/>
        <v>0</v>
      </c>
      <c r="HC33" s="1373">
        <f t="shared" si="320"/>
        <v>0</v>
      </c>
      <c r="HD33" s="1013">
        <f t="shared" si="321"/>
        <v>1478672773.1399999</v>
      </c>
      <c r="HE33" s="862">
        <f>[1]Субсидия_факт!KV31</f>
        <v>73933652.629999995</v>
      </c>
      <c r="HF33" s="863">
        <f>[1]Субсидия_факт!KX31</f>
        <v>1404739120.51</v>
      </c>
      <c r="HG33" s="1003">
        <f t="shared" si="322"/>
        <v>753671645.66999996</v>
      </c>
      <c r="HH33" s="850">
        <v>37683589.409999996</v>
      </c>
      <c r="HI33" s="864">
        <v>715988056.25999999</v>
      </c>
      <c r="HJ33" s="1013">
        <f t="shared" si="323"/>
        <v>7336028.1999999881</v>
      </c>
      <c r="HK33" s="862">
        <f>[1]Субсидия_факт!FV31</f>
        <v>7336028.1999999881</v>
      </c>
      <c r="HL33" s="863">
        <f>[1]Субсидия_факт!FZ31</f>
        <v>0</v>
      </c>
      <c r="HM33" s="1003">
        <f t="shared" si="324"/>
        <v>0</v>
      </c>
      <c r="HN33" s="850"/>
      <c r="HO33" s="864"/>
      <c r="HP33" s="1013">
        <f t="shared" si="325"/>
        <v>0</v>
      </c>
      <c r="HQ33" s="862"/>
      <c r="HR33" s="863"/>
      <c r="HS33" s="1003">
        <f t="shared" si="326"/>
        <v>0</v>
      </c>
      <c r="HT33" s="850"/>
      <c r="HU33" s="864"/>
      <c r="HV33" s="1369">
        <f t="shared" si="327"/>
        <v>0</v>
      </c>
      <c r="HW33" s="859">
        <f t="shared" si="328"/>
        <v>0</v>
      </c>
      <c r="HX33" s="858">
        <f t="shared" si="328"/>
        <v>0</v>
      </c>
      <c r="HY33" s="878">
        <f t="shared" si="329"/>
        <v>0</v>
      </c>
      <c r="HZ33" s="859">
        <f t="shared" si="330"/>
        <v>0</v>
      </c>
      <c r="IA33" s="858">
        <f t="shared" si="330"/>
        <v>0</v>
      </c>
      <c r="IB33" s="1369">
        <f t="shared" si="331"/>
        <v>0</v>
      </c>
      <c r="IC33" s="859"/>
      <c r="ID33" s="858"/>
      <c r="IE33" s="878">
        <f t="shared" si="332"/>
        <v>0</v>
      </c>
      <c r="IF33" s="859"/>
      <c r="IG33" s="860"/>
      <c r="IH33" s="1013">
        <f t="shared" si="333"/>
        <v>0</v>
      </c>
      <c r="II33" s="859">
        <f>[1]Субсидия_факт!ED31</f>
        <v>0</v>
      </c>
      <c r="IJ33" s="860">
        <f>[1]Субсидия_факт!EF31</f>
        <v>0</v>
      </c>
      <c r="IK33" s="1003">
        <f t="shared" si="334"/>
        <v>0</v>
      </c>
      <c r="IL33" s="850"/>
      <c r="IM33" s="864"/>
      <c r="IN33" s="1370">
        <f t="shared" si="335"/>
        <v>0</v>
      </c>
      <c r="IO33" s="859"/>
      <c r="IP33" s="860"/>
      <c r="IQ33" s="1375">
        <f t="shared" si="336"/>
        <v>0</v>
      </c>
      <c r="IR33" s="850"/>
      <c r="IS33" s="864"/>
      <c r="IT33" s="1369"/>
      <c r="IU33" s="878"/>
      <c r="IV33" s="1369"/>
      <c r="IW33" s="878"/>
      <c r="IX33" s="1013">
        <f t="shared" si="337"/>
        <v>0</v>
      </c>
      <c r="IY33" s="859">
        <f>[1]Субсидия_факт!BX31</f>
        <v>0</v>
      </c>
      <c r="IZ33" s="860">
        <f>[1]Субсидия_факт!BZ31</f>
        <v>0</v>
      </c>
      <c r="JA33" s="1003">
        <f t="shared" si="338"/>
        <v>0</v>
      </c>
      <c r="JB33" s="850"/>
      <c r="JC33" s="864"/>
      <c r="JD33" s="1013">
        <f t="shared" si="339"/>
        <v>0</v>
      </c>
      <c r="JE33" s="862">
        <f>[1]Субсидия_факт!ET31</f>
        <v>0</v>
      </c>
      <c r="JF33" s="863">
        <f>[1]Субсидия_факт!EV31</f>
        <v>0</v>
      </c>
      <c r="JG33" s="1003">
        <f t="shared" si="340"/>
        <v>0</v>
      </c>
      <c r="JH33" s="850"/>
      <c r="JI33" s="864"/>
      <c r="JJ33" s="1012">
        <f t="shared" si="341"/>
        <v>0</v>
      </c>
      <c r="JK33" s="859">
        <f>[1]Субсидия_факт!EX31</f>
        <v>0</v>
      </c>
      <c r="JL33" s="858">
        <f>[1]Субсидия_факт!FD31</f>
        <v>0</v>
      </c>
      <c r="JM33" s="1003">
        <f t="shared" si="342"/>
        <v>0</v>
      </c>
      <c r="JN33" s="859"/>
      <c r="JO33" s="860"/>
      <c r="JP33" s="1003"/>
      <c r="JQ33" s="859"/>
      <c r="JR33" s="860"/>
      <c r="JS33" s="1003"/>
      <c r="JT33" s="850"/>
      <c r="JU33" s="864"/>
      <c r="JV33" s="878"/>
      <c r="JW33" s="851"/>
      <c r="JX33" s="860"/>
      <c r="JY33" s="1368"/>
      <c r="JZ33" s="850"/>
      <c r="KA33" s="867"/>
      <c r="KB33" s="878"/>
      <c r="KC33" s="859"/>
      <c r="KD33" s="858"/>
      <c r="KE33" s="878"/>
      <c r="KF33" s="859"/>
      <c r="KG33" s="860"/>
      <c r="KH33" s="1352">
        <f t="shared" si="343"/>
        <v>7649842.8799999999</v>
      </c>
      <c r="KI33" s="850">
        <f>[1]Субсидия_факт!OD31</f>
        <v>2450510</v>
      </c>
      <c r="KJ33" s="860">
        <f>[1]Субсидия_факт!OJ31</f>
        <v>1888482.88</v>
      </c>
      <c r="KK33" s="850">
        <f>[1]Субсидия_факт!OR31</f>
        <v>1203651.8400000001</v>
      </c>
      <c r="KL33" s="860">
        <f>[1]Субсидия_факт!OT31</f>
        <v>2107198.16</v>
      </c>
      <c r="KM33" s="1352">
        <f t="shared" si="344"/>
        <v>0</v>
      </c>
      <c r="KN33" s="850"/>
      <c r="KO33" s="860"/>
      <c r="KP33" s="850"/>
      <c r="KQ33" s="860"/>
      <c r="KR33" s="1352"/>
      <c r="KS33" s="851"/>
      <c r="KT33" s="860"/>
      <c r="KU33" s="851"/>
      <c r="KV33" s="860"/>
      <c r="KW33" s="1352"/>
      <c r="KX33" s="850"/>
      <c r="KY33" s="860"/>
      <c r="KZ33" s="850"/>
      <c r="LA33" s="860"/>
      <c r="LB33" s="1354"/>
      <c r="LC33" s="851"/>
      <c r="LD33" s="860"/>
      <c r="LE33" s="1354"/>
      <c r="LF33" s="851"/>
      <c r="LG33" s="860"/>
      <c r="LH33" s="1354"/>
      <c r="LI33" s="859"/>
      <c r="LJ33" s="858"/>
      <c r="LK33" s="1354"/>
      <c r="LL33" s="851"/>
      <c r="LM33" s="860"/>
      <c r="LN33" s="1050">
        <f t="shared" si="345"/>
        <v>0</v>
      </c>
      <c r="LO33" s="865">
        <f>[1]Субсидия_факт!DP31</f>
        <v>0</v>
      </c>
      <c r="LP33" s="850">
        <f>[1]Субсидия_факт!CB31</f>
        <v>0</v>
      </c>
      <c r="LQ33" s="860">
        <f>[1]Субсидия_факт!CH31</f>
        <v>0</v>
      </c>
      <c r="LR33" s="1050">
        <f t="shared" si="346"/>
        <v>0</v>
      </c>
      <c r="LS33" s="850"/>
      <c r="LT33" s="850"/>
      <c r="LU33" s="860"/>
      <c r="LV33" s="1050"/>
      <c r="LW33" s="865"/>
      <c r="LX33" s="850"/>
      <c r="LY33" s="860"/>
      <c r="LZ33" s="1050"/>
      <c r="MA33" s="850"/>
      <c r="MB33" s="850"/>
      <c r="MC33" s="860"/>
      <c r="MD33" s="879">
        <f t="shared" si="347"/>
        <v>0</v>
      </c>
      <c r="ME33" s="850"/>
      <c r="MF33" s="850"/>
      <c r="MG33" s="860"/>
      <c r="MH33" s="879">
        <f t="shared" si="348"/>
        <v>0</v>
      </c>
      <c r="MI33" s="850"/>
      <c r="MJ33" s="850"/>
      <c r="MK33" s="864"/>
      <c r="ML33" s="879">
        <f t="shared" si="349"/>
        <v>0</v>
      </c>
      <c r="MM33" s="850"/>
      <c r="MN33" s="850"/>
      <c r="MO33" s="860"/>
      <c r="MP33" s="879">
        <f t="shared" si="350"/>
        <v>0</v>
      </c>
      <c r="MQ33" s="850"/>
      <c r="MR33" s="850"/>
      <c r="MS33" s="860"/>
      <c r="MT33" s="1360">
        <f t="shared" si="351"/>
        <v>1205637.06</v>
      </c>
      <c r="MU33" s="850">
        <f>[1]Субсидия_факт!CN31</f>
        <v>0</v>
      </c>
      <c r="MV33" s="858">
        <f>[1]Субсидия_факт!CP31</f>
        <v>0</v>
      </c>
      <c r="MW33" s="862">
        <f>[1]Субсидия_факт!CR31</f>
        <v>0</v>
      </c>
      <c r="MX33" s="863">
        <f>[1]Субсидия_факт!CT31</f>
        <v>0</v>
      </c>
      <c r="MY33" s="851">
        <f>[1]Субсидия_факт!DV31</f>
        <v>0</v>
      </c>
      <c r="MZ33" s="859">
        <f>[1]Субсидия_факт!FJ31</f>
        <v>313465.63</v>
      </c>
      <c r="NA33" s="858">
        <f>[1]Субсидия_факт!FP31</f>
        <v>892171.43</v>
      </c>
      <c r="NB33" s="1003">
        <f t="shared" si="352"/>
        <v>1205637.06</v>
      </c>
      <c r="NC33" s="850"/>
      <c r="ND33" s="860"/>
      <c r="NE33" s="850"/>
      <c r="NF33" s="864"/>
      <c r="NG33" s="850"/>
      <c r="NH33" s="866">
        <v>313465.64</v>
      </c>
      <c r="NI33" s="863">
        <v>892171.42</v>
      </c>
      <c r="NJ33" s="1003">
        <f t="shared" si="354"/>
        <v>0</v>
      </c>
      <c r="NK33" s="859"/>
      <c r="NL33" s="858"/>
      <c r="NM33" s="1003">
        <f t="shared" si="355"/>
        <v>0</v>
      </c>
      <c r="NN33" s="851"/>
      <c r="NO33" s="860"/>
      <c r="NP33" s="878">
        <f t="shared" si="356"/>
        <v>0</v>
      </c>
      <c r="NQ33" s="859"/>
      <c r="NR33" s="860"/>
      <c r="NS33" s="878">
        <f t="shared" si="357"/>
        <v>0</v>
      </c>
      <c r="NT33" s="850"/>
      <c r="NU33" s="867"/>
      <c r="NV33" s="878">
        <f t="shared" si="358"/>
        <v>0</v>
      </c>
      <c r="NW33" s="859"/>
      <c r="NX33" s="858"/>
      <c r="NY33" s="878">
        <f t="shared" si="359"/>
        <v>0</v>
      </c>
      <c r="NZ33" s="850"/>
      <c r="OA33" s="860"/>
      <c r="OB33" s="1012">
        <f t="shared" si="360"/>
        <v>0</v>
      </c>
      <c r="OC33" s="859">
        <f>[1]Субсидия_факт!AR31</f>
        <v>0</v>
      </c>
      <c r="OD33" s="858">
        <f>[1]Субсидия_факт!AT31</f>
        <v>0</v>
      </c>
      <c r="OE33" s="859">
        <f>[1]Субсидия_факт!AV31</f>
        <v>0</v>
      </c>
      <c r="OF33" s="1003">
        <f t="shared" si="361"/>
        <v>0</v>
      </c>
      <c r="OG33" s="850"/>
      <c r="OH33" s="860"/>
      <c r="OI33" s="850"/>
      <c r="OJ33" s="1352">
        <f t="shared" si="362"/>
        <v>318341604.89999998</v>
      </c>
      <c r="OK33" s="859">
        <f>[1]Субсидия_факт!GD31</f>
        <v>7336028.1999999881</v>
      </c>
      <c r="OL33" s="858">
        <f>[1]Субсидия_факт!GJ31</f>
        <v>139384500</v>
      </c>
      <c r="OM33" s="866">
        <f>[1]Субсидия_факт!GP31</f>
        <v>171621076.69999999</v>
      </c>
      <c r="ON33" s="1352">
        <f t="shared" si="363"/>
        <v>210433013.16000003</v>
      </c>
      <c r="OO33" s="851">
        <v>5053852.4800000004</v>
      </c>
      <c r="OP33" s="860">
        <v>96023172.590000004</v>
      </c>
      <c r="OQ33" s="850">
        <v>109355988.09</v>
      </c>
      <c r="OR33" s="1352"/>
      <c r="OS33" s="859"/>
      <c r="OT33" s="858"/>
      <c r="OU33" s="850"/>
      <c r="OV33" s="1352"/>
      <c r="OW33" s="850"/>
      <c r="OX33" s="867"/>
      <c r="OY33" s="850"/>
      <c r="OZ33" s="1354"/>
      <c r="PA33" s="851"/>
      <c r="PB33" s="860"/>
      <c r="PC33" s="850"/>
      <c r="PD33" s="1354"/>
      <c r="PE33" s="851"/>
      <c r="PF33" s="860"/>
      <c r="PG33" s="850"/>
      <c r="PH33" s="1354"/>
      <c r="PI33" s="859"/>
      <c r="PJ33" s="858"/>
      <c r="PK33" s="859"/>
      <c r="PL33" s="1354"/>
      <c r="PM33" s="851"/>
      <c r="PN33" s="860"/>
      <c r="PO33" s="859"/>
      <c r="PP33" s="1003"/>
      <c r="PQ33" s="851"/>
      <c r="PR33" s="860"/>
      <c r="PS33" s="851"/>
      <c r="PT33" s="860"/>
      <c r="PU33" s="1003"/>
      <c r="PV33" s="850"/>
      <c r="PW33" s="864"/>
      <c r="PX33" s="850"/>
      <c r="PY33" s="864"/>
      <c r="PZ33" s="1003"/>
      <c r="QA33" s="851"/>
      <c r="QB33" s="860"/>
      <c r="QC33" s="1003"/>
      <c r="QD33" s="850"/>
      <c r="QE33" s="864"/>
      <c r="QF33" s="878"/>
      <c r="QG33" s="850"/>
      <c r="QH33" s="860"/>
      <c r="QI33" s="878"/>
      <c r="QJ33" s="850"/>
      <c r="QK33" s="860"/>
      <c r="QL33" s="878"/>
      <c r="QM33" s="859"/>
      <c r="QN33" s="860"/>
      <c r="QO33" s="878"/>
      <c r="QP33" s="850"/>
      <c r="QQ33" s="864"/>
      <c r="QR33" s="1013">
        <f t="shared" si="364"/>
        <v>6974526.3200000003</v>
      </c>
      <c r="QS33" s="862">
        <f>[1]Субсидия_факт!CV31</f>
        <v>348726.3200000003</v>
      </c>
      <c r="QT33" s="863">
        <f>[1]Субсидия_факт!CX31</f>
        <v>6625800</v>
      </c>
      <c r="QU33" s="1003">
        <f t="shared" si="365"/>
        <v>3281918.96</v>
      </c>
      <c r="QV33" s="850">
        <v>164095.95000000001</v>
      </c>
      <c r="QW33" s="864">
        <v>3117823.01</v>
      </c>
      <c r="QX33" s="1013">
        <f t="shared" si="366"/>
        <v>0</v>
      </c>
      <c r="QY33" s="862">
        <f>[1]Субсидия_факт!CZ31</f>
        <v>0</v>
      </c>
      <c r="QZ33" s="863">
        <f>[1]Субсидия_факт!DF31</f>
        <v>0</v>
      </c>
      <c r="RA33" s="1003">
        <f t="shared" si="367"/>
        <v>0</v>
      </c>
      <c r="RB33" s="850"/>
      <c r="RC33" s="864"/>
      <c r="RD33" s="1013">
        <f t="shared" si="368"/>
        <v>0</v>
      </c>
      <c r="RE33" s="862"/>
      <c r="RF33" s="863"/>
      <c r="RG33" s="1003">
        <f t="shared" si="369"/>
        <v>0</v>
      </c>
      <c r="RH33" s="850"/>
      <c r="RI33" s="864"/>
      <c r="RJ33" s="1369">
        <f t="shared" si="370"/>
        <v>0</v>
      </c>
      <c r="RK33" s="862"/>
      <c r="RL33" s="863"/>
      <c r="RM33" s="878">
        <f t="shared" si="371"/>
        <v>0</v>
      </c>
      <c r="RN33" s="850"/>
      <c r="RO33" s="864"/>
      <c r="RP33" s="1369">
        <f t="shared" si="372"/>
        <v>0</v>
      </c>
      <c r="RQ33" s="862"/>
      <c r="RR33" s="863"/>
      <c r="RS33" s="878">
        <f t="shared" si="373"/>
        <v>0</v>
      </c>
      <c r="RT33" s="850"/>
      <c r="RU33" s="864"/>
      <c r="RV33" s="1013">
        <f t="shared" si="374"/>
        <v>0</v>
      </c>
      <c r="RW33" s="862">
        <f>[1]Субсидия_факт!DL31</f>
        <v>0</v>
      </c>
      <c r="RX33" s="863">
        <f>[1]Субсидия_факт!DN31</f>
        <v>0</v>
      </c>
      <c r="RY33" s="1003">
        <f t="shared" si="375"/>
        <v>0</v>
      </c>
      <c r="RZ33" s="851"/>
      <c r="SA33" s="858"/>
      <c r="SB33" s="1050">
        <f t="shared" si="376"/>
        <v>636955042.46000004</v>
      </c>
      <c r="SC33" s="859">
        <f>[1]Субсидия_факт!BJ31</f>
        <v>228595447.86000001</v>
      </c>
      <c r="SD33" s="862">
        <f>[1]Субсидия_факт!BF31</f>
        <v>106173494.60000002</v>
      </c>
      <c r="SE33" s="921">
        <f>[1]Субсидия_факт!BH31</f>
        <v>302186100</v>
      </c>
      <c r="SF33" s="1050">
        <f t="shared" si="377"/>
        <v>517315708.90999997</v>
      </c>
      <c r="SG33" s="850">
        <v>141126376.62</v>
      </c>
      <c r="SH33" s="851">
        <v>97809226.400000006</v>
      </c>
      <c r="SI33" s="858">
        <v>278380105.88999999</v>
      </c>
      <c r="SJ33" s="1013">
        <f t="shared" si="378"/>
        <v>0</v>
      </c>
      <c r="SK33" s="862">
        <f>[1]Субсидия_факт!AD31</f>
        <v>0</v>
      </c>
      <c r="SL33" s="863">
        <f>[1]Субсидия_факт!AF31</f>
        <v>0</v>
      </c>
      <c r="SM33" s="1003">
        <f t="shared" si="379"/>
        <v>0</v>
      </c>
      <c r="SN33" s="851"/>
      <c r="SO33" s="858"/>
      <c r="SP33" s="1050">
        <f t="shared" si="380"/>
        <v>13685959.390000001</v>
      </c>
      <c r="SQ33" s="851"/>
      <c r="SR33" s="860"/>
      <c r="SS33" s="885">
        <f>[1]Субсидия_факт!IP31</f>
        <v>0</v>
      </c>
      <c r="ST33" s="863">
        <f>[1]Субсидия_факт!IV31</f>
        <v>0</v>
      </c>
      <c r="SU33" s="1439">
        <f>[1]Субсидия_факт!JZ31</f>
        <v>13685959.390000001</v>
      </c>
      <c r="SV33" s="863">
        <f>[1]Субсидия_факт!KF31</f>
        <v>0</v>
      </c>
      <c r="SW33" s="1050">
        <f t="shared" si="381"/>
        <v>0</v>
      </c>
      <c r="SX33" s="1195"/>
      <c r="SY33" s="864"/>
      <c r="SZ33" s="1195"/>
      <c r="TA33" s="864"/>
      <c r="TB33" s="1195"/>
      <c r="TC33" s="858"/>
      <c r="TD33" s="1003"/>
      <c r="TE33" s="851"/>
      <c r="TF33" s="860"/>
      <c r="TG33" s="1195"/>
      <c r="TH33" s="864"/>
      <c r="TI33" s="851"/>
      <c r="TJ33" s="860"/>
      <c r="TK33" s="1003"/>
      <c r="TL33" s="850"/>
      <c r="TM33" s="864"/>
      <c r="TN33" s="1195"/>
      <c r="TO33" s="864"/>
      <c r="TP33" s="850"/>
      <c r="TQ33" s="864"/>
      <c r="TR33" s="878"/>
      <c r="TS33" s="859"/>
      <c r="TT33" s="860"/>
      <c r="TU33" s="859"/>
      <c r="TV33" s="860"/>
      <c r="TW33" s="851"/>
      <c r="TX33" s="860"/>
      <c r="TY33" s="878"/>
      <c r="TZ33" s="859"/>
      <c r="UA33" s="860"/>
      <c r="UB33" s="859"/>
      <c r="UC33" s="860"/>
      <c r="UD33" s="851"/>
      <c r="UE33" s="860"/>
      <c r="UF33" s="878"/>
      <c r="UG33" s="859"/>
      <c r="UH33" s="860"/>
      <c r="UI33" s="1195"/>
      <c r="UJ33" s="864"/>
      <c r="UK33" s="851"/>
      <c r="UL33" s="860"/>
      <c r="UM33" s="878"/>
      <c r="UN33" s="1195"/>
      <c r="UO33" s="864"/>
      <c r="UP33" s="1195"/>
      <c r="UQ33" s="864"/>
      <c r="UR33" s="1195"/>
      <c r="US33" s="864"/>
      <c r="UT33" s="1050">
        <f>'Прочая  субсидия_МР  и  ГО'!B29</f>
        <v>1680689428.6700001</v>
      </c>
      <c r="UU33" s="1050">
        <f>'Прочая  субсидия_МР  и  ГО'!C29</f>
        <v>1010096015.5699999</v>
      </c>
      <c r="UV33" s="1050"/>
      <c r="UW33" s="1050"/>
      <c r="UX33" s="1440"/>
      <c r="UY33" s="1051"/>
      <c r="UZ33" s="1440"/>
      <c r="VA33" s="1051"/>
      <c r="VB33" s="1050">
        <f t="shared" si="382"/>
        <v>7420990703.2300014</v>
      </c>
      <c r="VC33" s="866">
        <f>'Проверочная  таблица'!WE33+'Проверочная  таблица'!VH33+'Проверочная  таблица'!VJ33+VY33</f>
        <v>7200079640.420001</v>
      </c>
      <c r="VD33" s="866">
        <f>'Проверочная  таблица'!WF33+'Проверочная  таблица'!VN33+'Проверочная  таблица'!VT33+'Проверочная  таблица'!VP33+'Проверочная  таблица'!VR33+VV33+VZ33</f>
        <v>220911062.81</v>
      </c>
      <c r="VE33" s="1050">
        <f t="shared" si="383"/>
        <v>5554088994.75</v>
      </c>
      <c r="VF33" s="866">
        <f>'Проверочная  таблица'!WH33+'Проверочная  таблица'!VI33+'Проверочная  таблица'!VK33+WB33</f>
        <v>5411016792.75</v>
      </c>
      <c r="VG33" s="1441">
        <f>'Проверочная  таблица'!WI33+'Проверочная  таблица'!VO33+'Проверочная  таблица'!VU33+'Проверочная  таблица'!VQ33+'Проверочная  таблица'!VS33+VW33+WC33</f>
        <v>143072202</v>
      </c>
      <c r="VH33" s="1050">
        <f>'Субвенция  на  полномочия'!B26</f>
        <v>7010945069.3300009</v>
      </c>
      <c r="VI33" s="1050">
        <f>'Субвенция  на  полномочия'!C26</f>
        <v>5270894060.3199997</v>
      </c>
      <c r="VJ33" s="886">
        <f>[1]Субвенция_факт!M30*1000</f>
        <v>113685220</v>
      </c>
      <c r="VK33" s="892">
        <v>92000000</v>
      </c>
      <c r="VL33" s="916"/>
      <c r="VM33" s="892"/>
      <c r="VN33" s="916"/>
      <c r="VO33" s="892"/>
      <c r="VP33" s="1396">
        <f>[1]Субвенция_факт!AG30*1000</f>
        <v>63100</v>
      </c>
      <c r="VQ33" s="893"/>
      <c r="VR33" s="888">
        <f>[1]Субвенция_факт!E30*1000</f>
        <v>0</v>
      </c>
      <c r="VS33" s="893"/>
      <c r="VT33" s="888">
        <f>[1]Субвенция_факт!F30*1000</f>
        <v>0</v>
      </c>
      <c r="VU33" s="893"/>
      <c r="VV33" s="887">
        <f>[1]Субвенция_факт!G30*1000</f>
        <v>6107502</v>
      </c>
      <c r="VW33" s="892">
        <v>6107502</v>
      </c>
      <c r="VX33" s="1050">
        <f t="shared" si="384"/>
        <v>290189811.89999998</v>
      </c>
      <c r="VY33" s="862">
        <f>[1]Субвенция_факт!P30*1000</f>
        <v>75449351.089999974</v>
      </c>
      <c r="VZ33" s="863">
        <f>[1]Субвенция_факт!Q30*1000</f>
        <v>214740460.81</v>
      </c>
      <c r="WA33" s="1050">
        <f t="shared" si="385"/>
        <v>185087432.43000001</v>
      </c>
      <c r="WB33" s="866">
        <v>48122732.43</v>
      </c>
      <c r="WC33" s="894">
        <v>136964700</v>
      </c>
      <c r="WD33" s="1003">
        <f t="shared" si="386"/>
        <v>0</v>
      </c>
      <c r="WE33" s="895">
        <f>[1]Субвенция_факт!X30*1000</f>
        <v>0</v>
      </c>
      <c r="WF33" s="896">
        <f>[1]Субвенция_факт!W30*1000</f>
        <v>0</v>
      </c>
      <c r="WG33" s="1003">
        <f t="shared" si="387"/>
        <v>0</v>
      </c>
      <c r="WH33" s="866"/>
      <c r="WI33" s="894"/>
      <c r="WJ33" s="897">
        <f t="shared" si="388"/>
        <v>919647066.60000014</v>
      </c>
      <c r="WK33" s="1050">
        <f t="shared" si="389"/>
        <v>444149710.30999994</v>
      </c>
      <c r="WL33" s="1003">
        <f t="shared" si="390"/>
        <v>0</v>
      </c>
      <c r="WM33" s="895"/>
      <c r="WN33" s="896">
        <f>'[1]Иные межбюджетные трансферты'!I31</f>
        <v>0</v>
      </c>
      <c r="WO33" s="1003">
        <f>SUM(WP33:WQ33)</f>
        <v>0</v>
      </c>
      <c r="WP33" s="1055"/>
      <c r="WQ33" s="1056"/>
      <c r="WR33" s="1003">
        <f t="shared" si="391"/>
        <v>0</v>
      </c>
      <c r="WS33" s="895">
        <f>'[1]Иные межбюджетные трансферты'!AQ31</f>
        <v>0</v>
      </c>
      <c r="WT33" s="896">
        <f>'[1]Иные межбюджетные трансферты'!AS31</f>
        <v>0</v>
      </c>
      <c r="WU33" s="1003">
        <f>SUM(WV33:WW33)</f>
        <v>0</v>
      </c>
      <c r="WV33" s="1055"/>
      <c r="WW33" s="1056"/>
      <c r="WX33" s="1003">
        <f t="shared" si="392"/>
        <v>17356237.16</v>
      </c>
      <c r="WY33" s="895">
        <f>'[1]Иные межбюджетные трансферты'!AM31</f>
        <v>867811.85000000009</v>
      </c>
      <c r="WZ33" s="896">
        <f>'[1]Иные межбюджетные трансферты'!AO31</f>
        <v>16488425.310000001</v>
      </c>
      <c r="XA33" s="1003">
        <f>SUM(XB33:XC33)</f>
        <v>13143789.470000001</v>
      </c>
      <c r="XB33" s="1055">
        <v>657189.47</v>
      </c>
      <c r="XC33" s="1056">
        <v>12486600</v>
      </c>
      <c r="XD33" s="1003">
        <f t="shared" si="393"/>
        <v>369544662</v>
      </c>
      <c r="XE33" s="895">
        <f>'[1]Иные межбюджетные трансферты'!K31</f>
        <v>184772331</v>
      </c>
      <c r="XF33" s="896">
        <f>'[1]Иные межбюджетные трансферты'!M31</f>
        <v>184772331</v>
      </c>
      <c r="XG33" s="1003">
        <f>SUM(XH33:XI33)</f>
        <v>137660000</v>
      </c>
      <c r="XH33" s="1055"/>
      <c r="XI33" s="1056">
        <v>137660000</v>
      </c>
      <c r="XJ33" s="1391">
        <f>SUM(XK33:XK33)</f>
        <v>0</v>
      </c>
      <c r="XK33" s="885">
        <f>'[1]Иные межбюджетные трансферты'!O31</f>
        <v>0</v>
      </c>
      <c r="XL33" s="1050">
        <f>SUM(XM33:XM33)</f>
        <v>0</v>
      </c>
      <c r="XM33" s="865"/>
      <c r="XN33" s="1050">
        <f>SUM(XO33:XO33)</f>
        <v>0</v>
      </c>
      <c r="XO33" s="865"/>
      <c r="XP33" s="1050">
        <f>SUM(XQ33:XQ33)</f>
        <v>0</v>
      </c>
      <c r="XQ33" s="865"/>
      <c r="XR33" s="879"/>
      <c r="XS33" s="879"/>
      <c r="XT33" s="879"/>
      <c r="XU33" s="879"/>
      <c r="XV33" s="1050">
        <f t="shared" si="394"/>
        <v>532746167.44000006</v>
      </c>
      <c r="XW33" s="895">
        <f>'[1]Иные межбюджетные трансферты'!E31</f>
        <v>0</v>
      </c>
      <c r="XX33" s="882">
        <f>'[1]Иные межбюджетные трансферты'!G31</f>
        <v>94050180</v>
      </c>
      <c r="XY33" s="882">
        <f>'[1]Иные межбюджетные трансферты'!S31</f>
        <v>0</v>
      </c>
      <c r="XZ33" s="883">
        <f>'[1]Иные межбюджетные трансферты'!Y31</f>
        <v>355374797.69</v>
      </c>
      <c r="YA33" s="882">
        <f>'[1]Иные межбюджетные трансферты'!AA31</f>
        <v>0</v>
      </c>
      <c r="YB33" s="882">
        <f>'[1]Иные межбюджетные трансферты'!AG31</f>
        <v>66966226.409999996</v>
      </c>
      <c r="YC33" s="882">
        <f>'[1]Иные межбюджетные трансферты'!AU31</f>
        <v>0</v>
      </c>
      <c r="YD33" s="862">
        <f>'[1]Иные межбюджетные трансферты'!BA31</f>
        <v>8177481.6699999999</v>
      </c>
      <c r="YE33" s="882">
        <f>'[1]Иные межбюджетные трансферты'!BC31</f>
        <v>0</v>
      </c>
      <c r="YF33" s="1275">
        <f>'[1]Иные межбюджетные трансферты'!BE31</f>
        <v>8177481.6699999999</v>
      </c>
      <c r="YG33" s="1050">
        <f t="shared" si="395"/>
        <v>293345920.83999997</v>
      </c>
      <c r="YH33" s="882"/>
      <c r="YI33" s="882">
        <v>5210424.67</v>
      </c>
      <c r="YJ33" s="859"/>
      <c r="YK33" s="882">
        <v>248408155.34999999</v>
      </c>
      <c r="YL33" s="882"/>
      <c r="YM33" s="882">
        <v>31549859.149999999</v>
      </c>
      <c r="YN33" s="882"/>
      <c r="YO33" s="882"/>
      <c r="YP33" s="882"/>
      <c r="YQ33" s="848">
        <v>8177481.6699999999</v>
      </c>
      <c r="YR33" s="1003">
        <f>SUM(YS33:YW33)</f>
        <v>0</v>
      </c>
      <c r="YS33" s="882"/>
      <c r="YT33" s="882"/>
      <c r="YU33" s="882"/>
      <c r="YV33" s="882"/>
      <c r="YW33" s="851"/>
      <c r="YX33" s="1003">
        <f>SUM(YY33:ZC33)</f>
        <v>0</v>
      </c>
      <c r="YY33" s="850"/>
      <c r="YZ33" s="850"/>
      <c r="ZA33" s="850"/>
      <c r="ZB33" s="882"/>
      <c r="ZC33" s="851"/>
      <c r="ZD33" s="878">
        <f>SUM(ZE33:ZI33)</f>
        <v>0</v>
      </c>
      <c r="ZE33" s="859">
        <f>'Проверочная  таблица'!YS33-ZQ33</f>
        <v>0</v>
      </c>
      <c r="ZF33" s="859">
        <f>'Проверочная  таблица'!YT33-ZR33</f>
        <v>0</v>
      </c>
      <c r="ZG33" s="859">
        <f>'Проверочная  таблица'!YU33-ZS33</f>
        <v>0</v>
      </c>
      <c r="ZH33" s="859">
        <f>'Проверочная  таблица'!YV33-ZT33</f>
        <v>0</v>
      </c>
      <c r="ZI33" s="859">
        <f>'Проверочная  таблица'!YW33-ZU33</f>
        <v>0</v>
      </c>
      <c r="ZJ33" s="878">
        <f>SUM(ZK33:ZO33)</f>
        <v>0</v>
      </c>
      <c r="ZK33" s="859">
        <f>'Проверочная  таблица'!YY33-ZW33</f>
        <v>0</v>
      </c>
      <c r="ZL33" s="859">
        <f>'Проверочная  таблица'!YZ33-ZX33</f>
        <v>0</v>
      </c>
      <c r="ZM33" s="859">
        <f>'Проверочная  таблица'!ZA33-ZY33</f>
        <v>0</v>
      </c>
      <c r="ZN33" s="859">
        <f>'Проверочная  таблица'!ZB33-ZZ33</f>
        <v>0</v>
      </c>
      <c r="ZO33" s="859">
        <f>'Проверочная  таблица'!ZC33-AAA33</f>
        <v>0</v>
      </c>
      <c r="ZP33" s="878">
        <f>SUM(ZQ33:ZU33)</f>
        <v>0</v>
      </c>
      <c r="ZQ33" s="932"/>
      <c r="ZR33" s="932"/>
      <c r="ZS33" s="1239"/>
      <c r="ZT33" s="882"/>
      <c r="ZU33" s="851"/>
      <c r="ZV33" s="878">
        <f>SUM(ZW33:AAA33)</f>
        <v>0</v>
      </c>
      <c r="ZW33" s="850"/>
      <c r="ZX33" s="850"/>
      <c r="ZY33" s="850"/>
      <c r="ZZ33" s="882"/>
      <c r="AAA33" s="851"/>
      <c r="AAB33" s="1050">
        <f>AAD33+'Проверочная  таблица'!AAL33+AAH33+'Проверочная  таблица'!AAP33+AAJ33+'Проверочная  таблица'!AAR33</f>
        <v>-1515000000</v>
      </c>
      <c r="AAC33" s="1050">
        <f>AAE33+'Проверочная  таблица'!AAM33+AAI33+'Проверочная  таблица'!AAQ33+AAK33+'Проверочная  таблица'!AAS33</f>
        <v>-30000000</v>
      </c>
      <c r="AAD33" s="1050"/>
      <c r="AAE33" s="1050"/>
      <c r="AAF33" s="1050"/>
      <c r="AAG33" s="1050"/>
      <c r="AAH33" s="905"/>
      <c r="AAI33" s="905"/>
      <c r="AAJ33" s="905"/>
      <c r="AAK33" s="905"/>
      <c r="AAL33" s="1050">
        <v>-1515000000</v>
      </c>
      <c r="AAM33" s="1050">
        <v>-30000000</v>
      </c>
      <c r="AAN33" s="1050"/>
      <c r="AAO33" s="1050"/>
      <c r="AAP33" s="905"/>
      <c r="AAQ33" s="905"/>
      <c r="AAR33" s="905"/>
      <c r="AAS33" s="905"/>
      <c r="AAT33" s="1384">
        <f>'Проверочная  таблица'!AAL33+'Проверочная  таблица'!AAN33</f>
        <v>-1515000000</v>
      </c>
      <c r="AAU33" s="1384">
        <f>'Проверочная  таблица'!AAM33+'Проверочная  таблица'!AAO33</f>
        <v>-30000000</v>
      </c>
    </row>
    <row r="34" spans="1:723" ht="20.45" customHeight="1" thickBot="1" x14ac:dyDescent="0.3">
      <c r="A34" s="938" t="s">
        <v>338</v>
      </c>
      <c r="B34" s="1035">
        <f t="shared" ref="B34:AL34" si="396">SUM(B32:B33)</f>
        <v>23688219434.939999</v>
      </c>
      <c r="C34" s="1035">
        <f t="shared" si="396"/>
        <v>15362136104.339998</v>
      </c>
      <c r="D34" s="1057">
        <f t="shared" si="396"/>
        <v>4763210443.3000002</v>
      </c>
      <c r="E34" s="942">
        <f t="shared" si="396"/>
        <v>3063082895.73</v>
      </c>
      <c r="F34" s="1035">
        <f t="shared" si="396"/>
        <v>1335521129.3</v>
      </c>
      <c r="G34" s="965">
        <f t="shared" si="396"/>
        <v>871332895.73000002</v>
      </c>
      <c r="H34" s="1036">
        <f t="shared" si="396"/>
        <v>0</v>
      </c>
      <c r="I34" s="942">
        <f t="shared" si="396"/>
        <v>0</v>
      </c>
      <c r="J34" s="959">
        <f t="shared" si="396"/>
        <v>0</v>
      </c>
      <c r="K34" s="1058">
        <f t="shared" si="396"/>
        <v>0</v>
      </c>
      <c r="L34" s="1059">
        <f t="shared" si="396"/>
        <v>0</v>
      </c>
      <c r="M34" s="1060">
        <f t="shared" si="396"/>
        <v>0</v>
      </c>
      <c r="N34" s="949">
        <f t="shared" si="396"/>
        <v>3424989314.0000005</v>
      </c>
      <c r="O34" s="942">
        <f t="shared" si="396"/>
        <v>2191750000</v>
      </c>
      <c r="P34" s="950">
        <f t="shared" si="396"/>
        <v>0</v>
      </c>
      <c r="Q34" s="965">
        <f t="shared" si="396"/>
        <v>0</v>
      </c>
      <c r="R34" s="1059">
        <f t="shared" si="396"/>
        <v>0</v>
      </c>
      <c r="S34" s="1061">
        <f t="shared" si="396"/>
        <v>0</v>
      </c>
      <c r="T34" s="959">
        <f t="shared" si="396"/>
        <v>0</v>
      </c>
      <c r="U34" s="1058">
        <f t="shared" si="396"/>
        <v>0</v>
      </c>
      <c r="V34" s="950">
        <f t="shared" ref="V34" si="397">SUM(V32:V33)</f>
        <v>2700000</v>
      </c>
      <c r="W34" s="1062">
        <f t="shared" ref="W34" si="398">SUM(W32:W33)</f>
        <v>0</v>
      </c>
      <c r="X34" s="1063">
        <f t="shared" ref="X34:Y34" si="399">SUM(X32:X33)</f>
        <v>1800000</v>
      </c>
      <c r="Y34" s="1063">
        <f t="shared" si="399"/>
        <v>900000</v>
      </c>
      <c r="Z34" s="950">
        <f t="shared" si="396"/>
        <v>0</v>
      </c>
      <c r="AA34" s="1062">
        <f t="shared" si="396"/>
        <v>0</v>
      </c>
      <c r="AB34" s="1063">
        <f t="shared" ref="AB34" si="400">SUM(AB32:AB33)</f>
        <v>0</v>
      </c>
      <c r="AC34" s="1062">
        <f t="shared" si="396"/>
        <v>0</v>
      </c>
      <c r="AD34" s="950">
        <f t="shared" ref="AD34" si="401">SUM(AD32:AD33)</f>
        <v>0</v>
      </c>
      <c r="AE34" s="970">
        <f t="shared" ref="AE34:AF34" si="402">SUM(AE32:AE33)</f>
        <v>0</v>
      </c>
      <c r="AF34" s="976">
        <f t="shared" si="402"/>
        <v>0</v>
      </c>
      <c r="AG34" s="950">
        <f t="shared" si="396"/>
        <v>0</v>
      </c>
      <c r="AH34" s="970">
        <f t="shared" si="396"/>
        <v>0</v>
      </c>
      <c r="AI34" s="976">
        <f t="shared" si="396"/>
        <v>0</v>
      </c>
      <c r="AJ34" s="959">
        <f t="shared" si="396"/>
        <v>0</v>
      </c>
      <c r="AK34" s="1059">
        <f t="shared" si="396"/>
        <v>0</v>
      </c>
      <c r="AL34" s="959">
        <f t="shared" si="396"/>
        <v>0</v>
      </c>
      <c r="AM34" s="959">
        <f t="shared" ref="AM34:CP34" si="403">SUM(AM32:AM33)</f>
        <v>0</v>
      </c>
      <c r="AN34" s="949">
        <f t="shared" si="403"/>
        <v>8713453072.8499985</v>
      </c>
      <c r="AO34" s="942">
        <f t="shared" si="403"/>
        <v>5154198535.789999</v>
      </c>
      <c r="AP34" s="950">
        <f t="shared" si="403"/>
        <v>18900000</v>
      </c>
      <c r="AQ34" s="970">
        <f t="shared" si="403"/>
        <v>0</v>
      </c>
      <c r="AR34" s="954">
        <f t="shared" si="403"/>
        <v>18900000</v>
      </c>
      <c r="AS34" s="950">
        <f t="shared" si="403"/>
        <v>0</v>
      </c>
      <c r="AT34" s="1063">
        <f t="shared" si="403"/>
        <v>0</v>
      </c>
      <c r="AU34" s="957">
        <f t="shared" si="403"/>
        <v>0</v>
      </c>
      <c r="AV34" s="942">
        <f t="shared" si="403"/>
        <v>0</v>
      </c>
      <c r="AW34" s="957">
        <f t="shared" si="403"/>
        <v>0</v>
      </c>
      <c r="AX34" s="950">
        <f t="shared" si="403"/>
        <v>0</v>
      </c>
      <c r="AY34" s="1063">
        <f t="shared" si="403"/>
        <v>0</v>
      </c>
      <c r="AZ34" s="1035">
        <f t="shared" si="403"/>
        <v>52859325.390000001</v>
      </c>
      <c r="BA34" s="1063">
        <f t="shared" si="403"/>
        <v>52859325.390000001</v>
      </c>
      <c r="BB34" s="1035">
        <f t="shared" si="403"/>
        <v>0</v>
      </c>
      <c r="BC34" s="1064">
        <f t="shared" si="403"/>
        <v>0</v>
      </c>
      <c r="BD34" s="1035">
        <f t="shared" si="403"/>
        <v>0</v>
      </c>
      <c r="BE34" s="1063">
        <f t="shared" si="403"/>
        <v>0</v>
      </c>
      <c r="BF34" s="950">
        <f t="shared" si="403"/>
        <v>0</v>
      </c>
      <c r="BG34" s="1063">
        <f t="shared" si="403"/>
        <v>0</v>
      </c>
      <c r="BH34" s="1065">
        <f t="shared" si="403"/>
        <v>0</v>
      </c>
      <c r="BI34" s="1065">
        <f t="shared" si="403"/>
        <v>0</v>
      </c>
      <c r="BJ34" s="1065">
        <f t="shared" si="403"/>
        <v>0</v>
      </c>
      <c r="BK34" s="958">
        <f t="shared" si="403"/>
        <v>0</v>
      </c>
      <c r="BL34" s="950">
        <f t="shared" si="403"/>
        <v>0</v>
      </c>
      <c r="BM34" s="965">
        <f t="shared" si="403"/>
        <v>0</v>
      </c>
      <c r="BN34" s="1036">
        <f t="shared" si="403"/>
        <v>0</v>
      </c>
      <c r="BO34" s="950">
        <f t="shared" si="403"/>
        <v>0</v>
      </c>
      <c r="BP34" s="1059">
        <f t="shared" si="403"/>
        <v>0</v>
      </c>
      <c r="BQ34" s="959">
        <f t="shared" si="403"/>
        <v>0</v>
      </c>
      <c r="BR34" s="1059">
        <f t="shared" si="403"/>
        <v>0</v>
      </c>
      <c r="BS34" s="959">
        <f t="shared" si="403"/>
        <v>0</v>
      </c>
      <c r="BT34" s="942">
        <f t="shared" ref="BT34:BY34" si="404">SUM(BT32:BT33)</f>
        <v>37759000</v>
      </c>
      <c r="BU34" s="957">
        <f t="shared" si="404"/>
        <v>37759000</v>
      </c>
      <c r="BV34" s="957">
        <f t="shared" si="404"/>
        <v>0</v>
      </c>
      <c r="BW34" s="950">
        <f t="shared" si="404"/>
        <v>0</v>
      </c>
      <c r="BX34" s="1063">
        <f t="shared" si="404"/>
        <v>0</v>
      </c>
      <c r="BY34" s="1063">
        <f t="shared" si="404"/>
        <v>0</v>
      </c>
      <c r="BZ34" s="949">
        <f t="shared" si="403"/>
        <v>115116800</v>
      </c>
      <c r="CA34" s="950">
        <f t="shared" si="403"/>
        <v>0</v>
      </c>
      <c r="CB34" s="942">
        <f t="shared" si="403"/>
        <v>0</v>
      </c>
      <c r="CC34" s="942">
        <f t="shared" si="403"/>
        <v>0</v>
      </c>
      <c r="CD34" s="966">
        <f t="shared" si="403"/>
        <v>0</v>
      </c>
      <c r="CE34" s="966">
        <f t="shared" si="403"/>
        <v>0</v>
      </c>
      <c r="CF34" s="966">
        <f t="shared" si="403"/>
        <v>0</v>
      </c>
      <c r="CG34" s="966">
        <f t="shared" si="403"/>
        <v>0</v>
      </c>
      <c r="CH34" s="942">
        <f t="shared" si="403"/>
        <v>25590065.600000001</v>
      </c>
      <c r="CI34" s="957">
        <f t="shared" si="403"/>
        <v>25590065.600000001</v>
      </c>
      <c r="CJ34" s="957">
        <f t="shared" si="403"/>
        <v>0</v>
      </c>
      <c r="CK34" s="950">
        <f t="shared" si="403"/>
        <v>0</v>
      </c>
      <c r="CL34" s="1063">
        <f t="shared" si="403"/>
        <v>0</v>
      </c>
      <c r="CM34" s="1063">
        <f t="shared" si="403"/>
        <v>0</v>
      </c>
      <c r="CN34" s="950">
        <f t="shared" si="403"/>
        <v>860245068.48000002</v>
      </c>
      <c r="CO34" s="1063">
        <f t="shared" si="403"/>
        <v>1145900</v>
      </c>
      <c r="CP34" s="1031">
        <f t="shared" si="403"/>
        <v>21770300</v>
      </c>
      <c r="CQ34" s="1063">
        <f>SUM(CQ32:CQ33)</f>
        <v>37815349</v>
      </c>
      <c r="CR34" s="1028">
        <f>SUM(CR32:CR33)</f>
        <v>720202200</v>
      </c>
      <c r="CS34" s="1063">
        <f>SUM(CS32:CS33)</f>
        <v>3965576.2799999993</v>
      </c>
      <c r="CT34" s="1028">
        <f>SUM(CT32:CT33)</f>
        <v>75345743.200000003</v>
      </c>
      <c r="CU34" s="950">
        <f t="shared" ref="CU34:CW34" si="405">SUM(CU32:CU33)</f>
        <v>322655436.38</v>
      </c>
      <c r="CV34" s="1062">
        <f t="shared" si="405"/>
        <v>333023.57999999996</v>
      </c>
      <c r="CW34" s="1066">
        <f t="shared" si="405"/>
        <v>6326925.6400000006</v>
      </c>
      <c r="CX34" s="1063">
        <f>SUM(CX32:CX33)</f>
        <v>12293952.280000001</v>
      </c>
      <c r="CY34" s="1028">
        <f>SUM(CY32:CY33)</f>
        <v>233933281.38</v>
      </c>
      <c r="CZ34" s="1063">
        <f>SUM(CZ32:CZ33)</f>
        <v>3488418.57</v>
      </c>
      <c r="DA34" s="1028">
        <f>SUM(DA32:DA33)</f>
        <v>66279834.93</v>
      </c>
      <c r="DB34" s="942">
        <f t="shared" ref="DB34:EQ34" si="406">SUM(DB32:DB33)</f>
        <v>0</v>
      </c>
      <c r="DC34" s="1063">
        <f t="shared" si="406"/>
        <v>0</v>
      </c>
      <c r="DD34" s="1031">
        <f t="shared" si="406"/>
        <v>0</v>
      </c>
      <c r="DE34" s="950">
        <f t="shared" si="406"/>
        <v>0</v>
      </c>
      <c r="DF34" s="1063">
        <f t="shared" si="406"/>
        <v>0</v>
      </c>
      <c r="DG34" s="1032">
        <f t="shared" si="406"/>
        <v>0</v>
      </c>
      <c r="DH34" s="960">
        <f t="shared" si="406"/>
        <v>0</v>
      </c>
      <c r="DI34" s="959">
        <f t="shared" si="406"/>
        <v>0</v>
      </c>
      <c r="DJ34" s="960">
        <f t="shared" si="406"/>
        <v>0</v>
      </c>
      <c r="DK34" s="959">
        <f t="shared" si="406"/>
        <v>0</v>
      </c>
      <c r="DL34" s="942">
        <f t="shared" si="406"/>
        <v>5400000</v>
      </c>
      <c r="DM34" s="967">
        <f t="shared" si="406"/>
        <v>2700000</v>
      </c>
      <c r="DN34" s="967">
        <f t="shared" si="406"/>
        <v>2700000</v>
      </c>
      <c r="DO34" s="954">
        <f t="shared" si="406"/>
        <v>0</v>
      </c>
      <c r="DP34" s="950">
        <f t="shared" si="406"/>
        <v>3960000</v>
      </c>
      <c r="DQ34" s="861">
        <f t="shared" si="406"/>
        <v>1260000</v>
      </c>
      <c r="DR34" s="954">
        <f t="shared" si="406"/>
        <v>2700000</v>
      </c>
      <c r="DS34" s="954">
        <f t="shared" si="406"/>
        <v>0</v>
      </c>
      <c r="DT34" s="942">
        <f t="shared" si="406"/>
        <v>0</v>
      </c>
      <c r="DU34" s="1063">
        <f t="shared" si="406"/>
        <v>0</v>
      </c>
      <c r="DV34" s="1031">
        <f t="shared" si="406"/>
        <v>0</v>
      </c>
      <c r="DW34" s="950">
        <f t="shared" si="406"/>
        <v>0</v>
      </c>
      <c r="DX34" s="1062">
        <f t="shared" si="406"/>
        <v>0</v>
      </c>
      <c r="DY34" s="1028">
        <f t="shared" si="406"/>
        <v>0</v>
      </c>
      <c r="DZ34" s="1057">
        <f t="shared" si="406"/>
        <v>0</v>
      </c>
      <c r="EA34" s="976">
        <f t="shared" si="406"/>
        <v>0</v>
      </c>
      <c r="EB34" s="969">
        <f t="shared" si="406"/>
        <v>0</v>
      </c>
      <c r="EC34" s="1057">
        <f t="shared" si="406"/>
        <v>0</v>
      </c>
      <c r="ED34" s="1064">
        <f t="shared" si="406"/>
        <v>0</v>
      </c>
      <c r="EE34" s="1028">
        <f t="shared" si="406"/>
        <v>0</v>
      </c>
      <c r="EF34" s="942">
        <f t="shared" si="406"/>
        <v>1207687968.96</v>
      </c>
      <c r="EG34" s="1063">
        <f t="shared" si="406"/>
        <v>319132705.80000001</v>
      </c>
      <c r="EH34" s="1063">
        <f t="shared" si="406"/>
        <v>44427763.159999996</v>
      </c>
      <c r="EI34" s="1032">
        <f t="shared" si="406"/>
        <v>844127500</v>
      </c>
      <c r="EJ34" s="942">
        <f t="shared" si="406"/>
        <v>759395774.06000006</v>
      </c>
      <c r="EK34" s="1063">
        <f t="shared" si="406"/>
        <v>121024.36</v>
      </c>
      <c r="EL34" s="1063">
        <f t="shared" si="406"/>
        <v>37963737.479999997</v>
      </c>
      <c r="EM34" s="1032">
        <f t="shared" si="406"/>
        <v>721311012.22000003</v>
      </c>
      <c r="EN34" s="942">
        <f t="shared" si="406"/>
        <v>121175580</v>
      </c>
      <c r="EO34" s="1063">
        <f t="shared" si="406"/>
        <v>6058780</v>
      </c>
      <c r="EP34" s="1031">
        <f t="shared" si="406"/>
        <v>115116800</v>
      </c>
      <c r="EQ34" s="950">
        <f t="shared" si="406"/>
        <v>109618863.97</v>
      </c>
      <c r="ER34" s="1063">
        <f t="shared" ref="ER34:ES34" si="407">SUM(ER32:ER33)</f>
        <v>5480944.0999999996</v>
      </c>
      <c r="ES34" s="1031">
        <f t="shared" si="407"/>
        <v>104137919.87</v>
      </c>
      <c r="ET34" s="942">
        <f t="shared" ref="ET34:GT34" si="408">SUM(ET32:ET33)</f>
        <v>19378391.170000002</v>
      </c>
      <c r="EU34" s="1063">
        <f t="shared" si="408"/>
        <v>5058011.3800000027</v>
      </c>
      <c r="EV34" s="1031">
        <f t="shared" si="408"/>
        <v>14320379.789999999</v>
      </c>
      <c r="EW34" s="950">
        <f t="shared" si="408"/>
        <v>0</v>
      </c>
      <c r="EX34" s="1063">
        <f t="shared" si="408"/>
        <v>0</v>
      </c>
      <c r="EY34" s="1032">
        <f t="shared" si="408"/>
        <v>0</v>
      </c>
      <c r="EZ34" s="942">
        <f t="shared" si="408"/>
        <v>0</v>
      </c>
      <c r="FA34" s="1063">
        <f t="shared" si="408"/>
        <v>0</v>
      </c>
      <c r="FB34" s="1031">
        <f t="shared" si="408"/>
        <v>0</v>
      </c>
      <c r="FC34" s="950">
        <f t="shared" si="408"/>
        <v>0</v>
      </c>
      <c r="FD34" s="1063">
        <f t="shared" si="408"/>
        <v>0</v>
      </c>
      <c r="FE34" s="1032">
        <f t="shared" si="408"/>
        <v>0</v>
      </c>
      <c r="FF34" s="966">
        <f t="shared" si="408"/>
        <v>0</v>
      </c>
      <c r="FG34" s="1063">
        <f t="shared" si="408"/>
        <v>0</v>
      </c>
      <c r="FH34" s="1031">
        <f t="shared" si="408"/>
        <v>0</v>
      </c>
      <c r="FI34" s="955">
        <f t="shared" si="408"/>
        <v>0</v>
      </c>
      <c r="FJ34" s="1063">
        <f t="shared" si="408"/>
        <v>0</v>
      </c>
      <c r="FK34" s="1032">
        <f t="shared" si="408"/>
        <v>0</v>
      </c>
      <c r="FL34" s="966">
        <f t="shared" si="408"/>
        <v>0</v>
      </c>
      <c r="FM34" s="1063">
        <f t="shared" si="408"/>
        <v>0</v>
      </c>
      <c r="FN34" s="1031">
        <f t="shared" si="408"/>
        <v>0</v>
      </c>
      <c r="FO34" s="955">
        <f t="shared" si="408"/>
        <v>0</v>
      </c>
      <c r="FP34" s="1063">
        <f t="shared" si="408"/>
        <v>0</v>
      </c>
      <c r="FQ34" s="1032">
        <f t="shared" si="408"/>
        <v>0</v>
      </c>
      <c r="FR34" s="942">
        <f t="shared" si="408"/>
        <v>0</v>
      </c>
      <c r="FS34" s="976">
        <f>SUM(FS32:FS33)</f>
        <v>0</v>
      </c>
      <c r="FT34" s="969">
        <f>SUM(FT32:FT33)</f>
        <v>0</v>
      </c>
      <c r="FU34" s="942">
        <f t="shared" ref="FU34" si="409">SUM(FU32:FU33)</f>
        <v>0</v>
      </c>
      <c r="FV34" s="1064">
        <f>SUM(FV32:FV33)</f>
        <v>0</v>
      </c>
      <c r="FW34" s="1028">
        <f>SUM(FW32:FW33)</f>
        <v>0</v>
      </c>
      <c r="FX34" s="942">
        <f t="shared" ref="FX34" si="410">SUM(FX32:FX33)</f>
        <v>0</v>
      </c>
      <c r="FY34" s="976">
        <f>SUM(FY32:FY33)</f>
        <v>0</v>
      </c>
      <c r="FZ34" s="969">
        <f>SUM(FZ32:FZ33)</f>
        <v>0</v>
      </c>
      <c r="GA34" s="942">
        <f t="shared" ref="GA34" si="411">SUM(GA32:GA33)</f>
        <v>0</v>
      </c>
      <c r="GB34" s="1064">
        <f>SUM(GB32:GB33)</f>
        <v>0</v>
      </c>
      <c r="GC34" s="1028">
        <f>SUM(GC32:GC33)</f>
        <v>0</v>
      </c>
      <c r="GD34" s="1232">
        <f t="shared" ref="GD34" si="412">SUM(GD32:GD33)</f>
        <v>0</v>
      </c>
      <c r="GE34" s="976">
        <f>SUM(GE32:GE33)</f>
        <v>0</v>
      </c>
      <c r="GF34" s="969">
        <f>SUM(GF32:GF33)</f>
        <v>0</v>
      </c>
      <c r="GG34" s="1232">
        <f t="shared" ref="GG34" si="413">SUM(GG32:GG33)</f>
        <v>0</v>
      </c>
      <c r="GH34" s="1064">
        <f>SUM(GH32:GH33)</f>
        <v>0</v>
      </c>
      <c r="GI34" s="1028">
        <f>SUM(GI32:GI33)</f>
        <v>0</v>
      </c>
      <c r="GJ34" s="966">
        <f t="shared" ref="GJ34:GK34" si="414">SUM(GJ32:GJ33)</f>
        <v>0</v>
      </c>
      <c r="GK34" s="966">
        <f t="shared" si="414"/>
        <v>0</v>
      </c>
      <c r="GL34" s="966">
        <f t="shared" ref="GL34:GM34" si="415">SUM(GL32:GL33)</f>
        <v>0</v>
      </c>
      <c r="GM34" s="966">
        <f t="shared" si="415"/>
        <v>0</v>
      </c>
      <c r="GN34" s="942">
        <f t="shared" si="408"/>
        <v>1758989935.8899999</v>
      </c>
      <c r="GO34" s="954">
        <f t="shared" si="408"/>
        <v>13685959.390000001</v>
      </c>
      <c r="GP34" s="971">
        <f t="shared" si="408"/>
        <v>260033228.37</v>
      </c>
      <c r="GQ34" s="957">
        <f>SUM(GQ32:GQ33)</f>
        <v>1485270748.1300001</v>
      </c>
      <c r="GR34" s="942">
        <f t="shared" ref="GR34" si="416">SUM(GR32:GR33)</f>
        <v>1193374572.73</v>
      </c>
      <c r="GS34" s="1019">
        <f t="shared" si="408"/>
        <v>9553788.7300000004</v>
      </c>
      <c r="GT34" s="1028">
        <f t="shared" si="408"/>
        <v>181521985.75</v>
      </c>
      <c r="GU34" s="957">
        <f>SUM(GU32:GU33)</f>
        <v>1002298798.2499999</v>
      </c>
      <c r="GV34" s="1232">
        <f t="shared" ref="GV34:GX34" si="417">SUM(GV32:GV33)</f>
        <v>0</v>
      </c>
      <c r="GW34" s="957">
        <f>SUM(GW32:GW33)</f>
        <v>0</v>
      </c>
      <c r="GX34" s="1232">
        <f t="shared" si="417"/>
        <v>0</v>
      </c>
      <c r="GY34" s="957">
        <f>SUM(GY32:GY33)</f>
        <v>0</v>
      </c>
      <c r="GZ34" s="966">
        <f t="shared" ref="GZ34:JU34" si="418">SUM(GZ32:GZ33)</f>
        <v>0</v>
      </c>
      <c r="HA34" s="966">
        <f t="shared" si="418"/>
        <v>0</v>
      </c>
      <c r="HB34" s="966">
        <f t="shared" si="418"/>
        <v>0</v>
      </c>
      <c r="HC34" s="966">
        <f t="shared" si="418"/>
        <v>0</v>
      </c>
      <c r="HD34" s="942">
        <f t="shared" si="418"/>
        <v>1478672773.1399999</v>
      </c>
      <c r="HE34" s="954">
        <f t="shared" si="418"/>
        <v>73933652.629999995</v>
      </c>
      <c r="HF34" s="971">
        <f t="shared" si="418"/>
        <v>1404739120.51</v>
      </c>
      <c r="HG34" s="950">
        <f t="shared" si="418"/>
        <v>753671645.66999996</v>
      </c>
      <c r="HH34" s="1019">
        <f t="shared" si="418"/>
        <v>37683589.409999996</v>
      </c>
      <c r="HI34" s="1028">
        <f t="shared" si="418"/>
        <v>715988056.25999999</v>
      </c>
      <c r="HJ34" s="942">
        <f t="shared" si="418"/>
        <v>8862344.3799999878</v>
      </c>
      <c r="HK34" s="954">
        <f t="shared" si="418"/>
        <v>8862344.3799999878</v>
      </c>
      <c r="HL34" s="971">
        <f t="shared" si="418"/>
        <v>0</v>
      </c>
      <c r="HM34" s="950">
        <f t="shared" si="418"/>
        <v>0</v>
      </c>
      <c r="HN34" s="1019">
        <f t="shared" si="418"/>
        <v>0</v>
      </c>
      <c r="HO34" s="1028">
        <f t="shared" si="418"/>
        <v>0</v>
      </c>
      <c r="HP34" s="942">
        <f t="shared" si="418"/>
        <v>0</v>
      </c>
      <c r="HQ34" s="954">
        <f t="shared" si="418"/>
        <v>0</v>
      </c>
      <c r="HR34" s="971">
        <f t="shared" si="418"/>
        <v>0</v>
      </c>
      <c r="HS34" s="950">
        <f t="shared" si="418"/>
        <v>0</v>
      </c>
      <c r="HT34" s="1019">
        <f t="shared" si="418"/>
        <v>0</v>
      </c>
      <c r="HU34" s="1028">
        <f t="shared" si="418"/>
        <v>0</v>
      </c>
      <c r="HV34" s="966">
        <f t="shared" si="418"/>
        <v>0</v>
      </c>
      <c r="HW34" s="1063">
        <f t="shared" si="418"/>
        <v>0</v>
      </c>
      <c r="HX34" s="1031">
        <f t="shared" si="418"/>
        <v>0</v>
      </c>
      <c r="HY34" s="955">
        <f t="shared" si="418"/>
        <v>0</v>
      </c>
      <c r="HZ34" s="1063">
        <f t="shared" si="418"/>
        <v>0</v>
      </c>
      <c r="IA34" s="1032">
        <f t="shared" si="418"/>
        <v>0</v>
      </c>
      <c r="IB34" s="966">
        <f t="shared" si="418"/>
        <v>0</v>
      </c>
      <c r="IC34" s="1063">
        <f t="shared" si="418"/>
        <v>0</v>
      </c>
      <c r="ID34" s="1031">
        <f t="shared" si="418"/>
        <v>0</v>
      </c>
      <c r="IE34" s="955">
        <f t="shared" si="418"/>
        <v>0</v>
      </c>
      <c r="IF34" s="1063">
        <f t="shared" si="418"/>
        <v>0</v>
      </c>
      <c r="IG34" s="1032">
        <f t="shared" si="418"/>
        <v>0</v>
      </c>
      <c r="IH34" s="942">
        <f t="shared" si="418"/>
        <v>0</v>
      </c>
      <c r="II34" s="954">
        <f t="shared" si="418"/>
        <v>0</v>
      </c>
      <c r="IJ34" s="971">
        <f t="shared" si="418"/>
        <v>0</v>
      </c>
      <c r="IK34" s="950">
        <f t="shared" si="418"/>
        <v>0</v>
      </c>
      <c r="IL34" s="1019">
        <f t="shared" si="418"/>
        <v>0</v>
      </c>
      <c r="IM34" s="1028">
        <f t="shared" si="418"/>
        <v>0</v>
      </c>
      <c r="IN34" s="1232">
        <f t="shared" ref="IN34:IS34" si="419">SUM(IN32:IN33)</f>
        <v>0</v>
      </c>
      <c r="IO34" s="954">
        <f t="shared" si="419"/>
        <v>0</v>
      </c>
      <c r="IP34" s="971">
        <f t="shared" si="419"/>
        <v>0</v>
      </c>
      <c r="IQ34" s="1231">
        <f t="shared" si="419"/>
        <v>0</v>
      </c>
      <c r="IR34" s="1019">
        <f t="shared" si="419"/>
        <v>0</v>
      </c>
      <c r="IS34" s="1028">
        <f t="shared" si="419"/>
        <v>0</v>
      </c>
      <c r="IT34" s="966">
        <f t="shared" ref="IT34:IW34" si="420">SUM(IT32:IT33)</f>
        <v>0</v>
      </c>
      <c r="IU34" s="955">
        <f t="shared" si="420"/>
        <v>0</v>
      </c>
      <c r="IV34" s="966">
        <f t="shared" si="420"/>
        <v>0</v>
      </c>
      <c r="IW34" s="955">
        <f t="shared" si="420"/>
        <v>0</v>
      </c>
      <c r="IX34" s="942">
        <f t="shared" si="418"/>
        <v>0</v>
      </c>
      <c r="IY34" s="954">
        <f t="shared" si="418"/>
        <v>0</v>
      </c>
      <c r="IZ34" s="971">
        <f t="shared" si="418"/>
        <v>0</v>
      </c>
      <c r="JA34" s="950">
        <f t="shared" si="418"/>
        <v>0</v>
      </c>
      <c r="JB34" s="1019">
        <f t="shared" si="418"/>
        <v>0</v>
      </c>
      <c r="JC34" s="1028">
        <f t="shared" si="418"/>
        <v>0</v>
      </c>
      <c r="JD34" s="942">
        <f t="shared" si="418"/>
        <v>3362567.57</v>
      </c>
      <c r="JE34" s="954">
        <f t="shared" si="418"/>
        <v>874267.56999999983</v>
      </c>
      <c r="JF34" s="971">
        <f t="shared" si="418"/>
        <v>2488300</v>
      </c>
      <c r="JG34" s="950">
        <f t="shared" si="418"/>
        <v>3362567.57</v>
      </c>
      <c r="JH34" s="1019">
        <f t="shared" si="418"/>
        <v>874267.57</v>
      </c>
      <c r="JI34" s="1028">
        <f t="shared" si="418"/>
        <v>2488300</v>
      </c>
      <c r="JJ34" s="949">
        <f t="shared" si="418"/>
        <v>0</v>
      </c>
      <c r="JK34" s="1019">
        <f t="shared" si="418"/>
        <v>0</v>
      </c>
      <c r="JL34" s="1028">
        <f t="shared" si="418"/>
        <v>0</v>
      </c>
      <c r="JM34" s="950">
        <f t="shared" si="418"/>
        <v>0</v>
      </c>
      <c r="JN34" s="967">
        <f t="shared" si="418"/>
        <v>0</v>
      </c>
      <c r="JO34" s="969">
        <f t="shared" si="418"/>
        <v>0</v>
      </c>
      <c r="JP34" s="950">
        <f t="shared" si="418"/>
        <v>0</v>
      </c>
      <c r="JQ34" s="1030">
        <f t="shared" si="418"/>
        <v>0</v>
      </c>
      <c r="JR34" s="1028">
        <f t="shared" si="418"/>
        <v>0</v>
      </c>
      <c r="JS34" s="950">
        <f t="shared" si="418"/>
        <v>0</v>
      </c>
      <c r="JT34" s="861">
        <f t="shared" si="418"/>
        <v>0</v>
      </c>
      <c r="JU34" s="1028">
        <f t="shared" si="418"/>
        <v>0</v>
      </c>
      <c r="JV34" s="955">
        <f t="shared" ref="JV34:NF34" si="421">SUM(JV32:JV33)</f>
        <v>0</v>
      </c>
      <c r="JW34" s="1018">
        <f t="shared" si="421"/>
        <v>0</v>
      </c>
      <c r="JX34" s="969">
        <f t="shared" si="421"/>
        <v>0</v>
      </c>
      <c r="JY34" s="978">
        <f t="shared" si="421"/>
        <v>0</v>
      </c>
      <c r="JZ34" s="954">
        <f t="shared" si="421"/>
        <v>0</v>
      </c>
      <c r="KA34" s="1031">
        <f t="shared" si="421"/>
        <v>0</v>
      </c>
      <c r="KB34" s="955">
        <f t="shared" si="421"/>
        <v>0</v>
      </c>
      <c r="KC34" s="1018">
        <f t="shared" si="421"/>
        <v>0</v>
      </c>
      <c r="KD34" s="969">
        <f t="shared" si="421"/>
        <v>0</v>
      </c>
      <c r="KE34" s="955">
        <f t="shared" si="421"/>
        <v>0</v>
      </c>
      <c r="KF34" s="967">
        <f t="shared" si="421"/>
        <v>0</v>
      </c>
      <c r="KG34" s="969">
        <f t="shared" si="421"/>
        <v>0</v>
      </c>
      <c r="KH34" s="950">
        <f t="shared" si="421"/>
        <v>10673306.01</v>
      </c>
      <c r="KI34" s="1063">
        <f>SUM(KI32:KI33)</f>
        <v>4592520</v>
      </c>
      <c r="KJ34" s="1032">
        <f>SUM(KJ32:KJ33)</f>
        <v>2714716.01</v>
      </c>
      <c r="KK34" s="861">
        <f>SUM(KK32:KK33)</f>
        <v>1223726.9400000002</v>
      </c>
      <c r="KL34" s="1032">
        <f>SUM(KL32:KL33)</f>
        <v>2142343.06</v>
      </c>
      <c r="KM34" s="950">
        <f t="shared" ref="KM34" si="422">SUM(KM32:KM33)</f>
        <v>0</v>
      </c>
      <c r="KN34" s="1063">
        <f>SUM(KN32:KN33)</f>
        <v>0</v>
      </c>
      <c r="KO34" s="1032">
        <f>SUM(KO32:KO33)</f>
        <v>0</v>
      </c>
      <c r="KP34" s="1063">
        <f>SUM(KP32:KP33)</f>
        <v>0</v>
      </c>
      <c r="KQ34" s="1032">
        <f>SUM(KQ32:KQ33)</f>
        <v>0</v>
      </c>
      <c r="KR34" s="950">
        <f t="shared" ref="KR34:KW34" si="423">SUM(KR32:KR33)</f>
        <v>0</v>
      </c>
      <c r="KS34" s="1018">
        <f t="shared" si="423"/>
        <v>0</v>
      </c>
      <c r="KT34" s="1028">
        <f t="shared" si="423"/>
        <v>0</v>
      </c>
      <c r="KU34" s="1018">
        <f t="shared" si="423"/>
        <v>0</v>
      </c>
      <c r="KV34" s="1028">
        <f t="shared" si="423"/>
        <v>0</v>
      </c>
      <c r="KW34" s="950">
        <f t="shared" si="423"/>
        <v>0</v>
      </c>
      <c r="KX34" s="1063">
        <f>SUM(KX32:KX33)</f>
        <v>0</v>
      </c>
      <c r="KY34" s="1032">
        <f>SUM(KY32:KY33)</f>
        <v>0</v>
      </c>
      <c r="KZ34" s="1063">
        <f>SUM(KZ32:KZ33)</f>
        <v>0</v>
      </c>
      <c r="LA34" s="1032">
        <f>SUM(LA32:LA33)</f>
        <v>0</v>
      </c>
      <c r="LB34" s="959">
        <f t="shared" ref="LB34:LN34" si="424">SUM(LB32:LB33)</f>
        <v>0</v>
      </c>
      <c r="LC34" s="1018">
        <f t="shared" si="424"/>
        <v>0</v>
      </c>
      <c r="LD34" s="1028">
        <f t="shared" si="424"/>
        <v>0</v>
      </c>
      <c r="LE34" s="959">
        <f t="shared" si="424"/>
        <v>0</v>
      </c>
      <c r="LF34" s="1018">
        <f t="shared" si="424"/>
        <v>0</v>
      </c>
      <c r="LG34" s="1028">
        <f t="shared" si="424"/>
        <v>0</v>
      </c>
      <c r="LH34" s="1061">
        <f t="shared" si="424"/>
        <v>0</v>
      </c>
      <c r="LI34" s="954">
        <f t="shared" si="424"/>
        <v>0</v>
      </c>
      <c r="LJ34" s="1031">
        <f t="shared" si="424"/>
        <v>0</v>
      </c>
      <c r="LK34" s="959">
        <f t="shared" si="424"/>
        <v>0</v>
      </c>
      <c r="LL34" s="1018">
        <f t="shared" si="424"/>
        <v>0</v>
      </c>
      <c r="LM34" s="969">
        <f t="shared" si="424"/>
        <v>0</v>
      </c>
      <c r="LN34" s="950">
        <f t="shared" si="424"/>
        <v>0</v>
      </c>
      <c r="LO34" s="1063">
        <f>SUM(LO32:LO33)</f>
        <v>0</v>
      </c>
      <c r="LP34" s="1063">
        <f>SUM(LP32:LP33)</f>
        <v>0</v>
      </c>
      <c r="LQ34" s="1032">
        <f>SUM(LQ32:LQ33)</f>
        <v>0</v>
      </c>
      <c r="LR34" s="950">
        <f t="shared" ref="LR34" si="425">SUM(LR32:LR33)</f>
        <v>0</v>
      </c>
      <c r="LS34" s="1063">
        <f>SUM(LS32:LS33)</f>
        <v>0</v>
      </c>
      <c r="LT34" s="1063">
        <f>SUM(LT32:LT33)</f>
        <v>0</v>
      </c>
      <c r="LU34" s="1032">
        <f>SUM(LU32:LU33)</f>
        <v>0</v>
      </c>
      <c r="LV34" s="950">
        <f t="shared" ref="LV34" si="426">SUM(LV32:LV33)</f>
        <v>0</v>
      </c>
      <c r="LW34" s="1063">
        <f>SUM(LW32:LW33)</f>
        <v>0</v>
      </c>
      <c r="LX34" s="1063">
        <f>SUM(LX32:LX33)</f>
        <v>0</v>
      </c>
      <c r="LY34" s="1032">
        <f>SUM(LY32:LY33)</f>
        <v>0</v>
      </c>
      <c r="LZ34" s="950">
        <f t="shared" ref="LZ34" si="427">SUM(LZ32:LZ33)</f>
        <v>0</v>
      </c>
      <c r="MA34" s="1063">
        <f>SUM(MA32:MA33)</f>
        <v>0</v>
      </c>
      <c r="MB34" s="1063">
        <f t="shared" ref="MB34:MD34" si="428">SUM(MB32:MB33)</f>
        <v>0</v>
      </c>
      <c r="MC34" s="1032">
        <f t="shared" si="428"/>
        <v>0</v>
      </c>
      <c r="MD34" s="955">
        <f t="shared" si="428"/>
        <v>0</v>
      </c>
      <c r="ME34" s="1063">
        <f>SUM(ME32:ME33)</f>
        <v>0</v>
      </c>
      <c r="MF34" s="1063">
        <f>SUM(MF32:MF33)</f>
        <v>0</v>
      </c>
      <c r="MG34" s="1032">
        <f>SUM(MG32:MG33)</f>
        <v>0</v>
      </c>
      <c r="MH34" s="955">
        <f t="shared" ref="MH34" si="429">SUM(MH32:MH33)</f>
        <v>0</v>
      </c>
      <c r="MI34" s="1063">
        <f>SUM(MI32:MI33)</f>
        <v>0</v>
      </c>
      <c r="MJ34" s="1063">
        <f>SUM(MJ32:MJ33)</f>
        <v>0</v>
      </c>
      <c r="MK34" s="1032">
        <f>SUM(MK32:MK33)</f>
        <v>0</v>
      </c>
      <c r="ML34" s="955">
        <f t="shared" ref="ML34" si="430">SUM(ML32:ML33)</f>
        <v>0</v>
      </c>
      <c r="MM34" s="1063">
        <f>SUM(MM32:MM33)</f>
        <v>0</v>
      </c>
      <c r="MN34" s="1063">
        <f>SUM(MN32:MN33)</f>
        <v>0</v>
      </c>
      <c r="MO34" s="1032">
        <f>SUM(MO32:MO33)</f>
        <v>0</v>
      </c>
      <c r="MP34" s="955">
        <f t="shared" ref="MP34" si="431">SUM(MP32:MP33)</f>
        <v>0</v>
      </c>
      <c r="MQ34" s="1063">
        <f>SUM(MQ32:MQ33)</f>
        <v>0</v>
      </c>
      <c r="MR34" s="1063">
        <f>SUM(MR32:MR33)</f>
        <v>0</v>
      </c>
      <c r="MS34" s="1032">
        <f>SUM(MS32:MS33)</f>
        <v>0</v>
      </c>
      <c r="MT34" s="1034">
        <f t="shared" si="421"/>
        <v>1650785.01</v>
      </c>
      <c r="MU34" s="1063">
        <f t="shared" si="421"/>
        <v>0</v>
      </c>
      <c r="MV34" s="1032">
        <f t="shared" si="421"/>
        <v>0</v>
      </c>
      <c r="MW34" s="954">
        <f t="shared" si="421"/>
        <v>0</v>
      </c>
      <c r="MX34" s="972">
        <f t="shared" si="421"/>
        <v>0</v>
      </c>
      <c r="MY34" s="1030">
        <f t="shared" si="421"/>
        <v>0</v>
      </c>
      <c r="MZ34" s="861">
        <f t="shared" si="421"/>
        <v>429204.1</v>
      </c>
      <c r="NA34" s="1066">
        <f t="shared" si="421"/>
        <v>1221580.9100000001</v>
      </c>
      <c r="NB34" s="1035">
        <f t="shared" si="421"/>
        <v>1650785.01</v>
      </c>
      <c r="NC34" s="1063">
        <f t="shared" si="421"/>
        <v>0</v>
      </c>
      <c r="ND34" s="1032">
        <f t="shared" si="421"/>
        <v>0</v>
      </c>
      <c r="NE34" s="1019">
        <f t="shared" si="421"/>
        <v>0</v>
      </c>
      <c r="NF34" s="1028">
        <f t="shared" si="421"/>
        <v>0</v>
      </c>
      <c r="NG34" s="1063">
        <f t="shared" ref="NG34:PR34" si="432">SUM(NG32:NG33)</f>
        <v>0</v>
      </c>
      <c r="NH34" s="1063">
        <f t="shared" si="432"/>
        <v>429204.11</v>
      </c>
      <c r="NI34" s="1028">
        <f t="shared" si="432"/>
        <v>1221580.8999999999</v>
      </c>
      <c r="NJ34" s="950">
        <f t="shared" si="432"/>
        <v>0</v>
      </c>
      <c r="NK34" s="861">
        <f t="shared" si="432"/>
        <v>0</v>
      </c>
      <c r="NL34" s="1031">
        <f t="shared" si="432"/>
        <v>0</v>
      </c>
      <c r="NM34" s="950">
        <f t="shared" si="432"/>
        <v>0</v>
      </c>
      <c r="NN34" s="1062">
        <f t="shared" si="432"/>
        <v>0</v>
      </c>
      <c r="NO34" s="1028">
        <f t="shared" si="432"/>
        <v>0</v>
      </c>
      <c r="NP34" s="955">
        <f t="shared" si="432"/>
        <v>0</v>
      </c>
      <c r="NQ34" s="1019">
        <f t="shared" si="432"/>
        <v>0</v>
      </c>
      <c r="NR34" s="969">
        <f t="shared" si="432"/>
        <v>0</v>
      </c>
      <c r="NS34" s="955">
        <f t="shared" si="432"/>
        <v>0</v>
      </c>
      <c r="NT34" s="954">
        <f t="shared" si="432"/>
        <v>0</v>
      </c>
      <c r="NU34" s="1031">
        <f t="shared" si="432"/>
        <v>0</v>
      </c>
      <c r="NV34" s="955">
        <f t="shared" si="432"/>
        <v>0</v>
      </c>
      <c r="NW34" s="954">
        <f t="shared" si="432"/>
        <v>0</v>
      </c>
      <c r="NX34" s="1031">
        <f t="shared" si="432"/>
        <v>0</v>
      </c>
      <c r="NY34" s="955">
        <f t="shared" si="432"/>
        <v>0</v>
      </c>
      <c r="NZ34" s="954">
        <f t="shared" si="432"/>
        <v>0</v>
      </c>
      <c r="OA34" s="1028">
        <f t="shared" si="432"/>
        <v>0</v>
      </c>
      <c r="OB34" s="1036">
        <f t="shared" si="432"/>
        <v>0</v>
      </c>
      <c r="OC34" s="957">
        <f>SUM(OC32:OC33)</f>
        <v>0</v>
      </c>
      <c r="OD34" s="1031">
        <f t="shared" si="432"/>
        <v>0</v>
      </c>
      <c r="OE34" s="976">
        <f>SUM(OE32:OE33)</f>
        <v>0</v>
      </c>
      <c r="OF34" s="1035">
        <f t="shared" ref="OF34" si="433">SUM(OF32:OF33)</f>
        <v>0</v>
      </c>
      <c r="OG34" s="957">
        <f t="shared" si="432"/>
        <v>0</v>
      </c>
      <c r="OH34" s="1028">
        <f t="shared" si="432"/>
        <v>0</v>
      </c>
      <c r="OI34" s="957">
        <f t="shared" si="432"/>
        <v>0</v>
      </c>
      <c r="OJ34" s="950">
        <f t="shared" si="432"/>
        <v>368867921.07999998</v>
      </c>
      <c r="OK34" s="1018">
        <f t="shared" si="432"/>
        <v>8862344.3799999878</v>
      </c>
      <c r="OL34" s="969">
        <f t="shared" si="432"/>
        <v>168384500</v>
      </c>
      <c r="OM34" s="861">
        <f t="shared" si="432"/>
        <v>191621076.69999999</v>
      </c>
      <c r="ON34" s="950">
        <f t="shared" si="432"/>
        <v>240966539.10000002</v>
      </c>
      <c r="OO34" s="1018">
        <f t="shared" si="432"/>
        <v>6267207.3700000001</v>
      </c>
      <c r="OP34" s="969">
        <f t="shared" si="432"/>
        <v>119076909.65000001</v>
      </c>
      <c r="OQ34" s="861">
        <f t="shared" si="432"/>
        <v>115622422.08</v>
      </c>
      <c r="OR34" s="950">
        <f t="shared" si="432"/>
        <v>0</v>
      </c>
      <c r="OS34" s="954">
        <f t="shared" si="432"/>
        <v>0</v>
      </c>
      <c r="OT34" s="1031">
        <f t="shared" si="432"/>
        <v>0</v>
      </c>
      <c r="OU34" s="861">
        <f t="shared" si="432"/>
        <v>0</v>
      </c>
      <c r="OV34" s="949">
        <f t="shared" si="432"/>
        <v>0</v>
      </c>
      <c r="OW34" s="954">
        <f t="shared" si="432"/>
        <v>0</v>
      </c>
      <c r="OX34" s="971">
        <f t="shared" si="432"/>
        <v>0</v>
      </c>
      <c r="OY34" s="861">
        <f t="shared" si="432"/>
        <v>0</v>
      </c>
      <c r="OZ34" s="959">
        <f t="shared" si="432"/>
        <v>0</v>
      </c>
      <c r="PA34" s="1018">
        <f t="shared" si="432"/>
        <v>0</v>
      </c>
      <c r="PB34" s="1028">
        <f t="shared" si="432"/>
        <v>0</v>
      </c>
      <c r="PC34" s="861">
        <f t="shared" si="432"/>
        <v>0</v>
      </c>
      <c r="PD34" s="959">
        <f t="shared" si="432"/>
        <v>0</v>
      </c>
      <c r="PE34" s="1018">
        <f t="shared" si="432"/>
        <v>0</v>
      </c>
      <c r="PF34" s="1028">
        <f t="shared" si="432"/>
        <v>0</v>
      </c>
      <c r="PG34" s="861">
        <f t="shared" si="432"/>
        <v>0</v>
      </c>
      <c r="PH34" s="1061">
        <f t="shared" si="432"/>
        <v>0</v>
      </c>
      <c r="PI34" s="954">
        <f t="shared" si="432"/>
        <v>0</v>
      </c>
      <c r="PJ34" s="1031">
        <f t="shared" si="432"/>
        <v>0</v>
      </c>
      <c r="PK34" s="861">
        <f t="shared" si="432"/>
        <v>0</v>
      </c>
      <c r="PL34" s="959">
        <f t="shared" si="432"/>
        <v>0</v>
      </c>
      <c r="PM34" s="1018">
        <f t="shared" si="432"/>
        <v>0</v>
      </c>
      <c r="PN34" s="969">
        <f t="shared" si="432"/>
        <v>0</v>
      </c>
      <c r="PO34" s="861">
        <f t="shared" si="432"/>
        <v>0</v>
      </c>
      <c r="PP34" s="1035">
        <f t="shared" si="432"/>
        <v>0</v>
      </c>
      <c r="PQ34" s="1063">
        <f t="shared" si="432"/>
        <v>0</v>
      </c>
      <c r="PR34" s="1032">
        <f t="shared" si="432"/>
        <v>0</v>
      </c>
      <c r="PS34" s="1063">
        <f t="shared" ref="PS34:PT34" si="434">SUM(PS32:PS33)</f>
        <v>0</v>
      </c>
      <c r="PT34" s="1032">
        <f t="shared" si="434"/>
        <v>0</v>
      </c>
      <c r="PU34" s="1035">
        <f t="shared" ref="PU34:SH34" si="435">SUM(PU32:PU33)</f>
        <v>0</v>
      </c>
      <c r="PV34" s="1063">
        <f t="shared" si="435"/>
        <v>0</v>
      </c>
      <c r="PW34" s="1032">
        <f t="shared" si="435"/>
        <v>0</v>
      </c>
      <c r="PX34" s="1063">
        <f t="shared" ref="PX34:PY34" si="436">SUM(PX32:PX33)</f>
        <v>0</v>
      </c>
      <c r="PY34" s="1032">
        <f t="shared" si="436"/>
        <v>0</v>
      </c>
      <c r="PZ34" s="1035">
        <f t="shared" si="435"/>
        <v>0</v>
      </c>
      <c r="QA34" s="1063">
        <f t="shared" si="435"/>
        <v>0</v>
      </c>
      <c r="QB34" s="1032">
        <f t="shared" si="435"/>
        <v>0</v>
      </c>
      <c r="QC34" s="1035">
        <f t="shared" si="435"/>
        <v>0</v>
      </c>
      <c r="QD34" s="1063">
        <f t="shared" si="435"/>
        <v>0</v>
      </c>
      <c r="QE34" s="1032">
        <f t="shared" si="435"/>
        <v>0</v>
      </c>
      <c r="QF34" s="1060">
        <f t="shared" si="435"/>
        <v>0</v>
      </c>
      <c r="QG34" s="1063">
        <f t="shared" si="435"/>
        <v>0</v>
      </c>
      <c r="QH34" s="1032">
        <f t="shared" si="435"/>
        <v>0</v>
      </c>
      <c r="QI34" s="1060">
        <f t="shared" si="435"/>
        <v>0</v>
      </c>
      <c r="QJ34" s="1063">
        <f t="shared" si="435"/>
        <v>0</v>
      </c>
      <c r="QK34" s="1032">
        <f t="shared" si="435"/>
        <v>0</v>
      </c>
      <c r="QL34" s="955">
        <f t="shared" si="435"/>
        <v>0</v>
      </c>
      <c r="QM34" s="1063">
        <f t="shared" si="435"/>
        <v>0</v>
      </c>
      <c r="QN34" s="1032">
        <f t="shared" si="435"/>
        <v>0</v>
      </c>
      <c r="QO34" s="1060">
        <f t="shared" si="435"/>
        <v>0</v>
      </c>
      <c r="QP34" s="1063">
        <f t="shared" si="435"/>
        <v>0</v>
      </c>
      <c r="QQ34" s="1032">
        <f t="shared" si="435"/>
        <v>0</v>
      </c>
      <c r="QR34" s="942">
        <f t="shared" si="435"/>
        <v>6974526.3200000003</v>
      </c>
      <c r="QS34" s="954">
        <f t="shared" si="435"/>
        <v>348726.3200000003</v>
      </c>
      <c r="QT34" s="971">
        <f t="shared" si="435"/>
        <v>6625800</v>
      </c>
      <c r="QU34" s="950">
        <f t="shared" si="435"/>
        <v>3281918.96</v>
      </c>
      <c r="QV34" s="1019">
        <f t="shared" si="435"/>
        <v>164095.95000000001</v>
      </c>
      <c r="QW34" s="1028">
        <f t="shared" si="435"/>
        <v>3117823.01</v>
      </c>
      <c r="QX34" s="942">
        <f t="shared" si="435"/>
        <v>0</v>
      </c>
      <c r="QY34" s="954">
        <f t="shared" si="435"/>
        <v>0</v>
      </c>
      <c r="QZ34" s="971">
        <f t="shared" si="435"/>
        <v>0</v>
      </c>
      <c r="RA34" s="950">
        <f t="shared" si="435"/>
        <v>0</v>
      </c>
      <c r="RB34" s="1019">
        <f t="shared" si="435"/>
        <v>0</v>
      </c>
      <c r="RC34" s="1028">
        <f t="shared" si="435"/>
        <v>0</v>
      </c>
      <c r="RD34" s="942">
        <f t="shared" si="435"/>
        <v>0</v>
      </c>
      <c r="RE34" s="954">
        <f t="shared" si="435"/>
        <v>0</v>
      </c>
      <c r="RF34" s="971">
        <f t="shared" si="435"/>
        <v>0</v>
      </c>
      <c r="RG34" s="950">
        <f t="shared" si="435"/>
        <v>0</v>
      </c>
      <c r="RH34" s="1019">
        <f t="shared" si="435"/>
        <v>0</v>
      </c>
      <c r="RI34" s="1028">
        <f t="shared" si="435"/>
        <v>0</v>
      </c>
      <c r="RJ34" s="966">
        <f t="shared" si="435"/>
        <v>0</v>
      </c>
      <c r="RK34" s="954">
        <f t="shared" si="435"/>
        <v>0</v>
      </c>
      <c r="RL34" s="971">
        <f t="shared" si="435"/>
        <v>0</v>
      </c>
      <c r="RM34" s="955">
        <f t="shared" si="435"/>
        <v>0</v>
      </c>
      <c r="RN34" s="1019">
        <f t="shared" si="435"/>
        <v>0</v>
      </c>
      <c r="RO34" s="1028">
        <f t="shared" si="435"/>
        <v>0</v>
      </c>
      <c r="RP34" s="966">
        <f t="shared" si="435"/>
        <v>0</v>
      </c>
      <c r="RQ34" s="954">
        <f t="shared" si="435"/>
        <v>0</v>
      </c>
      <c r="RR34" s="971">
        <f t="shared" si="435"/>
        <v>0</v>
      </c>
      <c r="RS34" s="955">
        <f t="shared" si="435"/>
        <v>0</v>
      </c>
      <c r="RT34" s="1019">
        <f t="shared" si="435"/>
        <v>0</v>
      </c>
      <c r="RU34" s="1028">
        <f t="shared" si="435"/>
        <v>0</v>
      </c>
      <c r="RV34" s="942">
        <f t="shared" si="435"/>
        <v>0</v>
      </c>
      <c r="RW34" s="1064">
        <f t="shared" si="435"/>
        <v>0</v>
      </c>
      <c r="RX34" s="969">
        <f t="shared" si="435"/>
        <v>0</v>
      </c>
      <c r="RY34" s="950">
        <f t="shared" si="435"/>
        <v>0</v>
      </c>
      <c r="RZ34" s="1062">
        <f t="shared" si="435"/>
        <v>0</v>
      </c>
      <c r="SA34" s="1028">
        <f t="shared" si="435"/>
        <v>0</v>
      </c>
      <c r="SB34" s="950">
        <f t="shared" si="435"/>
        <v>836325530.1400001</v>
      </c>
      <c r="SC34" s="1063">
        <f t="shared" si="435"/>
        <v>291846070.68000001</v>
      </c>
      <c r="SD34" s="1063">
        <f t="shared" si="435"/>
        <v>141564659.46000004</v>
      </c>
      <c r="SE34" s="1028">
        <f t="shared" si="435"/>
        <v>402914800</v>
      </c>
      <c r="SF34" s="950">
        <f t="shared" si="435"/>
        <v>706216261.29999995</v>
      </c>
      <c r="SG34" s="1063">
        <f t="shared" si="435"/>
        <v>193907064.15000001</v>
      </c>
      <c r="SH34" s="1062">
        <f t="shared" si="435"/>
        <v>133200391.26000001</v>
      </c>
      <c r="SI34" s="1028">
        <f t="shared" ref="SI34:TR34" si="437">SUM(SI32:SI33)</f>
        <v>379108805.88999999</v>
      </c>
      <c r="SJ34" s="942">
        <f t="shared" si="437"/>
        <v>0</v>
      </c>
      <c r="SK34" s="1063">
        <f t="shared" si="437"/>
        <v>0</v>
      </c>
      <c r="SL34" s="1031">
        <f t="shared" si="437"/>
        <v>0</v>
      </c>
      <c r="SM34" s="950">
        <f t="shared" si="437"/>
        <v>0</v>
      </c>
      <c r="SN34" s="1062">
        <f t="shared" si="437"/>
        <v>0</v>
      </c>
      <c r="SO34" s="1028">
        <f t="shared" si="437"/>
        <v>0</v>
      </c>
      <c r="SP34" s="950">
        <f t="shared" si="437"/>
        <v>13685959.390000001</v>
      </c>
      <c r="SQ34" s="1063">
        <f t="shared" si="437"/>
        <v>0</v>
      </c>
      <c r="SR34" s="1032">
        <f t="shared" si="437"/>
        <v>0</v>
      </c>
      <c r="SS34" s="1062">
        <f t="shared" si="437"/>
        <v>0</v>
      </c>
      <c r="ST34" s="969">
        <f t="shared" si="437"/>
        <v>0</v>
      </c>
      <c r="SU34" s="1062">
        <f t="shared" si="437"/>
        <v>13685959.390000001</v>
      </c>
      <c r="SV34" s="969">
        <f t="shared" si="437"/>
        <v>0</v>
      </c>
      <c r="SW34" s="950">
        <f t="shared" si="437"/>
        <v>0</v>
      </c>
      <c r="SX34" s="1063">
        <f t="shared" si="437"/>
        <v>0</v>
      </c>
      <c r="SY34" s="1032">
        <f t="shared" si="437"/>
        <v>0</v>
      </c>
      <c r="SZ34" s="1063">
        <f t="shared" si="437"/>
        <v>0</v>
      </c>
      <c r="TA34" s="1032">
        <f t="shared" si="437"/>
        <v>0</v>
      </c>
      <c r="TB34" s="1063">
        <f t="shared" si="437"/>
        <v>0</v>
      </c>
      <c r="TC34" s="1028">
        <f t="shared" si="437"/>
        <v>0</v>
      </c>
      <c r="TD34" s="1035">
        <f t="shared" si="437"/>
        <v>0</v>
      </c>
      <c r="TE34" s="1063">
        <f t="shared" si="437"/>
        <v>0</v>
      </c>
      <c r="TF34" s="1032">
        <f t="shared" si="437"/>
        <v>0</v>
      </c>
      <c r="TG34" s="1063">
        <f t="shared" si="437"/>
        <v>0</v>
      </c>
      <c r="TH34" s="1032">
        <f t="shared" si="437"/>
        <v>0</v>
      </c>
      <c r="TI34" s="1063">
        <f t="shared" si="437"/>
        <v>0</v>
      </c>
      <c r="TJ34" s="1032">
        <f t="shared" si="437"/>
        <v>0</v>
      </c>
      <c r="TK34" s="1057">
        <f t="shared" si="437"/>
        <v>0</v>
      </c>
      <c r="TL34" s="1063">
        <f t="shared" si="437"/>
        <v>0</v>
      </c>
      <c r="TM34" s="1032">
        <f t="shared" si="437"/>
        <v>0</v>
      </c>
      <c r="TN34" s="1063">
        <f t="shared" si="437"/>
        <v>0</v>
      </c>
      <c r="TO34" s="1032">
        <f t="shared" si="437"/>
        <v>0</v>
      </c>
      <c r="TP34" s="1063">
        <f t="shared" si="437"/>
        <v>0</v>
      </c>
      <c r="TQ34" s="1032">
        <f t="shared" si="437"/>
        <v>0</v>
      </c>
      <c r="TR34" s="1067">
        <f t="shared" si="437"/>
        <v>0</v>
      </c>
      <c r="TS34" s="1063">
        <f>SUM(TS32:TS33)</f>
        <v>0</v>
      </c>
      <c r="TT34" s="1032">
        <f>SUM(TT32:TT33)</f>
        <v>0</v>
      </c>
      <c r="TU34" s="1063">
        <f t="shared" ref="TU34:TV34" si="438">SUM(TU32:TU33)</f>
        <v>0</v>
      </c>
      <c r="TV34" s="1032">
        <f t="shared" si="438"/>
        <v>0</v>
      </c>
      <c r="TW34" s="1063">
        <f>SUM(TW32:TW33)</f>
        <v>0</v>
      </c>
      <c r="TX34" s="1032">
        <f>SUM(TX32:TX33)</f>
        <v>0</v>
      </c>
      <c r="TY34" s="1067">
        <f t="shared" ref="TY34" si="439">SUM(TY32:TY33)</f>
        <v>0</v>
      </c>
      <c r="TZ34" s="1063">
        <f>SUM(TZ32:TZ33)</f>
        <v>0</v>
      </c>
      <c r="UA34" s="1032">
        <f>SUM(UA32:UA33)</f>
        <v>0</v>
      </c>
      <c r="UB34" s="1063">
        <f t="shared" ref="UB34:WS34" si="440">SUM(UB32:UB33)</f>
        <v>0</v>
      </c>
      <c r="UC34" s="1032">
        <f t="shared" si="440"/>
        <v>0</v>
      </c>
      <c r="UD34" s="1063">
        <f t="shared" si="440"/>
        <v>0</v>
      </c>
      <c r="UE34" s="1032">
        <f t="shared" si="440"/>
        <v>0</v>
      </c>
      <c r="UF34" s="955">
        <f t="shared" si="440"/>
        <v>0</v>
      </c>
      <c r="UG34" s="1063">
        <f t="shared" si="440"/>
        <v>0</v>
      </c>
      <c r="UH34" s="1032">
        <f t="shared" si="440"/>
        <v>0</v>
      </c>
      <c r="UI34" s="1063">
        <f>SUM(UI32:UI33)</f>
        <v>0</v>
      </c>
      <c r="UJ34" s="1032">
        <f>SUM(UJ32:UJ33)</f>
        <v>0</v>
      </c>
      <c r="UK34" s="1062">
        <f t="shared" si="440"/>
        <v>0</v>
      </c>
      <c r="UL34" s="969">
        <f t="shared" si="440"/>
        <v>0</v>
      </c>
      <c r="UM34" s="1067">
        <f t="shared" si="440"/>
        <v>0</v>
      </c>
      <c r="UN34" s="1063">
        <f t="shared" si="440"/>
        <v>0</v>
      </c>
      <c r="UO34" s="1032">
        <f t="shared" si="440"/>
        <v>0</v>
      </c>
      <c r="UP34" s="1063">
        <f t="shared" si="440"/>
        <v>0</v>
      </c>
      <c r="UQ34" s="1032">
        <f t="shared" si="440"/>
        <v>0</v>
      </c>
      <c r="UR34" s="1063">
        <f t="shared" si="440"/>
        <v>0</v>
      </c>
      <c r="US34" s="1032">
        <f t="shared" si="440"/>
        <v>0</v>
      </c>
      <c r="UT34" s="950">
        <f t="shared" si="440"/>
        <v>1761275224.3200002</v>
      </c>
      <c r="UU34" s="950">
        <f t="shared" si="440"/>
        <v>1056044171.04</v>
      </c>
      <c r="UV34" s="950">
        <f t="shared" si="440"/>
        <v>0</v>
      </c>
      <c r="UW34" s="950">
        <f t="shared" si="440"/>
        <v>0</v>
      </c>
      <c r="UX34" s="1059">
        <f t="shared" si="440"/>
        <v>0</v>
      </c>
      <c r="UY34" s="1065">
        <f t="shared" si="440"/>
        <v>0</v>
      </c>
      <c r="UZ34" s="1059">
        <f t="shared" si="440"/>
        <v>0</v>
      </c>
      <c r="VA34" s="1065">
        <f t="shared" si="440"/>
        <v>0</v>
      </c>
      <c r="VB34" s="950">
        <f t="shared" si="440"/>
        <v>8706116796.8400021</v>
      </c>
      <c r="VC34" s="1062">
        <f t="shared" si="440"/>
        <v>8445793037.3200006</v>
      </c>
      <c r="VD34" s="1063">
        <f t="shared" si="440"/>
        <v>260323759.52000001</v>
      </c>
      <c r="VE34" s="950">
        <f t="shared" si="440"/>
        <v>6440121009.8699999</v>
      </c>
      <c r="VF34" s="970">
        <f t="shared" si="440"/>
        <v>6269997343.5900002</v>
      </c>
      <c r="VG34" s="976">
        <f t="shared" si="440"/>
        <v>170123666.28</v>
      </c>
      <c r="VH34" s="950">
        <f t="shared" si="440"/>
        <v>8204168515.0800009</v>
      </c>
      <c r="VI34" s="949">
        <f t="shared" si="440"/>
        <v>6092191302.6700001</v>
      </c>
      <c r="VJ34" s="950">
        <f t="shared" si="440"/>
        <v>149755245</v>
      </c>
      <c r="VK34" s="949">
        <f t="shared" si="440"/>
        <v>118000000</v>
      </c>
      <c r="VL34" s="950">
        <f t="shared" si="440"/>
        <v>0</v>
      </c>
      <c r="VM34" s="949">
        <f t="shared" si="440"/>
        <v>0</v>
      </c>
      <c r="VN34" s="950">
        <f t="shared" si="440"/>
        <v>0</v>
      </c>
      <c r="VO34" s="949">
        <f t="shared" si="440"/>
        <v>0</v>
      </c>
      <c r="VP34" s="942">
        <f t="shared" si="440"/>
        <v>63100</v>
      </c>
      <c r="VQ34" s="950">
        <f t="shared" si="440"/>
        <v>0</v>
      </c>
      <c r="VR34" s="949">
        <f t="shared" si="440"/>
        <v>0</v>
      </c>
      <c r="VS34" s="950">
        <f t="shared" si="440"/>
        <v>0</v>
      </c>
      <c r="VT34" s="949">
        <f t="shared" si="440"/>
        <v>0</v>
      </c>
      <c r="VU34" s="950">
        <f t="shared" si="440"/>
        <v>0</v>
      </c>
      <c r="VV34" s="965">
        <f t="shared" si="440"/>
        <v>7674600</v>
      </c>
      <c r="VW34" s="949">
        <f t="shared" si="440"/>
        <v>7674600</v>
      </c>
      <c r="VX34" s="950">
        <f t="shared" si="440"/>
        <v>339825756.09999996</v>
      </c>
      <c r="VY34" s="1018">
        <f>SUM(VY32:VY33)</f>
        <v>88354696.579999983</v>
      </c>
      <c r="VZ34" s="969">
        <f>SUM(VZ32:VZ33)</f>
        <v>251471059.52000001</v>
      </c>
      <c r="WA34" s="1035">
        <f t="shared" ref="WA34" si="441">SUM(WA32:WA33)</f>
        <v>218288618.92000002</v>
      </c>
      <c r="WB34" s="954">
        <f>SUM(WB32:WB33)</f>
        <v>56755040.920000002</v>
      </c>
      <c r="WC34" s="1031">
        <f>SUM(WC32:WC33)</f>
        <v>161533578</v>
      </c>
      <c r="WD34" s="950">
        <f t="shared" ref="WD34" si="442">SUM(WD32:WD33)</f>
        <v>4629580.66</v>
      </c>
      <c r="WE34" s="976">
        <f t="shared" si="440"/>
        <v>3514580.66</v>
      </c>
      <c r="WF34" s="969">
        <f t="shared" si="440"/>
        <v>1115000</v>
      </c>
      <c r="WG34" s="950">
        <f t="shared" si="440"/>
        <v>3966488.2800000003</v>
      </c>
      <c r="WH34" s="954">
        <f>SUM(WH32:WH33)</f>
        <v>3051000</v>
      </c>
      <c r="WI34" s="1031">
        <f>SUM(WI32:WI33)</f>
        <v>915488.28</v>
      </c>
      <c r="WJ34" s="950">
        <f t="shared" ref="WJ34:WQ34" si="443">SUM(WJ32:WJ33)</f>
        <v>1505439121.9500003</v>
      </c>
      <c r="WK34" s="950">
        <f>SUM(WK32:WK33)</f>
        <v>704733662.95000005</v>
      </c>
      <c r="WL34" s="950">
        <f t="shared" si="443"/>
        <v>0</v>
      </c>
      <c r="WM34" s="976">
        <f t="shared" si="443"/>
        <v>0</v>
      </c>
      <c r="WN34" s="969">
        <f t="shared" si="443"/>
        <v>0</v>
      </c>
      <c r="WO34" s="950">
        <f t="shared" si="443"/>
        <v>0</v>
      </c>
      <c r="WP34" s="957">
        <f t="shared" si="443"/>
        <v>0</v>
      </c>
      <c r="WQ34" s="969">
        <f t="shared" si="443"/>
        <v>0</v>
      </c>
      <c r="WR34" s="950">
        <f t="shared" si="440"/>
        <v>96014740</v>
      </c>
      <c r="WS34" s="976">
        <f t="shared" si="440"/>
        <v>4800739.34</v>
      </c>
      <c r="WT34" s="969">
        <f t="shared" ref="WT34:ZD34" si="444">SUM(WT32:WT33)</f>
        <v>91214000.659999996</v>
      </c>
      <c r="WU34" s="950">
        <f t="shared" si="444"/>
        <v>15963290.640000001</v>
      </c>
      <c r="WV34" s="957">
        <f t="shared" si="444"/>
        <v>798164.93</v>
      </c>
      <c r="WW34" s="969">
        <f t="shared" si="444"/>
        <v>15165125.710000001</v>
      </c>
      <c r="WX34" s="950">
        <f t="shared" si="444"/>
        <v>20591666.829999998</v>
      </c>
      <c r="WY34" s="976">
        <f t="shared" si="444"/>
        <v>1029583.3400000001</v>
      </c>
      <c r="WZ34" s="969">
        <f t="shared" si="444"/>
        <v>19562083.490000002</v>
      </c>
      <c r="XA34" s="950">
        <f t="shared" si="444"/>
        <v>15660234.380000001</v>
      </c>
      <c r="XB34" s="957">
        <f t="shared" si="444"/>
        <v>783011.72</v>
      </c>
      <c r="XC34" s="969">
        <f t="shared" si="444"/>
        <v>14877222.66</v>
      </c>
      <c r="XD34" s="950">
        <f t="shared" si="444"/>
        <v>439627862</v>
      </c>
      <c r="XE34" s="957">
        <f t="shared" si="444"/>
        <v>217125291</v>
      </c>
      <c r="XF34" s="971">
        <f t="shared" si="444"/>
        <v>222502571</v>
      </c>
      <c r="XG34" s="950">
        <f t="shared" si="444"/>
        <v>175390240</v>
      </c>
      <c r="XH34" s="957">
        <f t="shared" si="444"/>
        <v>0</v>
      </c>
      <c r="XI34" s="969">
        <f t="shared" si="444"/>
        <v>175390240</v>
      </c>
      <c r="XJ34" s="1069">
        <f t="shared" si="444"/>
        <v>0</v>
      </c>
      <c r="XK34" s="1070">
        <f t="shared" si="444"/>
        <v>0</v>
      </c>
      <c r="XL34" s="1071">
        <f t="shared" si="444"/>
        <v>0</v>
      </c>
      <c r="XM34" s="1072">
        <f t="shared" si="444"/>
        <v>0</v>
      </c>
      <c r="XN34" s="1071">
        <f t="shared" si="444"/>
        <v>0</v>
      </c>
      <c r="XO34" s="1072">
        <f t="shared" si="444"/>
        <v>0</v>
      </c>
      <c r="XP34" s="989">
        <f t="shared" si="444"/>
        <v>0</v>
      </c>
      <c r="XQ34" s="1072">
        <f t="shared" si="444"/>
        <v>0</v>
      </c>
      <c r="XR34" s="1073">
        <f t="shared" si="444"/>
        <v>0</v>
      </c>
      <c r="XS34" s="1073">
        <f t="shared" si="444"/>
        <v>0</v>
      </c>
      <c r="XT34" s="1073">
        <f t="shared" si="444"/>
        <v>0</v>
      </c>
      <c r="XU34" s="1073">
        <f t="shared" si="444"/>
        <v>0</v>
      </c>
      <c r="XV34" s="1071">
        <f t="shared" si="444"/>
        <v>949204853.12000012</v>
      </c>
      <c r="XW34" s="1070">
        <f>SUM(XW32:XW33)</f>
        <v>335640263.04000002</v>
      </c>
      <c r="XX34" s="1072">
        <f t="shared" ref="XX34:YC34" si="445">SUM(XX32:XX33)</f>
        <v>123634488</v>
      </c>
      <c r="XY34" s="1072">
        <f>SUM(XY32:XY33)</f>
        <v>0</v>
      </c>
      <c r="XZ34" s="1070">
        <f t="shared" si="445"/>
        <v>355374797.69</v>
      </c>
      <c r="YA34" s="1070">
        <f t="shared" si="445"/>
        <v>0</v>
      </c>
      <c r="YB34" s="1072">
        <f t="shared" si="445"/>
        <v>95774236.409999996</v>
      </c>
      <c r="YC34" s="1072">
        <f t="shared" si="445"/>
        <v>4968497.47</v>
      </c>
      <c r="YD34" s="1070">
        <f>SUM(YD32:YD33)</f>
        <v>15239585.040000001</v>
      </c>
      <c r="YE34" s="1072">
        <f t="shared" ref="YE34:YI34" si="446">SUM(YE32:YE33)</f>
        <v>0</v>
      </c>
      <c r="YF34" s="1072">
        <f t="shared" si="446"/>
        <v>18572985.469999999</v>
      </c>
      <c r="YG34" s="1071">
        <f t="shared" si="446"/>
        <v>497719897.93000001</v>
      </c>
      <c r="YH34" s="1072">
        <f t="shared" si="446"/>
        <v>176246821.08000001</v>
      </c>
      <c r="YI34" s="1072">
        <f t="shared" si="446"/>
        <v>16577703.73</v>
      </c>
      <c r="YJ34" s="1070">
        <f>SUM(YJ32:YJ33)</f>
        <v>0</v>
      </c>
      <c r="YK34" s="1072">
        <f t="shared" ref="YK34:YR34" si="447">SUM(YK32:YK33)</f>
        <v>248408155.34999999</v>
      </c>
      <c r="YL34" s="1072">
        <f t="shared" si="447"/>
        <v>0</v>
      </c>
      <c r="YM34" s="1072">
        <f t="shared" si="447"/>
        <v>37914232.299999997</v>
      </c>
      <c r="YN34" s="1072">
        <f>SUM(YN32:YN33)</f>
        <v>0</v>
      </c>
      <c r="YO34" s="1072">
        <f t="shared" ref="YO34:YQ34" si="448">SUM(YO32:YO33)</f>
        <v>0</v>
      </c>
      <c r="YP34" s="1072">
        <f t="shared" si="448"/>
        <v>0</v>
      </c>
      <c r="YQ34" s="1072">
        <f t="shared" si="448"/>
        <v>18572985.469999999</v>
      </c>
      <c r="YR34" s="950">
        <f t="shared" si="447"/>
        <v>0</v>
      </c>
      <c r="YS34" s="1072">
        <f>SUM(YS32:YS33)</f>
        <v>0</v>
      </c>
      <c r="YT34" s="1072">
        <f>SUM(YT32:YT33)</f>
        <v>0</v>
      </c>
      <c r="YU34" s="1072">
        <f>SUM(YU32:YU33)</f>
        <v>0</v>
      </c>
      <c r="YV34" s="1072">
        <f>SUM(YV32:YV33)</f>
        <v>0</v>
      </c>
      <c r="YW34" s="1074">
        <f t="shared" ref="YW34" si="449">SUM(YW32:YW33)</f>
        <v>0</v>
      </c>
      <c r="YX34" s="950">
        <f t="shared" si="444"/>
        <v>0</v>
      </c>
      <c r="YY34" s="1072">
        <f>SUM(YY32:YY33)</f>
        <v>0</v>
      </c>
      <c r="YZ34" s="1072">
        <f>SUM(YZ32:YZ33)</f>
        <v>0</v>
      </c>
      <c r="ZA34" s="1072">
        <f>SUM(ZA32:ZA33)</f>
        <v>0</v>
      </c>
      <c r="ZB34" s="1072">
        <f>SUM(ZB32:ZB33)</f>
        <v>0</v>
      </c>
      <c r="ZC34" s="1074">
        <f t="shared" ref="ZC34" si="450">SUM(ZC32:ZC33)</f>
        <v>0</v>
      </c>
      <c r="ZD34" s="955">
        <f t="shared" si="444"/>
        <v>0</v>
      </c>
      <c r="ZE34" s="1072">
        <f>SUM(ZE32:ZE33)</f>
        <v>0</v>
      </c>
      <c r="ZF34" s="1072">
        <f>SUM(ZF32:ZF33)</f>
        <v>0</v>
      </c>
      <c r="ZG34" s="1072">
        <f>SUM(ZG32:ZG33)</f>
        <v>0</v>
      </c>
      <c r="ZH34" s="1072">
        <f>SUM(ZH32:ZH33)</f>
        <v>0</v>
      </c>
      <c r="ZI34" s="1072">
        <f>SUM(ZI32:ZI33)</f>
        <v>0</v>
      </c>
      <c r="ZJ34" s="955">
        <f t="shared" ref="ZJ34" si="451">SUM(ZJ32:ZJ33)</f>
        <v>0</v>
      </c>
      <c r="ZK34" s="1072">
        <f>SUM(ZK32:ZK33)</f>
        <v>0</v>
      </c>
      <c r="ZL34" s="1072">
        <f>SUM(ZL32:ZL33)</f>
        <v>0</v>
      </c>
      <c r="ZM34" s="1072">
        <f>SUM(ZM32:ZM33)</f>
        <v>0</v>
      </c>
      <c r="ZN34" s="1072">
        <f>SUM(ZN32:ZN33)</f>
        <v>0</v>
      </c>
      <c r="ZO34" s="1072">
        <f>SUM(ZO32:ZO33)</f>
        <v>0</v>
      </c>
      <c r="ZP34" s="955">
        <f t="shared" ref="ZP34" si="452">SUM(ZP32:ZP33)</f>
        <v>0</v>
      </c>
      <c r="ZQ34" s="1072">
        <f>SUM(ZQ32:ZQ33)</f>
        <v>0</v>
      </c>
      <c r="ZR34" s="1072">
        <f>SUM(ZR32:ZR33)</f>
        <v>0</v>
      </c>
      <c r="ZS34" s="1072">
        <f>SUM(ZS32:ZS33)</f>
        <v>0</v>
      </c>
      <c r="ZT34" s="1072">
        <f>SUM(ZT32:ZT33)</f>
        <v>0</v>
      </c>
      <c r="ZU34" s="1074">
        <f t="shared" ref="ZU34:AAS34" si="453">SUM(ZU32:ZU33)</f>
        <v>0</v>
      </c>
      <c r="ZV34" s="955">
        <f t="shared" si="453"/>
        <v>0</v>
      </c>
      <c r="ZW34" s="1072">
        <f>SUM(ZW32:ZW33)</f>
        <v>0</v>
      </c>
      <c r="ZX34" s="1072">
        <f>SUM(ZX32:ZX33)</f>
        <v>0</v>
      </c>
      <c r="ZY34" s="1072"/>
      <c r="ZZ34" s="1072">
        <f>SUM(ZZ32:ZZ33)</f>
        <v>0</v>
      </c>
      <c r="AAA34" s="1074">
        <f t="shared" ref="AAA34" si="454">SUM(AAA32:AAA33)</f>
        <v>0</v>
      </c>
      <c r="AAB34" s="1068">
        <f t="shared" si="453"/>
        <v>-1600900000.1600001</v>
      </c>
      <c r="AAC34" s="1071">
        <f t="shared" si="453"/>
        <v>-30000000</v>
      </c>
      <c r="AAD34" s="1071">
        <f t="shared" si="453"/>
        <v>0</v>
      </c>
      <c r="AAE34" s="1071">
        <f t="shared" si="453"/>
        <v>0</v>
      </c>
      <c r="AAF34" s="1071">
        <f t="shared" si="453"/>
        <v>0</v>
      </c>
      <c r="AAG34" s="1071">
        <f t="shared" si="453"/>
        <v>0</v>
      </c>
      <c r="AAH34" s="1075">
        <f t="shared" si="453"/>
        <v>0</v>
      </c>
      <c r="AAI34" s="1075">
        <f t="shared" si="453"/>
        <v>0</v>
      </c>
      <c r="AAJ34" s="1075">
        <f t="shared" si="453"/>
        <v>0</v>
      </c>
      <c r="AAK34" s="1075">
        <f t="shared" si="453"/>
        <v>0</v>
      </c>
      <c r="AAL34" s="1071">
        <f t="shared" si="453"/>
        <v>-1600900000.1600001</v>
      </c>
      <c r="AAM34" s="1071">
        <f t="shared" si="453"/>
        <v>-30000000</v>
      </c>
      <c r="AAN34" s="1071">
        <f t="shared" si="453"/>
        <v>0</v>
      </c>
      <c r="AAO34" s="1071">
        <f t="shared" si="453"/>
        <v>0</v>
      </c>
      <c r="AAP34" s="1075">
        <f t="shared" si="453"/>
        <v>0</v>
      </c>
      <c r="AAQ34" s="1075">
        <f t="shared" si="453"/>
        <v>0</v>
      </c>
      <c r="AAR34" s="1075">
        <f t="shared" si="453"/>
        <v>0</v>
      </c>
      <c r="AAS34" s="1075">
        <f t="shared" si="453"/>
        <v>0</v>
      </c>
      <c r="AAT34" s="1384">
        <f>'Проверочная  таблица'!AAL34+'Проверочная  таблица'!AAN34</f>
        <v>-1600900000.1600001</v>
      </c>
      <c r="AAU34" s="1384">
        <f>'Проверочная  таблица'!AAM34+'Проверочная  таблица'!AAO34</f>
        <v>-30000000</v>
      </c>
    </row>
    <row r="35" spans="1:723" ht="20.45" customHeight="1" x14ac:dyDescent="0.25">
      <c r="A35" s="1076"/>
      <c r="B35" s="1035"/>
      <c r="C35" s="1035"/>
      <c r="D35" s="1057"/>
      <c r="E35" s="1057"/>
      <c r="F35" s="1035"/>
      <c r="G35" s="1034"/>
      <c r="H35" s="1036"/>
      <c r="I35" s="1035"/>
      <c r="J35" s="1059"/>
      <c r="K35" s="1065"/>
      <c r="L35" s="1059"/>
      <c r="M35" s="1065"/>
      <c r="N35" s="1036"/>
      <c r="O35" s="1035"/>
      <c r="P35" s="1036"/>
      <c r="Q35" s="1035"/>
      <c r="R35" s="1059"/>
      <c r="S35" s="1065"/>
      <c r="T35" s="1059"/>
      <c r="U35" s="1065"/>
      <c r="V35" s="1035"/>
      <c r="W35" s="1062"/>
      <c r="X35" s="1063"/>
      <c r="Y35" s="1063"/>
      <c r="Z35" s="1035"/>
      <c r="AA35" s="1062"/>
      <c r="AB35" s="1063"/>
      <c r="AC35" s="1077"/>
      <c r="AD35" s="1035"/>
      <c r="AE35" s="1062"/>
      <c r="AF35" s="1063"/>
      <c r="AG35" s="1035"/>
      <c r="AH35" s="1062"/>
      <c r="AI35" s="1063"/>
      <c r="AJ35" s="1059"/>
      <c r="AK35" s="1065"/>
      <c r="AL35" s="1059"/>
      <c r="AM35" s="1065"/>
      <c r="AN35" s="939"/>
      <c r="AO35" s="1057"/>
      <c r="AP35" s="1014"/>
      <c r="AQ35" s="1037"/>
      <c r="AR35" s="1015"/>
      <c r="AS35" s="1014"/>
      <c r="AT35" s="1063"/>
      <c r="AU35" s="1063"/>
      <c r="AV35" s="1057"/>
      <c r="AW35" s="1015"/>
      <c r="AX35" s="1057"/>
      <c r="AY35" s="1063"/>
      <c r="AZ35" s="1035"/>
      <c r="BA35" s="1063"/>
      <c r="BB35" s="1035"/>
      <c r="BC35" s="1064"/>
      <c r="BD35" s="1035"/>
      <c r="BE35" s="1063"/>
      <c r="BF35" s="1035"/>
      <c r="BG35" s="1063"/>
      <c r="BH35" s="1065"/>
      <c r="BI35" s="1065"/>
      <c r="BJ35" s="1065"/>
      <c r="BK35" s="1065"/>
      <c r="BL35" s="1036"/>
      <c r="BM35" s="1014"/>
      <c r="BN35" s="1036"/>
      <c r="BO35" s="1014"/>
      <c r="BP35" s="1059"/>
      <c r="BQ35" s="1020"/>
      <c r="BR35" s="1059"/>
      <c r="BS35" s="1020"/>
      <c r="BT35" s="939"/>
      <c r="BU35" s="1015"/>
      <c r="BV35" s="1015"/>
      <c r="BW35" s="1014"/>
      <c r="BX35" s="1063"/>
      <c r="BY35" s="1063"/>
      <c r="BZ35" s="1023"/>
      <c r="CA35" s="1014"/>
      <c r="CB35" s="939"/>
      <c r="CC35" s="939"/>
      <c r="CD35" s="1029"/>
      <c r="CE35" s="1029"/>
      <c r="CF35" s="1029"/>
      <c r="CG35" s="1029"/>
      <c r="CH35" s="939"/>
      <c r="CI35" s="1015"/>
      <c r="CJ35" s="1015"/>
      <c r="CK35" s="1014"/>
      <c r="CL35" s="1063"/>
      <c r="CM35" s="1063"/>
      <c r="CN35" s="939"/>
      <c r="CO35" s="1063"/>
      <c r="CP35" s="1031"/>
      <c r="CQ35" s="1063"/>
      <c r="CR35" s="1028"/>
      <c r="CS35" s="1063"/>
      <c r="CT35" s="1028"/>
      <c r="CU35" s="1014"/>
      <c r="CV35" s="1062"/>
      <c r="CW35" s="1066"/>
      <c r="CX35" s="1063"/>
      <c r="CY35" s="1028"/>
      <c r="CZ35" s="1063"/>
      <c r="DA35" s="1028"/>
      <c r="DB35" s="939"/>
      <c r="DC35" s="1063"/>
      <c r="DD35" s="1031"/>
      <c r="DE35" s="1014"/>
      <c r="DF35" s="1063"/>
      <c r="DG35" s="1032"/>
      <c r="DH35" s="1025"/>
      <c r="DI35" s="1020"/>
      <c r="DJ35" s="1025"/>
      <c r="DK35" s="1020"/>
      <c r="DL35" s="1023"/>
      <c r="DM35" s="861"/>
      <c r="DN35" s="1018"/>
      <c r="DO35" s="861"/>
      <c r="DP35" s="1014"/>
      <c r="DQ35" s="861"/>
      <c r="DR35" s="861"/>
      <c r="DS35" s="861"/>
      <c r="DT35" s="939"/>
      <c r="DU35" s="1063"/>
      <c r="DV35" s="1031"/>
      <c r="DW35" s="1014"/>
      <c r="DX35" s="1062"/>
      <c r="DY35" s="1028"/>
      <c r="DZ35" s="1057"/>
      <c r="EA35" s="1064"/>
      <c r="EB35" s="1028"/>
      <c r="EC35" s="1035"/>
      <c r="ED35" s="1064"/>
      <c r="EE35" s="1028"/>
      <c r="EF35" s="939"/>
      <c r="EG35" s="1063"/>
      <c r="EH35" s="1063"/>
      <c r="EI35" s="1032"/>
      <c r="EJ35" s="939"/>
      <c r="EK35" s="1063"/>
      <c r="EL35" s="1063"/>
      <c r="EM35" s="1032"/>
      <c r="EN35" s="939"/>
      <c r="EO35" s="1063"/>
      <c r="EP35" s="1031"/>
      <c r="EQ35" s="1014"/>
      <c r="ER35" s="1063"/>
      <c r="ES35" s="1031"/>
      <c r="ET35" s="939"/>
      <c r="EU35" s="1063"/>
      <c r="EV35" s="1031"/>
      <c r="EW35" s="1014"/>
      <c r="EX35" s="1063"/>
      <c r="EY35" s="1032"/>
      <c r="EZ35" s="939"/>
      <c r="FA35" s="1063"/>
      <c r="FB35" s="1031"/>
      <c r="FC35" s="1014"/>
      <c r="FD35" s="1063"/>
      <c r="FE35" s="1032"/>
      <c r="FF35" s="1029"/>
      <c r="FG35" s="1063"/>
      <c r="FH35" s="1031"/>
      <c r="FI35" s="1016"/>
      <c r="FJ35" s="1063"/>
      <c r="FK35" s="1032"/>
      <c r="FL35" s="1029"/>
      <c r="FM35" s="1063"/>
      <c r="FN35" s="1031"/>
      <c r="FO35" s="1016"/>
      <c r="FP35" s="1063"/>
      <c r="FQ35" s="1032"/>
      <c r="FR35" s="939"/>
      <c r="FS35" s="1015"/>
      <c r="FT35" s="926"/>
      <c r="FU35" s="939"/>
      <c r="FV35" s="1064"/>
      <c r="FW35" s="1028"/>
      <c r="FX35" s="939"/>
      <c r="FY35" s="1015"/>
      <c r="FZ35" s="926"/>
      <c r="GA35" s="939"/>
      <c r="GB35" s="1064"/>
      <c r="GC35" s="1028"/>
      <c r="GD35" s="1233"/>
      <c r="GE35" s="1015"/>
      <c r="GF35" s="926"/>
      <c r="GG35" s="1233"/>
      <c r="GH35" s="1064"/>
      <c r="GI35" s="1028"/>
      <c r="GJ35" s="1029"/>
      <c r="GK35" s="1029"/>
      <c r="GL35" s="1029"/>
      <c r="GM35" s="1029"/>
      <c r="GN35" s="939"/>
      <c r="GO35" s="1019"/>
      <c r="GP35" s="1028"/>
      <c r="GQ35" s="1063"/>
      <c r="GR35" s="1014"/>
      <c r="GS35" s="1019"/>
      <c r="GT35" s="1028"/>
      <c r="GU35" s="1063"/>
      <c r="GV35" s="1233"/>
      <c r="GW35" s="1063"/>
      <c r="GX35" s="1233"/>
      <c r="GY35" s="1063"/>
      <c r="GZ35" s="1029"/>
      <c r="HA35" s="1029"/>
      <c r="HB35" s="1029"/>
      <c r="HC35" s="1029"/>
      <c r="HD35" s="939"/>
      <c r="HE35" s="1019"/>
      <c r="HF35" s="1028"/>
      <c r="HG35" s="1014"/>
      <c r="HH35" s="1019"/>
      <c r="HI35" s="1028"/>
      <c r="HJ35" s="939"/>
      <c r="HK35" s="1019"/>
      <c r="HL35" s="1028"/>
      <c r="HM35" s="1014"/>
      <c r="HN35" s="1019"/>
      <c r="HO35" s="1028"/>
      <c r="HP35" s="939"/>
      <c r="HQ35" s="1019"/>
      <c r="HR35" s="1028"/>
      <c r="HS35" s="1014"/>
      <c r="HT35" s="1019"/>
      <c r="HU35" s="1028"/>
      <c r="HV35" s="1029"/>
      <c r="HW35" s="1063"/>
      <c r="HX35" s="1031"/>
      <c r="HY35" s="1016"/>
      <c r="HZ35" s="1063"/>
      <c r="IA35" s="1032"/>
      <c r="IB35" s="1029"/>
      <c r="IC35" s="1063"/>
      <c r="ID35" s="1031"/>
      <c r="IE35" s="1016"/>
      <c r="IF35" s="1063"/>
      <c r="IG35" s="1032"/>
      <c r="IH35" s="939"/>
      <c r="II35" s="1019"/>
      <c r="IJ35" s="1028"/>
      <c r="IK35" s="1014"/>
      <c r="IL35" s="1019"/>
      <c r="IM35" s="1028"/>
      <c r="IN35" s="1233"/>
      <c r="IO35" s="1019"/>
      <c r="IP35" s="1028"/>
      <c r="IQ35" s="1234"/>
      <c r="IR35" s="1019"/>
      <c r="IS35" s="1028"/>
      <c r="IT35" s="1029"/>
      <c r="IU35" s="1016"/>
      <c r="IV35" s="1029"/>
      <c r="IW35" s="1016"/>
      <c r="IX35" s="939"/>
      <c r="IY35" s="1019"/>
      <c r="IZ35" s="1028"/>
      <c r="JA35" s="1014"/>
      <c r="JB35" s="1019"/>
      <c r="JC35" s="1028"/>
      <c r="JD35" s="939"/>
      <c r="JE35" s="1019"/>
      <c r="JF35" s="1028"/>
      <c r="JG35" s="1014"/>
      <c r="JH35" s="1019"/>
      <c r="JI35" s="1028"/>
      <c r="JJ35" s="1023"/>
      <c r="JK35" s="1019"/>
      <c r="JL35" s="1028"/>
      <c r="JM35" s="1014"/>
      <c r="JN35" s="861"/>
      <c r="JO35" s="1028"/>
      <c r="JP35" s="939"/>
      <c r="JQ35" s="861"/>
      <c r="JR35" s="1028"/>
      <c r="JS35" s="1014"/>
      <c r="JT35" s="861"/>
      <c r="JU35" s="1028"/>
      <c r="JV35" s="1029"/>
      <c r="JW35" s="861"/>
      <c r="JX35" s="1028"/>
      <c r="JY35" s="1016"/>
      <c r="JZ35" s="861"/>
      <c r="KA35" s="1028"/>
      <c r="KB35" s="1016"/>
      <c r="KC35" s="861"/>
      <c r="KD35" s="1028"/>
      <c r="KE35" s="1016"/>
      <c r="KF35" s="861"/>
      <c r="KG35" s="1028"/>
      <c r="KH35" s="939"/>
      <c r="KI35" s="1063"/>
      <c r="KJ35" s="1032"/>
      <c r="KK35" s="861"/>
      <c r="KL35" s="1032"/>
      <c r="KM35" s="1014"/>
      <c r="KN35" s="1063"/>
      <c r="KO35" s="1032"/>
      <c r="KP35" s="1063"/>
      <c r="KQ35" s="1032"/>
      <c r="KR35" s="1057"/>
      <c r="KS35" s="1019"/>
      <c r="KT35" s="1028"/>
      <c r="KU35" s="1019"/>
      <c r="KV35" s="1028"/>
      <c r="KW35" s="1035"/>
      <c r="KX35" s="1063"/>
      <c r="KY35" s="1032"/>
      <c r="KZ35" s="1063"/>
      <c r="LA35" s="1032"/>
      <c r="LB35" s="1061"/>
      <c r="LC35" s="1019"/>
      <c r="LD35" s="1028"/>
      <c r="LE35" s="1065"/>
      <c r="LF35" s="1018"/>
      <c r="LG35" s="1028"/>
      <c r="LH35" s="1065"/>
      <c r="LI35" s="1019"/>
      <c r="LJ35" s="1066"/>
      <c r="LK35" s="1065"/>
      <c r="LL35" s="861"/>
      <c r="LM35" s="1028"/>
      <c r="LN35" s="1014"/>
      <c r="LO35" s="1063"/>
      <c r="LP35" s="1063"/>
      <c r="LQ35" s="1032"/>
      <c r="LR35" s="1014"/>
      <c r="LS35" s="1063"/>
      <c r="LT35" s="1063"/>
      <c r="LU35" s="1032"/>
      <c r="LV35" s="1014"/>
      <c r="LW35" s="1063"/>
      <c r="LX35" s="1063"/>
      <c r="LY35" s="1032"/>
      <c r="LZ35" s="1014"/>
      <c r="MA35" s="1063"/>
      <c r="MB35" s="1063"/>
      <c r="MC35" s="1032"/>
      <c r="MD35" s="1016"/>
      <c r="ME35" s="1063"/>
      <c r="MF35" s="1063"/>
      <c r="MG35" s="1032"/>
      <c r="MH35" s="1016"/>
      <c r="MI35" s="1063"/>
      <c r="MJ35" s="1063"/>
      <c r="MK35" s="1032"/>
      <c r="ML35" s="1016"/>
      <c r="MM35" s="1063"/>
      <c r="MN35" s="1063"/>
      <c r="MO35" s="1032"/>
      <c r="MP35" s="1016"/>
      <c r="MQ35" s="1063"/>
      <c r="MR35" s="1063"/>
      <c r="MS35" s="1032"/>
      <c r="MT35" s="1035"/>
      <c r="MU35" s="1063"/>
      <c r="MV35" s="1032"/>
      <c r="MW35" s="1019"/>
      <c r="MX35" s="1028"/>
      <c r="MY35" s="1030"/>
      <c r="MZ35" s="861"/>
      <c r="NA35" s="1066"/>
      <c r="NB35" s="1035"/>
      <c r="NC35" s="1063"/>
      <c r="ND35" s="1032"/>
      <c r="NE35" s="1019"/>
      <c r="NF35" s="1028"/>
      <c r="NG35" s="1063"/>
      <c r="NH35" s="1063"/>
      <c r="NI35" s="1028"/>
      <c r="NJ35" s="939"/>
      <c r="NK35" s="861"/>
      <c r="NL35" s="1031"/>
      <c r="NM35" s="1014"/>
      <c r="NN35" s="1062"/>
      <c r="NO35" s="1028"/>
      <c r="NP35" s="1016"/>
      <c r="NQ35" s="861"/>
      <c r="NR35" s="1028"/>
      <c r="NS35" s="1016"/>
      <c r="NT35" s="861"/>
      <c r="NU35" s="1066"/>
      <c r="NV35" s="1016"/>
      <c r="NW35" s="861"/>
      <c r="NX35" s="1031"/>
      <c r="NY35" s="1016"/>
      <c r="NZ35" s="861"/>
      <c r="OA35" s="1028"/>
      <c r="OB35" s="1034"/>
      <c r="OC35" s="1063"/>
      <c r="OD35" s="1028"/>
      <c r="OE35" s="1064"/>
      <c r="OF35" s="1035"/>
      <c r="OG35" s="1064"/>
      <c r="OH35" s="1028"/>
      <c r="OI35" s="1064"/>
      <c r="OJ35" s="1014"/>
      <c r="OK35" s="861"/>
      <c r="OL35" s="1028"/>
      <c r="OM35" s="861"/>
      <c r="ON35" s="1014"/>
      <c r="OO35" s="861"/>
      <c r="OP35" s="1028"/>
      <c r="OQ35" s="861"/>
      <c r="OR35" s="1014"/>
      <c r="OS35" s="861"/>
      <c r="OT35" s="1028"/>
      <c r="OU35" s="861"/>
      <c r="OV35" s="1034"/>
      <c r="OW35" s="861"/>
      <c r="OX35" s="1028"/>
      <c r="OY35" s="861"/>
      <c r="OZ35" s="1061"/>
      <c r="PA35" s="1019"/>
      <c r="PB35" s="1028"/>
      <c r="PC35" s="861"/>
      <c r="PD35" s="1065"/>
      <c r="PE35" s="1018"/>
      <c r="PF35" s="1028"/>
      <c r="PG35" s="861"/>
      <c r="PH35" s="1065"/>
      <c r="PI35" s="1019"/>
      <c r="PJ35" s="1066"/>
      <c r="PK35" s="861"/>
      <c r="PL35" s="1065"/>
      <c r="PM35" s="861"/>
      <c r="PN35" s="1028"/>
      <c r="PO35" s="861"/>
      <c r="PP35" s="1035"/>
      <c r="PQ35" s="1063"/>
      <c r="PR35" s="1032"/>
      <c r="PS35" s="1063"/>
      <c r="PT35" s="1032"/>
      <c r="PU35" s="1035"/>
      <c r="PV35" s="1063"/>
      <c r="PW35" s="1032"/>
      <c r="PX35" s="1063"/>
      <c r="PY35" s="1032"/>
      <c r="PZ35" s="1035"/>
      <c r="QA35" s="1063"/>
      <c r="QB35" s="1032"/>
      <c r="QC35" s="1035"/>
      <c r="QD35" s="1063"/>
      <c r="QE35" s="1032"/>
      <c r="QF35" s="1060"/>
      <c r="QG35" s="1063"/>
      <c r="QH35" s="1032"/>
      <c r="QI35" s="1060"/>
      <c r="QJ35" s="1063"/>
      <c r="QK35" s="1032"/>
      <c r="QL35" s="1060"/>
      <c r="QM35" s="1063"/>
      <c r="QN35" s="1032"/>
      <c r="QO35" s="1060"/>
      <c r="QP35" s="1063"/>
      <c r="QQ35" s="1032"/>
      <c r="QR35" s="939"/>
      <c r="QS35" s="1019"/>
      <c r="QT35" s="1028"/>
      <c r="QU35" s="1014"/>
      <c r="QV35" s="1019"/>
      <c r="QW35" s="1028"/>
      <c r="QX35" s="939"/>
      <c r="QY35" s="1019"/>
      <c r="QZ35" s="1028"/>
      <c r="RA35" s="1014"/>
      <c r="RB35" s="1019"/>
      <c r="RC35" s="1028"/>
      <c r="RD35" s="939"/>
      <c r="RE35" s="1019"/>
      <c r="RF35" s="1028"/>
      <c r="RG35" s="1014"/>
      <c r="RH35" s="1019"/>
      <c r="RI35" s="1028"/>
      <c r="RJ35" s="1029"/>
      <c r="RK35" s="1019"/>
      <c r="RL35" s="1028"/>
      <c r="RM35" s="1016"/>
      <c r="RN35" s="1019"/>
      <c r="RO35" s="1028"/>
      <c r="RP35" s="1029"/>
      <c r="RQ35" s="1019"/>
      <c r="RR35" s="1028"/>
      <c r="RS35" s="1016"/>
      <c r="RT35" s="1019"/>
      <c r="RU35" s="1028"/>
      <c r="RV35" s="939"/>
      <c r="RW35" s="1063"/>
      <c r="RX35" s="1028"/>
      <c r="RY35" s="1014"/>
      <c r="RZ35" s="1062"/>
      <c r="SA35" s="1028"/>
      <c r="SB35" s="1014"/>
      <c r="SC35" s="1063"/>
      <c r="SD35" s="1063"/>
      <c r="SE35" s="1028"/>
      <c r="SF35" s="1014"/>
      <c r="SG35" s="1063"/>
      <c r="SH35" s="1062"/>
      <c r="SI35" s="1028"/>
      <c r="SJ35" s="939"/>
      <c r="SK35" s="1063"/>
      <c r="SL35" s="1031"/>
      <c r="SM35" s="1014"/>
      <c r="SN35" s="1062"/>
      <c r="SO35" s="1028"/>
      <c r="SP35" s="1035"/>
      <c r="SQ35" s="1063"/>
      <c r="SR35" s="1032"/>
      <c r="SS35" s="1063"/>
      <c r="ST35" s="1032"/>
      <c r="SU35" s="1063"/>
      <c r="SV35" s="1032"/>
      <c r="SW35" s="1035"/>
      <c r="SX35" s="1063"/>
      <c r="SY35" s="1032"/>
      <c r="SZ35" s="1063"/>
      <c r="TA35" s="1032"/>
      <c r="TB35" s="1063"/>
      <c r="TC35" s="1028"/>
      <c r="TD35" s="1035"/>
      <c r="TE35" s="1063"/>
      <c r="TF35" s="1032"/>
      <c r="TG35" s="1063"/>
      <c r="TH35" s="1032"/>
      <c r="TI35" s="1063"/>
      <c r="TJ35" s="1032"/>
      <c r="TK35" s="1035"/>
      <c r="TL35" s="1063"/>
      <c r="TM35" s="1032"/>
      <c r="TN35" s="1063"/>
      <c r="TO35" s="1032"/>
      <c r="TP35" s="1063"/>
      <c r="TQ35" s="1032"/>
      <c r="TR35" s="1060"/>
      <c r="TS35" s="1063"/>
      <c r="TT35" s="1032"/>
      <c r="TU35" s="1063"/>
      <c r="TV35" s="1032"/>
      <c r="TW35" s="1063"/>
      <c r="TX35" s="1032"/>
      <c r="TY35" s="1060"/>
      <c r="TZ35" s="1063"/>
      <c r="UA35" s="1032"/>
      <c r="UB35" s="1063"/>
      <c r="UC35" s="1032"/>
      <c r="UD35" s="1063"/>
      <c r="UE35" s="1032"/>
      <c r="UF35" s="1060"/>
      <c r="UG35" s="1063"/>
      <c r="UH35" s="1032"/>
      <c r="UI35" s="1063"/>
      <c r="UJ35" s="1032"/>
      <c r="UK35" s="1063"/>
      <c r="UL35" s="1032"/>
      <c r="UM35" s="1060"/>
      <c r="UN35" s="1063"/>
      <c r="UO35" s="1032"/>
      <c r="UP35" s="1063"/>
      <c r="UQ35" s="1032"/>
      <c r="UR35" s="1063"/>
      <c r="US35" s="1032"/>
      <c r="UT35" s="1014"/>
      <c r="UU35" s="1014"/>
      <c r="UV35" s="1014"/>
      <c r="UW35" s="1035"/>
      <c r="UX35" s="1059"/>
      <c r="UY35" s="1065"/>
      <c r="UZ35" s="1059"/>
      <c r="VA35" s="1065"/>
      <c r="VB35" s="1014"/>
      <c r="VC35" s="1062"/>
      <c r="VD35" s="1063"/>
      <c r="VE35" s="1014"/>
      <c r="VF35" s="1062"/>
      <c r="VG35" s="1064"/>
      <c r="VH35" s="1014"/>
      <c r="VI35" s="1036"/>
      <c r="VJ35" s="1014"/>
      <c r="VK35" s="1034"/>
      <c r="VL35" s="1023"/>
      <c r="VM35" s="1035"/>
      <c r="VN35" s="1023"/>
      <c r="VO35" s="1035"/>
      <c r="VP35" s="1023"/>
      <c r="VQ35" s="1035"/>
      <c r="VR35" s="1036"/>
      <c r="VS35" s="1035"/>
      <c r="VT35" s="1034"/>
      <c r="VU35" s="1036"/>
      <c r="VV35" s="1035"/>
      <c r="VW35" s="1034"/>
      <c r="VX35" s="1035"/>
      <c r="VY35" s="861"/>
      <c r="VZ35" s="1031"/>
      <c r="WA35" s="1035"/>
      <c r="WB35" s="861"/>
      <c r="WC35" s="1031"/>
      <c r="WD35" s="1014"/>
      <c r="WE35" s="1062"/>
      <c r="WF35" s="1028"/>
      <c r="WG35" s="1014"/>
      <c r="WH35" s="861"/>
      <c r="WI35" s="1031"/>
      <c r="WJ35" s="1014"/>
      <c r="WK35" s="1014"/>
      <c r="WL35" s="1014"/>
      <c r="WM35" s="1062"/>
      <c r="WN35" s="1028"/>
      <c r="WO35" s="1014"/>
      <c r="WP35" s="1062"/>
      <c r="WQ35" s="1028"/>
      <c r="WR35" s="1014"/>
      <c r="WS35" s="1062"/>
      <c r="WT35" s="1028"/>
      <c r="WU35" s="1014"/>
      <c r="WV35" s="1062"/>
      <c r="WW35" s="1028"/>
      <c r="WX35" s="1014"/>
      <c r="WY35" s="1062"/>
      <c r="WZ35" s="1028"/>
      <c r="XA35" s="1014"/>
      <c r="XB35" s="1062"/>
      <c r="XC35" s="1028"/>
      <c r="XD35" s="1014"/>
      <c r="XE35" s="1062"/>
      <c r="XF35" s="1028"/>
      <c r="XG35" s="1014"/>
      <c r="XH35" s="1062"/>
      <c r="XI35" s="1028"/>
      <c r="XJ35" s="1071"/>
      <c r="XK35" s="1070"/>
      <c r="XL35" s="1071"/>
      <c r="XM35" s="1072"/>
      <c r="XN35" s="1071"/>
      <c r="XO35" s="1072"/>
      <c r="XP35" s="1071"/>
      <c r="XQ35" s="1072"/>
      <c r="XR35" s="1073"/>
      <c r="XS35" s="1073"/>
      <c r="XT35" s="1073"/>
      <c r="XU35" s="1073"/>
      <c r="XV35" s="1071"/>
      <c r="XW35" s="1070"/>
      <c r="XX35" s="1072"/>
      <c r="XY35" s="1072"/>
      <c r="XZ35" s="1070"/>
      <c r="YA35" s="1070"/>
      <c r="YB35" s="1072"/>
      <c r="YC35" s="1072"/>
      <c r="YD35" s="1070"/>
      <c r="YE35" s="1072"/>
      <c r="YF35" s="1072"/>
      <c r="YG35" s="1071"/>
      <c r="YH35" s="1072"/>
      <c r="YI35" s="1072"/>
      <c r="YJ35" s="1070"/>
      <c r="YK35" s="1072"/>
      <c r="YL35" s="1072"/>
      <c r="YM35" s="1072"/>
      <c r="YN35" s="1072"/>
      <c r="YO35" s="1070"/>
      <c r="YP35" s="1072"/>
      <c r="YQ35" s="1072"/>
      <c r="YR35" s="1014"/>
      <c r="YS35" s="1072"/>
      <c r="YT35" s="1072"/>
      <c r="YU35" s="1072"/>
      <c r="YV35" s="1072"/>
      <c r="YW35" s="1074"/>
      <c r="YX35" s="1014"/>
      <c r="YY35" s="1072"/>
      <c r="YZ35" s="1072"/>
      <c r="ZA35" s="1072"/>
      <c r="ZB35" s="1072"/>
      <c r="ZC35" s="1074"/>
      <c r="ZD35" s="1016"/>
      <c r="ZE35" s="1072"/>
      <c r="ZF35" s="1072"/>
      <c r="ZG35" s="1072"/>
      <c r="ZH35" s="1072"/>
      <c r="ZI35" s="1072"/>
      <c r="ZJ35" s="1016"/>
      <c r="ZK35" s="1072"/>
      <c r="ZL35" s="1072"/>
      <c r="ZM35" s="1072"/>
      <c r="ZN35" s="1072"/>
      <c r="ZO35" s="1072"/>
      <c r="ZP35" s="1016"/>
      <c r="ZQ35" s="1072"/>
      <c r="ZR35" s="1072"/>
      <c r="ZS35" s="1072"/>
      <c r="ZT35" s="1072"/>
      <c r="ZU35" s="1074"/>
      <c r="ZV35" s="1016"/>
      <c r="ZW35" s="1072"/>
      <c r="ZX35" s="1072"/>
      <c r="ZY35" s="1072"/>
      <c r="ZZ35" s="1072"/>
      <c r="AAA35" s="1074"/>
      <c r="AAB35" s="1068"/>
      <c r="AAC35" s="1071"/>
      <c r="AAD35" s="1071"/>
      <c r="AAE35" s="1071"/>
      <c r="AAF35" s="1071"/>
      <c r="AAG35" s="1071"/>
      <c r="AAH35" s="1075"/>
      <c r="AAI35" s="1075"/>
      <c r="AAJ35" s="1075"/>
      <c r="AAK35" s="1075"/>
      <c r="AAL35" s="1071"/>
      <c r="AAM35" s="1071"/>
      <c r="AAN35" s="1071"/>
      <c r="AAO35" s="1071"/>
      <c r="AAP35" s="1075"/>
      <c r="AAQ35" s="1075"/>
      <c r="AAR35" s="1075"/>
      <c r="AAS35" s="1075"/>
      <c r="AAT35" s="1384">
        <f>'Проверочная  таблица'!AAL35+'Проверочная  таблица'!AAN35</f>
        <v>0</v>
      </c>
      <c r="AAU35" s="1384">
        <f>'Проверочная  таблица'!AAM35+'Проверочная  таблица'!AAO35</f>
        <v>0</v>
      </c>
    </row>
    <row r="36" spans="1:723" ht="20.45" customHeight="1" thickBot="1" x14ac:dyDescent="0.3">
      <c r="A36" s="1078"/>
      <c r="B36" s="940"/>
      <c r="C36" s="940"/>
      <c r="D36" s="941"/>
      <c r="E36" s="941"/>
      <c r="F36" s="940"/>
      <c r="G36" s="983"/>
      <c r="H36" s="961"/>
      <c r="I36" s="940"/>
      <c r="J36" s="962"/>
      <c r="K36" s="963"/>
      <c r="L36" s="962"/>
      <c r="M36" s="963"/>
      <c r="N36" s="961"/>
      <c r="O36" s="1236"/>
      <c r="P36" s="961"/>
      <c r="Q36" s="940"/>
      <c r="R36" s="962"/>
      <c r="S36" s="963"/>
      <c r="T36" s="962"/>
      <c r="U36" s="963"/>
      <c r="V36" s="940"/>
      <c r="W36" s="951"/>
      <c r="X36" s="922"/>
      <c r="Y36" s="922"/>
      <c r="Z36" s="940"/>
      <c r="AA36" s="951"/>
      <c r="AB36" s="952"/>
      <c r="AC36" s="982"/>
      <c r="AD36" s="940"/>
      <c r="AE36" s="953"/>
      <c r="AF36" s="952"/>
      <c r="AG36" s="940"/>
      <c r="AH36" s="953"/>
      <c r="AI36" s="952"/>
      <c r="AJ36" s="962"/>
      <c r="AK36" s="963"/>
      <c r="AL36" s="962"/>
      <c r="AM36" s="963"/>
      <c r="AN36" s="939"/>
      <c r="AO36" s="941"/>
      <c r="AP36" s="940"/>
      <c r="AQ36" s="951"/>
      <c r="AR36" s="952"/>
      <c r="AS36" s="940"/>
      <c r="AT36" s="952"/>
      <c r="AU36" s="952"/>
      <c r="AV36" s="941"/>
      <c r="AW36" s="952"/>
      <c r="AX36" s="941"/>
      <c r="AY36" s="952"/>
      <c r="AZ36" s="940"/>
      <c r="BA36" s="952"/>
      <c r="BB36" s="940"/>
      <c r="BC36" s="975"/>
      <c r="BD36" s="940"/>
      <c r="BE36" s="952"/>
      <c r="BF36" s="940"/>
      <c r="BG36" s="952"/>
      <c r="BH36" s="963"/>
      <c r="BI36" s="963"/>
      <c r="BJ36" s="963"/>
      <c r="BK36" s="963"/>
      <c r="BL36" s="961"/>
      <c r="BM36" s="940"/>
      <c r="BN36" s="961"/>
      <c r="BO36" s="940"/>
      <c r="BP36" s="962"/>
      <c r="BQ36" s="963"/>
      <c r="BR36" s="962"/>
      <c r="BS36" s="963"/>
      <c r="BT36" s="941"/>
      <c r="BU36" s="922"/>
      <c r="BV36" s="952"/>
      <c r="BW36" s="940"/>
      <c r="BX36" s="952"/>
      <c r="BY36" s="952"/>
      <c r="BZ36" s="961"/>
      <c r="CA36" s="940"/>
      <c r="CB36" s="941"/>
      <c r="CC36" s="941"/>
      <c r="CD36" s="1079"/>
      <c r="CE36" s="1079"/>
      <c r="CF36" s="1079"/>
      <c r="CG36" s="1079"/>
      <c r="CH36" s="941"/>
      <c r="CI36" s="922"/>
      <c r="CJ36" s="952"/>
      <c r="CK36" s="940"/>
      <c r="CL36" s="952"/>
      <c r="CM36" s="952"/>
      <c r="CN36" s="941"/>
      <c r="CO36" s="952"/>
      <c r="CP36" s="984"/>
      <c r="CQ36" s="952"/>
      <c r="CR36" s="974"/>
      <c r="CS36" s="952"/>
      <c r="CT36" s="974"/>
      <c r="CU36" s="940"/>
      <c r="CV36" s="953"/>
      <c r="CW36" s="1080"/>
      <c r="CX36" s="952"/>
      <c r="CY36" s="974"/>
      <c r="CZ36" s="952"/>
      <c r="DA36" s="974"/>
      <c r="DB36" s="941"/>
      <c r="DC36" s="952"/>
      <c r="DD36" s="984"/>
      <c r="DE36" s="940"/>
      <c r="DF36" s="952"/>
      <c r="DG36" s="1081"/>
      <c r="DH36" s="962"/>
      <c r="DI36" s="963"/>
      <c r="DJ36" s="962"/>
      <c r="DK36" s="963"/>
      <c r="DL36" s="961"/>
      <c r="DM36" s="922"/>
      <c r="DN36" s="951"/>
      <c r="DO36" s="922"/>
      <c r="DP36" s="940"/>
      <c r="DQ36" s="922"/>
      <c r="DR36" s="922"/>
      <c r="DS36" s="922"/>
      <c r="DT36" s="941"/>
      <c r="DU36" s="952"/>
      <c r="DV36" s="984"/>
      <c r="DW36" s="940"/>
      <c r="DX36" s="953"/>
      <c r="DY36" s="974"/>
      <c r="DZ36" s="941"/>
      <c r="EA36" s="975"/>
      <c r="EB36" s="974"/>
      <c r="EC36" s="940"/>
      <c r="ED36" s="975"/>
      <c r="EE36" s="974"/>
      <c r="EF36" s="941"/>
      <c r="EG36" s="952"/>
      <c r="EH36" s="952"/>
      <c r="EI36" s="1081"/>
      <c r="EJ36" s="941"/>
      <c r="EK36" s="952"/>
      <c r="EL36" s="952"/>
      <c r="EM36" s="1081"/>
      <c r="EN36" s="941"/>
      <c r="EO36" s="952"/>
      <c r="EP36" s="984"/>
      <c r="EQ36" s="940"/>
      <c r="ER36" s="952"/>
      <c r="ES36" s="984"/>
      <c r="ET36" s="941"/>
      <c r="EU36" s="952"/>
      <c r="EV36" s="984"/>
      <c r="EW36" s="940"/>
      <c r="EX36" s="952"/>
      <c r="EY36" s="1081"/>
      <c r="EZ36" s="941"/>
      <c r="FA36" s="952"/>
      <c r="FB36" s="984"/>
      <c r="FC36" s="940"/>
      <c r="FD36" s="952"/>
      <c r="FE36" s="1081"/>
      <c r="FF36" s="1079"/>
      <c r="FG36" s="952"/>
      <c r="FH36" s="984"/>
      <c r="FI36" s="956"/>
      <c r="FJ36" s="952"/>
      <c r="FK36" s="1081"/>
      <c r="FL36" s="1079"/>
      <c r="FM36" s="952"/>
      <c r="FN36" s="984"/>
      <c r="FO36" s="956"/>
      <c r="FP36" s="952"/>
      <c r="FQ36" s="1081"/>
      <c r="FR36" s="941"/>
      <c r="FS36" s="952"/>
      <c r="FT36" s="984"/>
      <c r="FU36" s="941"/>
      <c r="FV36" s="975"/>
      <c r="FW36" s="974"/>
      <c r="FX36" s="941"/>
      <c r="FY36" s="952"/>
      <c r="FZ36" s="984"/>
      <c r="GA36" s="941"/>
      <c r="GB36" s="975"/>
      <c r="GC36" s="974"/>
      <c r="GD36" s="1235"/>
      <c r="GE36" s="952"/>
      <c r="GF36" s="984"/>
      <c r="GG36" s="1235"/>
      <c r="GH36" s="975"/>
      <c r="GI36" s="974"/>
      <c r="GJ36" s="1079"/>
      <c r="GK36" s="1079"/>
      <c r="GL36" s="1079"/>
      <c r="GM36" s="1079"/>
      <c r="GN36" s="941"/>
      <c r="GO36" s="973"/>
      <c r="GP36" s="974"/>
      <c r="GQ36" s="952"/>
      <c r="GR36" s="940"/>
      <c r="GS36" s="973"/>
      <c r="GT36" s="974"/>
      <c r="GU36" s="952"/>
      <c r="GV36" s="1235"/>
      <c r="GW36" s="952"/>
      <c r="GX36" s="1235"/>
      <c r="GY36" s="952"/>
      <c r="GZ36" s="1079"/>
      <c r="HA36" s="1079"/>
      <c r="HB36" s="1079"/>
      <c r="HC36" s="1079"/>
      <c r="HD36" s="941"/>
      <c r="HE36" s="973"/>
      <c r="HF36" s="974"/>
      <c r="HG36" s="940"/>
      <c r="HH36" s="973"/>
      <c r="HI36" s="974"/>
      <c r="HJ36" s="941"/>
      <c r="HK36" s="973"/>
      <c r="HL36" s="974"/>
      <c r="HM36" s="940"/>
      <c r="HN36" s="973"/>
      <c r="HO36" s="974"/>
      <c r="HP36" s="941"/>
      <c r="HQ36" s="973"/>
      <c r="HR36" s="974"/>
      <c r="HS36" s="940"/>
      <c r="HT36" s="973"/>
      <c r="HU36" s="974"/>
      <c r="HV36" s="1079"/>
      <c r="HW36" s="952"/>
      <c r="HX36" s="984"/>
      <c r="HY36" s="956"/>
      <c r="HZ36" s="952"/>
      <c r="IA36" s="1081"/>
      <c r="IB36" s="1079"/>
      <c r="IC36" s="952"/>
      <c r="ID36" s="984"/>
      <c r="IE36" s="956"/>
      <c r="IF36" s="952"/>
      <c r="IG36" s="1081"/>
      <c r="IH36" s="941"/>
      <c r="II36" s="973"/>
      <c r="IJ36" s="974"/>
      <c r="IK36" s="940"/>
      <c r="IL36" s="973"/>
      <c r="IM36" s="974"/>
      <c r="IN36" s="1235"/>
      <c r="IO36" s="973"/>
      <c r="IP36" s="974"/>
      <c r="IQ36" s="1236"/>
      <c r="IR36" s="973"/>
      <c r="IS36" s="974"/>
      <c r="IT36" s="1079"/>
      <c r="IU36" s="956"/>
      <c r="IV36" s="1079"/>
      <c r="IW36" s="956"/>
      <c r="IX36" s="941"/>
      <c r="IY36" s="973"/>
      <c r="IZ36" s="974"/>
      <c r="JA36" s="940"/>
      <c r="JB36" s="973"/>
      <c r="JC36" s="974"/>
      <c r="JD36" s="941"/>
      <c r="JE36" s="973"/>
      <c r="JF36" s="974"/>
      <c r="JG36" s="940"/>
      <c r="JH36" s="973"/>
      <c r="JI36" s="974"/>
      <c r="JJ36" s="961"/>
      <c r="JK36" s="973"/>
      <c r="JL36" s="974"/>
      <c r="JM36" s="940"/>
      <c r="JN36" s="922"/>
      <c r="JO36" s="974"/>
      <c r="JP36" s="941"/>
      <c r="JQ36" s="922"/>
      <c r="JR36" s="974"/>
      <c r="JS36" s="940"/>
      <c r="JT36" s="922"/>
      <c r="JU36" s="974"/>
      <c r="JV36" s="1079"/>
      <c r="JW36" s="922"/>
      <c r="JX36" s="974"/>
      <c r="JY36" s="956"/>
      <c r="JZ36" s="922"/>
      <c r="KA36" s="974"/>
      <c r="KB36" s="956"/>
      <c r="KC36" s="922"/>
      <c r="KD36" s="974"/>
      <c r="KE36" s="956"/>
      <c r="KF36" s="922"/>
      <c r="KG36" s="974"/>
      <c r="KH36" s="941"/>
      <c r="KI36" s="952"/>
      <c r="KJ36" s="1081"/>
      <c r="KK36" s="952"/>
      <c r="KL36" s="1081"/>
      <c r="KM36" s="940"/>
      <c r="KN36" s="952"/>
      <c r="KO36" s="1081"/>
      <c r="KP36" s="952"/>
      <c r="KQ36" s="1081"/>
      <c r="KR36" s="941"/>
      <c r="KS36" s="973"/>
      <c r="KT36" s="974"/>
      <c r="KU36" s="973"/>
      <c r="KV36" s="974"/>
      <c r="KW36" s="940"/>
      <c r="KX36" s="952"/>
      <c r="KY36" s="1081"/>
      <c r="KZ36" s="952"/>
      <c r="LA36" s="1081"/>
      <c r="LB36" s="1082"/>
      <c r="LC36" s="973"/>
      <c r="LD36" s="974"/>
      <c r="LE36" s="963"/>
      <c r="LF36" s="951"/>
      <c r="LG36" s="974"/>
      <c r="LH36" s="963"/>
      <c r="LI36" s="973"/>
      <c r="LJ36" s="1080"/>
      <c r="LK36" s="963"/>
      <c r="LL36" s="922"/>
      <c r="LM36" s="974"/>
      <c r="LN36" s="940"/>
      <c r="LO36" s="952"/>
      <c r="LP36" s="952"/>
      <c r="LQ36" s="1081"/>
      <c r="LR36" s="940"/>
      <c r="LS36" s="952"/>
      <c r="LT36" s="952"/>
      <c r="LU36" s="1081"/>
      <c r="LV36" s="940"/>
      <c r="LW36" s="952"/>
      <c r="LX36" s="952"/>
      <c r="LY36" s="1081"/>
      <c r="LZ36" s="940"/>
      <c r="MA36" s="952"/>
      <c r="MB36" s="952"/>
      <c r="MC36" s="1081"/>
      <c r="MD36" s="956"/>
      <c r="ME36" s="952"/>
      <c r="MF36" s="952"/>
      <c r="MG36" s="1081"/>
      <c r="MH36" s="956"/>
      <c r="MI36" s="952"/>
      <c r="MJ36" s="952"/>
      <c r="MK36" s="1081"/>
      <c r="ML36" s="956"/>
      <c r="MM36" s="952"/>
      <c r="MN36" s="952"/>
      <c r="MO36" s="1081"/>
      <c r="MP36" s="956"/>
      <c r="MQ36" s="952"/>
      <c r="MR36" s="952"/>
      <c r="MS36" s="1081"/>
      <c r="MT36" s="940"/>
      <c r="MU36" s="952"/>
      <c r="MV36" s="1081"/>
      <c r="MW36" s="973"/>
      <c r="MX36" s="974"/>
      <c r="MY36" s="1083"/>
      <c r="MZ36" s="922"/>
      <c r="NA36" s="1080"/>
      <c r="NB36" s="940"/>
      <c r="NC36" s="952"/>
      <c r="ND36" s="1081"/>
      <c r="NE36" s="973"/>
      <c r="NF36" s="974"/>
      <c r="NG36" s="952"/>
      <c r="NH36" s="952"/>
      <c r="NI36" s="974"/>
      <c r="NJ36" s="941"/>
      <c r="NK36" s="922"/>
      <c r="NL36" s="984"/>
      <c r="NM36" s="940"/>
      <c r="NN36" s="953"/>
      <c r="NO36" s="974"/>
      <c r="NP36" s="956"/>
      <c r="NQ36" s="922"/>
      <c r="NR36" s="974"/>
      <c r="NS36" s="956"/>
      <c r="NT36" s="922"/>
      <c r="NU36" s="1080"/>
      <c r="NV36" s="956"/>
      <c r="NW36" s="922"/>
      <c r="NX36" s="984"/>
      <c r="NY36" s="956"/>
      <c r="NZ36" s="922"/>
      <c r="OA36" s="974"/>
      <c r="OB36" s="983"/>
      <c r="OC36" s="952"/>
      <c r="OD36" s="974"/>
      <c r="OE36" s="975"/>
      <c r="OF36" s="940"/>
      <c r="OG36" s="975"/>
      <c r="OH36" s="974"/>
      <c r="OI36" s="975"/>
      <c r="OJ36" s="940"/>
      <c r="OK36" s="922"/>
      <c r="OL36" s="974"/>
      <c r="OM36" s="922"/>
      <c r="ON36" s="940"/>
      <c r="OO36" s="922"/>
      <c r="OP36" s="974"/>
      <c r="OQ36" s="922"/>
      <c r="OR36" s="940"/>
      <c r="OS36" s="922"/>
      <c r="OT36" s="974"/>
      <c r="OU36" s="922"/>
      <c r="OV36" s="983"/>
      <c r="OW36" s="922"/>
      <c r="OX36" s="974"/>
      <c r="OY36" s="922"/>
      <c r="OZ36" s="1082"/>
      <c r="PA36" s="973"/>
      <c r="PB36" s="974"/>
      <c r="PC36" s="922"/>
      <c r="PD36" s="963"/>
      <c r="PE36" s="951"/>
      <c r="PF36" s="974"/>
      <c r="PG36" s="922"/>
      <c r="PH36" s="963"/>
      <c r="PI36" s="973"/>
      <c r="PJ36" s="1080"/>
      <c r="PK36" s="922"/>
      <c r="PL36" s="963"/>
      <c r="PM36" s="922"/>
      <c r="PN36" s="974"/>
      <c r="PO36" s="922"/>
      <c r="PP36" s="940"/>
      <c r="PQ36" s="952"/>
      <c r="PR36" s="1081"/>
      <c r="PS36" s="952"/>
      <c r="PT36" s="1081"/>
      <c r="PU36" s="940"/>
      <c r="PV36" s="952"/>
      <c r="PW36" s="1081"/>
      <c r="PX36" s="952"/>
      <c r="PY36" s="1081"/>
      <c r="PZ36" s="940"/>
      <c r="QA36" s="952"/>
      <c r="QB36" s="1081"/>
      <c r="QC36" s="940"/>
      <c r="QD36" s="952"/>
      <c r="QE36" s="1081"/>
      <c r="QF36" s="956"/>
      <c r="QG36" s="952"/>
      <c r="QH36" s="1081"/>
      <c r="QI36" s="956"/>
      <c r="QJ36" s="952"/>
      <c r="QK36" s="1081"/>
      <c r="QL36" s="956"/>
      <c r="QM36" s="952"/>
      <c r="QN36" s="1081"/>
      <c r="QO36" s="956"/>
      <c r="QP36" s="952"/>
      <c r="QQ36" s="1081"/>
      <c r="QR36" s="941"/>
      <c r="QS36" s="973"/>
      <c r="QT36" s="974"/>
      <c r="QU36" s="940"/>
      <c r="QV36" s="973"/>
      <c r="QW36" s="974"/>
      <c r="QX36" s="941"/>
      <c r="QY36" s="973"/>
      <c r="QZ36" s="974"/>
      <c r="RA36" s="940"/>
      <c r="RB36" s="973"/>
      <c r="RC36" s="974"/>
      <c r="RD36" s="941"/>
      <c r="RE36" s="973"/>
      <c r="RF36" s="974"/>
      <c r="RG36" s="940"/>
      <c r="RH36" s="973"/>
      <c r="RI36" s="974"/>
      <c r="RJ36" s="1079"/>
      <c r="RK36" s="973"/>
      <c r="RL36" s="974"/>
      <c r="RM36" s="956"/>
      <c r="RN36" s="973"/>
      <c r="RO36" s="974"/>
      <c r="RP36" s="1079"/>
      <c r="RQ36" s="973"/>
      <c r="RR36" s="974"/>
      <c r="RS36" s="956"/>
      <c r="RT36" s="973"/>
      <c r="RU36" s="974"/>
      <c r="RV36" s="941"/>
      <c r="RW36" s="952"/>
      <c r="RX36" s="974"/>
      <c r="RY36" s="940"/>
      <c r="RZ36" s="953"/>
      <c r="SA36" s="974"/>
      <c r="SB36" s="940"/>
      <c r="SC36" s="952"/>
      <c r="SD36" s="952"/>
      <c r="SE36" s="974"/>
      <c r="SF36" s="940"/>
      <c r="SG36" s="952"/>
      <c r="SH36" s="953"/>
      <c r="SI36" s="974"/>
      <c r="SJ36" s="941"/>
      <c r="SK36" s="952"/>
      <c r="SL36" s="984"/>
      <c r="SM36" s="940"/>
      <c r="SN36" s="953"/>
      <c r="SO36" s="974"/>
      <c r="SP36" s="940"/>
      <c r="SQ36" s="952"/>
      <c r="SR36" s="1081"/>
      <c r="SS36" s="952"/>
      <c r="ST36" s="1081"/>
      <c r="SU36" s="952"/>
      <c r="SV36" s="1081"/>
      <c r="SW36" s="940"/>
      <c r="SX36" s="952"/>
      <c r="SY36" s="1081"/>
      <c r="SZ36" s="952"/>
      <c r="TA36" s="1081"/>
      <c r="TB36" s="952"/>
      <c r="TC36" s="974"/>
      <c r="TD36" s="940"/>
      <c r="TE36" s="952"/>
      <c r="TF36" s="1081"/>
      <c r="TG36" s="952"/>
      <c r="TH36" s="1081"/>
      <c r="TI36" s="952"/>
      <c r="TJ36" s="1081"/>
      <c r="TK36" s="940"/>
      <c r="TL36" s="952"/>
      <c r="TM36" s="1081"/>
      <c r="TN36" s="952"/>
      <c r="TO36" s="1081"/>
      <c r="TP36" s="952"/>
      <c r="TQ36" s="1081"/>
      <c r="TR36" s="956"/>
      <c r="TS36" s="952"/>
      <c r="TT36" s="1081"/>
      <c r="TU36" s="952"/>
      <c r="TV36" s="1081"/>
      <c r="TW36" s="952"/>
      <c r="TX36" s="1081"/>
      <c r="TY36" s="956"/>
      <c r="TZ36" s="952"/>
      <c r="UA36" s="1081"/>
      <c r="UB36" s="952"/>
      <c r="UC36" s="1081"/>
      <c r="UD36" s="952"/>
      <c r="UE36" s="1081"/>
      <c r="UF36" s="956"/>
      <c r="UG36" s="952"/>
      <c r="UH36" s="1081"/>
      <c r="UI36" s="952"/>
      <c r="UJ36" s="1081"/>
      <c r="UK36" s="952"/>
      <c r="UL36" s="1081"/>
      <c r="UM36" s="956"/>
      <c r="UN36" s="952"/>
      <c r="UO36" s="1081"/>
      <c r="UP36" s="952"/>
      <c r="UQ36" s="1081"/>
      <c r="UR36" s="952"/>
      <c r="US36" s="1081"/>
      <c r="UT36" s="940"/>
      <c r="UU36" s="940"/>
      <c r="UV36" s="940"/>
      <c r="UW36" s="940"/>
      <c r="UX36" s="962"/>
      <c r="UY36" s="963"/>
      <c r="UZ36" s="962"/>
      <c r="VA36" s="963"/>
      <c r="VB36" s="940"/>
      <c r="VC36" s="953"/>
      <c r="VD36" s="952"/>
      <c r="VE36" s="940"/>
      <c r="VF36" s="953"/>
      <c r="VG36" s="975"/>
      <c r="VH36" s="940"/>
      <c r="VI36" s="961"/>
      <c r="VJ36" s="940"/>
      <c r="VK36" s="983"/>
      <c r="VL36" s="961"/>
      <c r="VM36" s="940"/>
      <c r="VN36" s="961"/>
      <c r="VO36" s="940"/>
      <c r="VP36" s="961"/>
      <c r="VQ36" s="940"/>
      <c r="VR36" s="961"/>
      <c r="VS36" s="940"/>
      <c r="VT36" s="983"/>
      <c r="VU36" s="961"/>
      <c r="VV36" s="940"/>
      <c r="VW36" s="983"/>
      <c r="VX36" s="940"/>
      <c r="VY36" s="922"/>
      <c r="VZ36" s="984"/>
      <c r="WA36" s="940"/>
      <c r="WB36" s="922"/>
      <c r="WC36" s="984"/>
      <c r="WD36" s="940"/>
      <c r="WE36" s="953"/>
      <c r="WF36" s="974"/>
      <c r="WG36" s="940"/>
      <c r="WH36" s="922"/>
      <c r="WI36" s="984"/>
      <c r="WJ36" s="940"/>
      <c r="WK36" s="940"/>
      <c r="WL36" s="940"/>
      <c r="WM36" s="953"/>
      <c r="WN36" s="974"/>
      <c r="WO36" s="940"/>
      <c r="WP36" s="953"/>
      <c r="WQ36" s="974"/>
      <c r="WR36" s="940"/>
      <c r="WS36" s="953"/>
      <c r="WT36" s="974"/>
      <c r="WU36" s="940"/>
      <c r="WV36" s="953"/>
      <c r="WW36" s="974"/>
      <c r="WX36" s="940"/>
      <c r="WY36" s="953"/>
      <c r="WZ36" s="974"/>
      <c r="XA36" s="940"/>
      <c r="XB36" s="953"/>
      <c r="XC36" s="974"/>
      <c r="XD36" s="940"/>
      <c r="XE36" s="953"/>
      <c r="XF36" s="974"/>
      <c r="XG36" s="940"/>
      <c r="XH36" s="953"/>
      <c r="XI36" s="974"/>
      <c r="XJ36" s="986"/>
      <c r="XK36" s="990"/>
      <c r="XL36" s="986"/>
      <c r="XM36" s="991"/>
      <c r="XN36" s="986"/>
      <c r="XO36" s="991"/>
      <c r="XP36" s="986"/>
      <c r="XQ36" s="991"/>
      <c r="XR36" s="993"/>
      <c r="XS36" s="993"/>
      <c r="XT36" s="993"/>
      <c r="XU36" s="993"/>
      <c r="XV36" s="986"/>
      <c r="XW36" s="990"/>
      <c r="XX36" s="991"/>
      <c r="XY36" s="991"/>
      <c r="XZ36" s="990"/>
      <c r="YA36" s="990"/>
      <c r="YB36" s="991"/>
      <c r="YC36" s="991"/>
      <c r="YD36" s="990"/>
      <c r="YE36" s="991"/>
      <c r="YF36" s="991"/>
      <c r="YG36" s="986"/>
      <c r="YH36" s="991"/>
      <c r="YI36" s="991"/>
      <c r="YJ36" s="990"/>
      <c r="YK36" s="991"/>
      <c r="YL36" s="991"/>
      <c r="YM36" s="991"/>
      <c r="YN36" s="991"/>
      <c r="YO36" s="990"/>
      <c r="YP36" s="991"/>
      <c r="YQ36" s="991"/>
      <c r="YR36" s="940"/>
      <c r="YS36" s="991"/>
      <c r="YT36" s="991"/>
      <c r="YU36" s="991"/>
      <c r="YV36" s="991"/>
      <c r="YW36" s="994"/>
      <c r="YX36" s="940"/>
      <c r="YY36" s="991"/>
      <c r="YZ36" s="991"/>
      <c r="ZA36" s="991"/>
      <c r="ZB36" s="991"/>
      <c r="ZC36" s="994"/>
      <c r="ZD36" s="956"/>
      <c r="ZE36" s="991"/>
      <c r="ZF36" s="991"/>
      <c r="ZG36" s="991"/>
      <c r="ZH36" s="991"/>
      <c r="ZI36" s="991"/>
      <c r="ZJ36" s="956"/>
      <c r="ZK36" s="991"/>
      <c r="ZL36" s="991"/>
      <c r="ZM36" s="991"/>
      <c r="ZN36" s="991"/>
      <c r="ZO36" s="991"/>
      <c r="ZP36" s="956"/>
      <c r="ZQ36" s="991"/>
      <c r="ZR36" s="991"/>
      <c r="ZS36" s="991"/>
      <c r="ZT36" s="991"/>
      <c r="ZU36" s="994"/>
      <c r="ZV36" s="956"/>
      <c r="ZW36" s="991"/>
      <c r="ZX36" s="991"/>
      <c r="ZY36" s="991"/>
      <c r="ZZ36" s="991"/>
      <c r="AAA36" s="994"/>
      <c r="AAB36" s="985"/>
      <c r="AAC36" s="986"/>
      <c r="AAD36" s="986"/>
      <c r="AAE36" s="986"/>
      <c r="AAF36" s="986"/>
      <c r="AAG36" s="986"/>
      <c r="AAH36" s="1000"/>
      <c r="AAI36" s="1000"/>
      <c r="AAJ36" s="1000"/>
      <c r="AAK36" s="1000"/>
      <c r="AAL36" s="986"/>
      <c r="AAM36" s="986"/>
      <c r="AAN36" s="986"/>
      <c r="AAO36" s="986"/>
      <c r="AAP36" s="1000"/>
      <c r="AAQ36" s="1000"/>
      <c r="AAR36" s="1000"/>
      <c r="AAS36" s="1000"/>
      <c r="AAT36" s="1384">
        <f>'Проверочная  таблица'!AAL36+'Проверочная  таблица'!AAN36</f>
        <v>0</v>
      </c>
      <c r="AAU36" s="1384">
        <f>'Проверочная  таблица'!AAM36+'Проверочная  таблица'!AAO36</f>
        <v>0</v>
      </c>
    </row>
    <row r="37" spans="1:723" ht="20.45" customHeight="1" thickBot="1" x14ac:dyDescent="0.3">
      <c r="A37" s="1084" t="s">
        <v>8</v>
      </c>
      <c r="B37" s="940">
        <f t="shared" ref="B37:BJ37" si="455">B30+B34</f>
        <v>47669324243.849998</v>
      </c>
      <c r="C37" s="940">
        <f t="shared" si="455"/>
        <v>29679958564.989998</v>
      </c>
      <c r="D37" s="941">
        <f t="shared" si="455"/>
        <v>8554272630.8400011</v>
      </c>
      <c r="E37" s="941">
        <f t="shared" si="455"/>
        <v>5707690878.3099995</v>
      </c>
      <c r="F37" s="940">
        <f t="shared" si="455"/>
        <v>2811219094.3000002</v>
      </c>
      <c r="G37" s="983">
        <f t="shared" si="455"/>
        <v>1978675313.73</v>
      </c>
      <c r="H37" s="961">
        <f t="shared" si="455"/>
        <v>593090602.53999996</v>
      </c>
      <c r="I37" s="940">
        <f t="shared" si="455"/>
        <v>453357584.58000004</v>
      </c>
      <c r="J37" s="962">
        <f t="shared" si="455"/>
        <v>442904535.07999998</v>
      </c>
      <c r="K37" s="963">
        <f t="shared" si="455"/>
        <v>340476270.58000004</v>
      </c>
      <c r="L37" s="962">
        <f t="shared" si="455"/>
        <v>150186067.45999998</v>
      </c>
      <c r="M37" s="963">
        <f t="shared" si="455"/>
        <v>112881314</v>
      </c>
      <c r="N37" s="961">
        <f t="shared" si="455"/>
        <v>3929606314.0000005</v>
      </c>
      <c r="O37" s="940">
        <f t="shared" si="455"/>
        <v>2449115158.9899998</v>
      </c>
      <c r="P37" s="961">
        <f t="shared" si="455"/>
        <v>1189856620</v>
      </c>
      <c r="Q37" s="940">
        <f t="shared" si="455"/>
        <v>798742821.01000011</v>
      </c>
      <c r="R37" s="962">
        <f t="shared" si="455"/>
        <v>639280632.00000012</v>
      </c>
      <c r="S37" s="963">
        <f t="shared" si="455"/>
        <v>413600030.00999999</v>
      </c>
      <c r="T37" s="962">
        <f t="shared" si="455"/>
        <v>550575988</v>
      </c>
      <c r="U37" s="963">
        <f t="shared" si="455"/>
        <v>385142791</v>
      </c>
      <c r="V37" s="940">
        <f t="shared" ref="V37" si="456">V30+V34</f>
        <v>19000000</v>
      </c>
      <c r="W37" s="951">
        <f t="shared" ref="W37" si="457">W30+W34</f>
        <v>6000000</v>
      </c>
      <c r="X37" s="922">
        <f t="shared" ref="X37:Y37" si="458">X30+X34</f>
        <v>10000000</v>
      </c>
      <c r="Y37" s="922">
        <f t="shared" si="458"/>
        <v>3000000</v>
      </c>
      <c r="Z37" s="940">
        <f t="shared" si="455"/>
        <v>16300000</v>
      </c>
      <c r="AA37" s="951">
        <f t="shared" si="455"/>
        <v>6000000</v>
      </c>
      <c r="AB37" s="952">
        <f t="shared" si="455"/>
        <v>8200000</v>
      </c>
      <c r="AC37" s="982">
        <f t="shared" si="455"/>
        <v>2100000</v>
      </c>
      <c r="AD37" s="940">
        <f t="shared" ref="AD37" si="459">AD30+AD34</f>
        <v>11500000</v>
      </c>
      <c r="AE37" s="953">
        <f t="shared" ref="AE37:AF37" si="460">AE30+AE34</f>
        <v>8500000</v>
      </c>
      <c r="AF37" s="952">
        <f t="shared" si="460"/>
        <v>3000000</v>
      </c>
      <c r="AG37" s="940">
        <f t="shared" si="455"/>
        <v>11500000</v>
      </c>
      <c r="AH37" s="953">
        <f t="shared" si="455"/>
        <v>8500000</v>
      </c>
      <c r="AI37" s="952">
        <f t="shared" si="455"/>
        <v>3000000</v>
      </c>
      <c r="AJ37" s="962">
        <f t="shared" si="455"/>
        <v>8500000</v>
      </c>
      <c r="AK37" s="963">
        <f t="shared" si="455"/>
        <v>8500000</v>
      </c>
      <c r="AL37" s="962">
        <f t="shared" si="455"/>
        <v>3000000</v>
      </c>
      <c r="AM37" s="963">
        <f t="shared" si="455"/>
        <v>3000000</v>
      </c>
      <c r="AN37" s="942">
        <f t="shared" si="455"/>
        <v>17864677673.619999</v>
      </c>
      <c r="AO37" s="941">
        <f t="shared" si="455"/>
        <v>9093594681.5</v>
      </c>
      <c r="AP37" s="950">
        <f t="shared" si="455"/>
        <v>1049926903.36</v>
      </c>
      <c r="AQ37" s="970">
        <f t="shared" si="455"/>
        <v>993376703.36000001</v>
      </c>
      <c r="AR37" s="957">
        <f t="shared" si="455"/>
        <v>56550200</v>
      </c>
      <c r="AS37" s="950">
        <f t="shared" si="455"/>
        <v>303157465.58999997</v>
      </c>
      <c r="AT37" s="957">
        <f t="shared" si="455"/>
        <v>303157465.58999997</v>
      </c>
      <c r="AU37" s="957">
        <f t="shared" si="455"/>
        <v>0</v>
      </c>
      <c r="AV37" s="941">
        <f t="shared" si="455"/>
        <v>91624576.299999997</v>
      </c>
      <c r="AW37" s="957">
        <f t="shared" si="455"/>
        <v>91624576.299999997</v>
      </c>
      <c r="AX37" s="941">
        <f t="shared" si="455"/>
        <v>0</v>
      </c>
      <c r="AY37" s="957">
        <f t="shared" si="455"/>
        <v>0</v>
      </c>
      <c r="AZ37" s="950">
        <f t="shared" si="455"/>
        <v>255208155.63</v>
      </c>
      <c r="BA37" s="957">
        <f t="shared" si="455"/>
        <v>255208155.63</v>
      </c>
      <c r="BB37" s="950">
        <f t="shared" si="455"/>
        <v>108064226.06999999</v>
      </c>
      <c r="BC37" s="976">
        <f t="shared" si="455"/>
        <v>108064226.06999999</v>
      </c>
      <c r="BD37" s="950">
        <f t="shared" si="455"/>
        <v>212375065.56999999</v>
      </c>
      <c r="BE37" s="957">
        <f t="shared" si="455"/>
        <v>212375065.56999999</v>
      </c>
      <c r="BF37" s="950">
        <f t="shared" si="455"/>
        <v>94677102.019999996</v>
      </c>
      <c r="BG37" s="957">
        <f t="shared" si="455"/>
        <v>94677102.019999996</v>
      </c>
      <c r="BH37" s="959">
        <f t="shared" si="455"/>
        <v>0</v>
      </c>
      <c r="BI37" s="959">
        <f t="shared" si="455"/>
        <v>0</v>
      </c>
      <c r="BJ37" s="959">
        <f t="shared" si="455"/>
        <v>212375065.56999999</v>
      </c>
      <c r="BK37" s="959">
        <f t="shared" ref="BK37:DZ37" si="461">BK30+BK34</f>
        <v>94677102.019999996</v>
      </c>
      <c r="BL37" s="961">
        <f t="shared" si="461"/>
        <v>0</v>
      </c>
      <c r="BM37" s="950">
        <f t="shared" si="461"/>
        <v>0</v>
      </c>
      <c r="BN37" s="961">
        <f t="shared" si="461"/>
        <v>0</v>
      </c>
      <c r="BO37" s="950">
        <f t="shared" si="461"/>
        <v>0</v>
      </c>
      <c r="BP37" s="962">
        <f t="shared" si="461"/>
        <v>0</v>
      </c>
      <c r="BQ37" s="959">
        <f t="shared" si="461"/>
        <v>0</v>
      </c>
      <c r="BR37" s="962">
        <f t="shared" si="461"/>
        <v>0</v>
      </c>
      <c r="BS37" s="959">
        <f t="shared" si="461"/>
        <v>0</v>
      </c>
      <c r="BT37" s="942">
        <f t="shared" ref="BT37:BY37" si="462">BT30+BT34</f>
        <v>1219110729.78</v>
      </c>
      <c r="BU37" s="957">
        <f t="shared" si="462"/>
        <v>903434729.78000009</v>
      </c>
      <c r="BV37" s="957">
        <f t="shared" si="462"/>
        <v>315676000</v>
      </c>
      <c r="BW37" s="950">
        <f t="shared" si="462"/>
        <v>37574331.689999998</v>
      </c>
      <c r="BX37" s="957">
        <f t="shared" si="462"/>
        <v>0</v>
      </c>
      <c r="BY37" s="957">
        <f t="shared" si="462"/>
        <v>37574331.689999998</v>
      </c>
      <c r="BZ37" s="949">
        <f t="shared" si="461"/>
        <v>115116800</v>
      </c>
      <c r="CA37" s="950">
        <f t="shared" si="461"/>
        <v>0</v>
      </c>
      <c r="CB37" s="942">
        <f t="shared" si="461"/>
        <v>0</v>
      </c>
      <c r="CC37" s="942">
        <f t="shared" si="461"/>
        <v>0</v>
      </c>
      <c r="CD37" s="966">
        <f t="shared" si="461"/>
        <v>0</v>
      </c>
      <c r="CE37" s="966">
        <f t="shared" si="461"/>
        <v>0</v>
      </c>
      <c r="CF37" s="966">
        <f t="shared" si="461"/>
        <v>0</v>
      </c>
      <c r="CG37" s="966">
        <f t="shared" si="461"/>
        <v>0</v>
      </c>
      <c r="CH37" s="942">
        <f t="shared" si="461"/>
        <v>448892396.15999991</v>
      </c>
      <c r="CI37" s="957">
        <f t="shared" si="461"/>
        <v>251003026.90000001</v>
      </c>
      <c r="CJ37" s="957">
        <f t="shared" si="461"/>
        <v>197889369.26000002</v>
      </c>
      <c r="CK37" s="950">
        <f t="shared" si="461"/>
        <v>24139750.189999998</v>
      </c>
      <c r="CL37" s="957">
        <f t="shared" si="461"/>
        <v>0</v>
      </c>
      <c r="CM37" s="957">
        <f t="shared" si="461"/>
        <v>24139750.189999998</v>
      </c>
      <c r="CN37" s="942">
        <f t="shared" si="461"/>
        <v>1157958249.8900001</v>
      </c>
      <c r="CO37" s="952">
        <f t="shared" si="461"/>
        <v>1888529.1099999999</v>
      </c>
      <c r="CP37" s="984">
        <f t="shared" si="461"/>
        <v>22014164.57</v>
      </c>
      <c r="CQ37" s="957">
        <f>CQ30+CQ34</f>
        <v>52315349</v>
      </c>
      <c r="CR37" s="974">
        <f>CR30+CR34</f>
        <v>995702200</v>
      </c>
      <c r="CS37" s="957">
        <f t="shared" ref="CS37:CT37" si="463">CS30+CS34</f>
        <v>10692264.01</v>
      </c>
      <c r="CT37" s="974">
        <f t="shared" si="463"/>
        <v>75345743.200000003</v>
      </c>
      <c r="CU37" s="950">
        <f t="shared" si="461"/>
        <v>469982054.47000003</v>
      </c>
      <c r="CV37" s="970">
        <f t="shared" si="461"/>
        <v>333023.57999999996</v>
      </c>
      <c r="CW37" s="1080">
        <f t="shared" si="461"/>
        <v>6326925.6400000006</v>
      </c>
      <c r="CX37" s="957">
        <f t="shared" si="461"/>
        <v>19660283.18</v>
      </c>
      <c r="CY37" s="974">
        <f t="shared" si="461"/>
        <v>373893568.56999999</v>
      </c>
      <c r="CZ37" s="957">
        <f t="shared" si="461"/>
        <v>3488418.57</v>
      </c>
      <c r="DA37" s="974">
        <f t="shared" si="461"/>
        <v>66279834.93</v>
      </c>
      <c r="DB37" s="942">
        <f t="shared" si="461"/>
        <v>19567142.100000001</v>
      </c>
      <c r="DC37" s="952">
        <f t="shared" si="461"/>
        <v>3729042.1000000015</v>
      </c>
      <c r="DD37" s="984">
        <f t="shared" si="461"/>
        <v>15838100</v>
      </c>
      <c r="DE37" s="950">
        <f t="shared" si="461"/>
        <v>4587624.3599999994</v>
      </c>
      <c r="DF37" s="952">
        <f t="shared" si="461"/>
        <v>874294.48</v>
      </c>
      <c r="DG37" s="1081">
        <f t="shared" si="461"/>
        <v>3713329.88</v>
      </c>
      <c r="DH37" s="960">
        <f t="shared" si="461"/>
        <v>0</v>
      </c>
      <c r="DI37" s="959">
        <f t="shared" si="461"/>
        <v>0</v>
      </c>
      <c r="DJ37" s="960">
        <f t="shared" si="461"/>
        <v>19567142.100000001</v>
      </c>
      <c r="DK37" s="959">
        <f t="shared" si="461"/>
        <v>4587624.3599999994</v>
      </c>
      <c r="DL37" s="949">
        <f t="shared" si="461"/>
        <v>17900000</v>
      </c>
      <c r="DM37" s="922">
        <f t="shared" si="461"/>
        <v>9900000</v>
      </c>
      <c r="DN37" s="951">
        <f t="shared" si="461"/>
        <v>8000000</v>
      </c>
      <c r="DO37" s="922">
        <f t="shared" si="461"/>
        <v>0</v>
      </c>
      <c r="DP37" s="950">
        <f t="shared" si="461"/>
        <v>13251499.99</v>
      </c>
      <c r="DQ37" s="922">
        <f t="shared" si="461"/>
        <v>5260000</v>
      </c>
      <c r="DR37" s="954">
        <f t="shared" si="461"/>
        <v>7991499.9900000002</v>
      </c>
      <c r="DS37" s="954">
        <f t="shared" si="461"/>
        <v>0</v>
      </c>
      <c r="DT37" s="942">
        <f t="shared" si="461"/>
        <v>6297684.2199999997</v>
      </c>
      <c r="DU37" s="952">
        <f t="shared" si="461"/>
        <v>314884.21999999974</v>
      </c>
      <c r="DV37" s="984">
        <f t="shared" si="461"/>
        <v>5982800</v>
      </c>
      <c r="DW37" s="950">
        <f t="shared" si="461"/>
        <v>4764585.4399999995</v>
      </c>
      <c r="DX37" s="970">
        <f t="shared" si="461"/>
        <v>238229.28</v>
      </c>
      <c r="DY37" s="974">
        <f t="shared" si="461"/>
        <v>4526356.16</v>
      </c>
      <c r="DZ37" s="942">
        <f t="shared" si="461"/>
        <v>0</v>
      </c>
      <c r="EA37" s="976">
        <f t="shared" ref="EA37:EQ37" si="464">EA30+EA34</f>
        <v>0</v>
      </c>
      <c r="EB37" s="969">
        <f t="shared" si="464"/>
        <v>0</v>
      </c>
      <c r="EC37" s="950">
        <f t="shared" si="464"/>
        <v>0</v>
      </c>
      <c r="ED37" s="976">
        <f t="shared" si="464"/>
        <v>0</v>
      </c>
      <c r="EE37" s="969">
        <f t="shared" si="464"/>
        <v>0</v>
      </c>
      <c r="EF37" s="942">
        <f t="shared" si="464"/>
        <v>1207687968.96</v>
      </c>
      <c r="EG37" s="952">
        <f t="shared" si="464"/>
        <v>319132705.80000001</v>
      </c>
      <c r="EH37" s="952">
        <f t="shared" si="464"/>
        <v>44427763.159999996</v>
      </c>
      <c r="EI37" s="1081">
        <f t="shared" si="464"/>
        <v>844127500</v>
      </c>
      <c r="EJ37" s="942">
        <f t="shared" si="464"/>
        <v>759395774.06000006</v>
      </c>
      <c r="EK37" s="952">
        <f t="shared" si="464"/>
        <v>121024.36</v>
      </c>
      <c r="EL37" s="952">
        <f t="shared" si="464"/>
        <v>37963737.479999997</v>
      </c>
      <c r="EM37" s="1081">
        <f t="shared" si="464"/>
        <v>721311012.22000003</v>
      </c>
      <c r="EN37" s="942">
        <f t="shared" si="464"/>
        <v>203670416.71000001</v>
      </c>
      <c r="EO37" s="952">
        <f t="shared" si="464"/>
        <v>6058780</v>
      </c>
      <c r="EP37" s="984">
        <f t="shared" si="464"/>
        <v>197611636.71000001</v>
      </c>
      <c r="EQ37" s="950">
        <f t="shared" si="464"/>
        <v>109618863.97</v>
      </c>
      <c r="ER37" s="952">
        <f t="shared" ref="ER37:ES37" si="465">ER30+ER34</f>
        <v>5480944.0999999996</v>
      </c>
      <c r="ES37" s="984">
        <f t="shared" si="465"/>
        <v>104137919.87</v>
      </c>
      <c r="ET37" s="942">
        <f t="shared" ref="ET37:GT37" si="466">ET30+ET34</f>
        <v>21405417.310000002</v>
      </c>
      <c r="EU37" s="952">
        <f t="shared" si="466"/>
        <v>5587091.4900000021</v>
      </c>
      <c r="EV37" s="984">
        <f t="shared" si="466"/>
        <v>15818325.819999998</v>
      </c>
      <c r="EW37" s="950">
        <f t="shared" si="466"/>
        <v>0</v>
      </c>
      <c r="EX37" s="952">
        <f t="shared" si="466"/>
        <v>0</v>
      </c>
      <c r="EY37" s="1081">
        <f t="shared" si="466"/>
        <v>0</v>
      </c>
      <c r="EZ37" s="942">
        <f t="shared" si="466"/>
        <v>3880682.69</v>
      </c>
      <c r="FA37" s="952">
        <f t="shared" si="466"/>
        <v>1012908.5099999999</v>
      </c>
      <c r="FB37" s="984">
        <f t="shared" si="466"/>
        <v>2867774.1799999997</v>
      </c>
      <c r="FC37" s="950">
        <f t="shared" si="466"/>
        <v>3447329.84</v>
      </c>
      <c r="FD37" s="952">
        <f t="shared" si="466"/>
        <v>899797.78999999992</v>
      </c>
      <c r="FE37" s="1081">
        <f t="shared" si="466"/>
        <v>2547532.0500000003</v>
      </c>
      <c r="FF37" s="966">
        <f t="shared" si="466"/>
        <v>3880682.69</v>
      </c>
      <c r="FG37" s="952">
        <f t="shared" si="466"/>
        <v>1012908.5099999999</v>
      </c>
      <c r="FH37" s="984">
        <f t="shared" si="466"/>
        <v>2867774.1799999997</v>
      </c>
      <c r="FI37" s="955">
        <f t="shared" si="466"/>
        <v>3447329.84</v>
      </c>
      <c r="FJ37" s="952">
        <f t="shared" si="466"/>
        <v>899797.78999999992</v>
      </c>
      <c r="FK37" s="1081">
        <f t="shared" si="466"/>
        <v>2547532.0500000003</v>
      </c>
      <c r="FL37" s="966">
        <f t="shared" si="466"/>
        <v>0</v>
      </c>
      <c r="FM37" s="952">
        <f t="shared" si="466"/>
        <v>0</v>
      </c>
      <c r="FN37" s="984">
        <f t="shared" si="466"/>
        <v>0</v>
      </c>
      <c r="FO37" s="955">
        <f t="shared" si="466"/>
        <v>0</v>
      </c>
      <c r="FP37" s="952">
        <f t="shared" si="466"/>
        <v>0</v>
      </c>
      <c r="FQ37" s="1081">
        <f t="shared" si="466"/>
        <v>0</v>
      </c>
      <c r="FR37" s="942">
        <f t="shared" si="466"/>
        <v>0</v>
      </c>
      <c r="FS37" s="957">
        <f>FS30+FS34</f>
        <v>0</v>
      </c>
      <c r="FT37" s="971">
        <f>FT30+FT34</f>
        <v>0</v>
      </c>
      <c r="FU37" s="942">
        <f t="shared" ref="FU37" si="467">FU30+FU34</f>
        <v>0</v>
      </c>
      <c r="FV37" s="976">
        <f>FV30+FV34</f>
        <v>0</v>
      </c>
      <c r="FW37" s="969">
        <f>FW30+FW34</f>
        <v>0</v>
      </c>
      <c r="FX37" s="942">
        <f t="shared" ref="FX37" si="468">FX30+FX34</f>
        <v>200118022.88999996</v>
      </c>
      <c r="FY37" s="957">
        <f>FY30+FY34</f>
        <v>43030642.659999982</v>
      </c>
      <c r="FZ37" s="971">
        <f>FZ30+FZ34</f>
        <v>157087380.22999999</v>
      </c>
      <c r="GA37" s="942">
        <f t="shared" ref="GA37" si="469">GA30+GA34</f>
        <v>165355175.5</v>
      </c>
      <c r="GB37" s="976">
        <f>GB30+GB34</f>
        <v>8267795.2799999993</v>
      </c>
      <c r="GC37" s="969">
        <f>GC30+GC34</f>
        <v>157087380.22</v>
      </c>
      <c r="GD37" s="1232">
        <f t="shared" ref="GD37" si="470">GD30+GD34</f>
        <v>87446506</v>
      </c>
      <c r="GE37" s="957">
        <f>GE30+GE34</f>
        <v>10402506</v>
      </c>
      <c r="GF37" s="971">
        <f>GF30+GF34</f>
        <v>77044000</v>
      </c>
      <c r="GG37" s="1232">
        <f t="shared" ref="GG37" si="471">GG30+GG34</f>
        <v>77777026.430000007</v>
      </c>
      <c r="GH37" s="976">
        <f>GH30+GH34</f>
        <v>9252239.1199999992</v>
      </c>
      <c r="GI37" s="969">
        <f>GI30+GI34</f>
        <v>68524787.310000002</v>
      </c>
      <c r="GJ37" s="966">
        <f t="shared" ref="GJ37:GK37" si="472">GJ30+GJ34</f>
        <v>0</v>
      </c>
      <c r="GK37" s="966">
        <f t="shared" si="472"/>
        <v>0</v>
      </c>
      <c r="GL37" s="966">
        <f t="shared" ref="GL37:GM37" si="473">GL30+GL34</f>
        <v>87446506</v>
      </c>
      <c r="GM37" s="966">
        <f t="shared" si="473"/>
        <v>77777026.430000007</v>
      </c>
      <c r="GN37" s="942">
        <f t="shared" si="466"/>
        <v>1981657935.8899999</v>
      </c>
      <c r="GO37" s="973">
        <f t="shared" si="466"/>
        <v>13685959.390000001</v>
      </c>
      <c r="GP37" s="974">
        <f t="shared" si="466"/>
        <v>335298439.97000003</v>
      </c>
      <c r="GQ37" s="957">
        <f>GQ30+GQ34</f>
        <v>1632673536.5300002</v>
      </c>
      <c r="GR37" s="950">
        <f t="shared" si="466"/>
        <v>1193374572.73</v>
      </c>
      <c r="GS37" s="973">
        <f t="shared" si="466"/>
        <v>9553788.7300000004</v>
      </c>
      <c r="GT37" s="974">
        <f t="shared" si="466"/>
        <v>181521985.75</v>
      </c>
      <c r="GU37" s="957">
        <f>GU30+GU34</f>
        <v>1002298798.2499999</v>
      </c>
      <c r="GV37" s="1232">
        <f t="shared" ref="GV37:GX37" si="474">GV30+GV34</f>
        <v>123288200</v>
      </c>
      <c r="GW37" s="957">
        <f>GW30+GW34</f>
        <v>123288200</v>
      </c>
      <c r="GX37" s="1232">
        <f t="shared" si="474"/>
        <v>104295970.7</v>
      </c>
      <c r="GY37" s="957">
        <f>GY30+GY34</f>
        <v>104295970.7</v>
      </c>
      <c r="GZ37" s="966">
        <f t="shared" ref="GZ37:JU37" si="475">GZ30+GZ34</f>
        <v>0</v>
      </c>
      <c r="HA37" s="966">
        <f t="shared" si="475"/>
        <v>0</v>
      </c>
      <c r="HB37" s="966">
        <f t="shared" si="475"/>
        <v>123288200</v>
      </c>
      <c r="HC37" s="966">
        <f t="shared" si="475"/>
        <v>104295970.7</v>
      </c>
      <c r="HD37" s="942">
        <f t="shared" si="475"/>
        <v>1530298331.28</v>
      </c>
      <c r="HE37" s="973">
        <f t="shared" si="475"/>
        <v>125559210.77000001</v>
      </c>
      <c r="HF37" s="974">
        <f t="shared" si="475"/>
        <v>1404739120.51</v>
      </c>
      <c r="HG37" s="950">
        <f t="shared" si="475"/>
        <v>753671645.66999996</v>
      </c>
      <c r="HH37" s="973">
        <f t="shared" si="475"/>
        <v>37683589.409999996</v>
      </c>
      <c r="HI37" s="974">
        <f t="shared" si="475"/>
        <v>715988056.25999999</v>
      </c>
      <c r="HJ37" s="942">
        <f t="shared" si="475"/>
        <v>8862344.3799999878</v>
      </c>
      <c r="HK37" s="973">
        <f t="shared" si="475"/>
        <v>8862344.3799999878</v>
      </c>
      <c r="HL37" s="974">
        <f t="shared" si="475"/>
        <v>0</v>
      </c>
      <c r="HM37" s="950">
        <f t="shared" si="475"/>
        <v>0</v>
      </c>
      <c r="HN37" s="973">
        <f t="shared" si="475"/>
        <v>0</v>
      </c>
      <c r="HO37" s="974">
        <f t="shared" si="475"/>
        <v>0</v>
      </c>
      <c r="HP37" s="942">
        <f t="shared" si="475"/>
        <v>169455019.44999999</v>
      </c>
      <c r="HQ37" s="973">
        <f t="shared" si="475"/>
        <v>1661708.0899999999</v>
      </c>
      <c r="HR37" s="974">
        <f t="shared" si="475"/>
        <v>167793311.36000001</v>
      </c>
      <c r="HS37" s="950">
        <f t="shared" si="475"/>
        <v>166170808.08999997</v>
      </c>
      <c r="HT37" s="973">
        <f t="shared" si="475"/>
        <v>1661708.0899999999</v>
      </c>
      <c r="HU37" s="974">
        <f t="shared" si="475"/>
        <v>164509100</v>
      </c>
      <c r="HV37" s="966">
        <f t="shared" si="475"/>
        <v>0</v>
      </c>
      <c r="HW37" s="952">
        <f t="shared" si="475"/>
        <v>-3284211.3599999994</v>
      </c>
      <c r="HX37" s="984">
        <f t="shared" si="475"/>
        <v>3284211.3599999994</v>
      </c>
      <c r="HY37" s="955">
        <f t="shared" si="475"/>
        <v>0</v>
      </c>
      <c r="HZ37" s="952">
        <f t="shared" si="475"/>
        <v>0</v>
      </c>
      <c r="IA37" s="1081">
        <f t="shared" si="475"/>
        <v>0</v>
      </c>
      <c r="IB37" s="966">
        <f t="shared" si="475"/>
        <v>169455019.44999999</v>
      </c>
      <c r="IC37" s="952">
        <f t="shared" si="475"/>
        <v>4945919.4499999993</v>
      </c>
      <c r="ID37" s="984">
        <f t="shared" si="475"/>
        <v>164509100</v>
      </c>
      <c r="IE37" s="955">
        <f t="shared" si="475"/>
        <v>166170808.08999997</v>
      </c>
      <c r="IF37" s="952">
        <f t="shared" si="475"/>
        <v>1661708.0899999999</v>
      </c>
      <c r="IG37" s="1081">
        <f t="shared" si="475"/>
        <v>164509100</v>
      </c>
      <c r="IH37" s="942">
        <f t="shared" si="475"/>
        <v>0</v>
      </c>
      <c r="II37" s="973">
        <f t="shared" si="475"/>
        <v>0</v>
      </c>
      <c r="IJ37" s="974">
        <f t="shared" si="475"/>
        <v>0</v>
      </c>
      <c r="IK37" s="950">
        <f t="shared" si="475"/>
        <v>0</v>
      </c>
      <c r="IL37" s="973">
        <f t="shared" si="475"/>
        <v>0</v>
      </c>
      <c r="IM37" s="974">
        <f t="shared" si="475"/>
        <v>0</v>
      </c>
      <c r="IN37" s="1232">
        <f t="shared" ref="IN37:IS37" si="476">IN30+IN34</f>
        <v>2631578.9500000002</v>
      </c>
      <c r="IO37" s="973">
        <f t="shared" si="476"/>
        <v>131578.95000000001</v>
      </c>
      <c r="IP37" s="974">
        <f t="shared" si="476"/>
        <v>2500000</v>
      </c>
      <c r="IQ37" s="1231">
        <f t="shared" si="476"/>
        <v>2631578.9500000002</v>
      </c>
      <c r="IR37" s="973">
        <f t="shared" si="476"/>
        <v>131578.95000000001</v>
      </c>
      <c r="IS37" s="974">
        <f t="shared" si="476"/>
        <v>2500000</v>
      </c>
      <c r="IT37" s="966">
        <f t="shared" ref="IT37:IW37" si="477">IT30+IT34</f>
        <v>0</v>
      </c>
      <c r="IU37" s="955">
        <f t="shared" si="477"/>
        <v>0</v>
      </c>
      <c r="IV37" s="966">
        <f t="shared" si="477"/>
        <v>2631578.9500000002</v>
      </c>
      <c r="IW37" s="955">
        <f t="shared" si="477"/>
        <v>2631578.9500000002</v>
      </c>
      <c r="IX37" s="942">
        <f t="shared" si="475"/>
        <v>23000000</v>
      </c>
      <c r="IY37" s="973">
        <f t="shared" si="475"/>
        <v>1150000</v>
      </c>
      <c r="IZ37" s="974">
        <f t="shared" si="475"/>
        <v>21850000</v>
      </c>
      <c r="JA37" s="950">
        <f t="shared" si="475"/>
        <v>20430896.539999999</v>
      </c>
      <c r="JB37" s="973">
        <f t="shared" si="475"/>
        <v>1021544.81</v>
      </c>
      <c r="JC37" s="974">
        <f t="shared" si="475"/>
        <v>19409351.73</v>
      </c>
      <c r="JD37" s="942">
        <f t="shared" si="475"/>
        <v>3362567.57</v>
      </c>
      <c r="JE37" s="973">
        <f t="shared" si="475"/>
        <v>874267.56999999983</v>
      </c>
      <c r="JF37" s="974">
        <f t="shared" si="475"/>
        <v>2488300</v>
      </c>
      <c r="JG37" s="950">
        <f t="shared" si="475"/>
        <v>3362567.57</v>
      </c>
      <c r="JH37" s="973">
        <f t="shared" si="475"/>
        <v>874267.57</v>
      </c>
      <c r="JI37" s="974">
        <f t="shared" si="475"/>
        <v>2488300</v>
      </c>
      <c r="JJ37" s="949">
        <f t="shared" si="475"/>
        <v>18358.319999999985</v>
      </c>
      <c r="JK37" s="973">
        <f t="shared" si="475"/>
        <v>0</v>
      </c>
      <c r="JL37" s="974">
        <f t="shared" si="475"/>
        <v>18358.319999999985</v>
      </c>
      <c r="JM37" s="950">
        <f t="shared" si="475"/>
        <v>0</v>
      </c>
      <c r="JN37" s="922">
        <f t="shared" si="475"/>
        <v>0</v>
      </c>
      <c r="JO37" s="974">
        <f t="shared" si="475"/>
        <v>0</v>
      </c>
      <c r="JP37" s="942">
        <f t="shared" si="475"/>
        <v>18358.319999999985</v>
      </c>
      <c r="JQ37" s="922">
        <f t="shared" si="475"/>
        <v>0</v>
      </c>
      <c r="JR37" s="974">
        <f t="shared" si="475"/>
        <v>18358.319999999985</v>
      </c>
      <c r="JS37" s="950">
        <f t="shared" si="475"/>
        <v>0</v>
      </c>
      <c r="JT37" s="922">
        <f t="shared" si="475"/>
        <v>0</v>
      </c>
      <c r="JU37" s="974">
        <f t="shared" si="475"/>
        <v>0</v>
      </c>
      <c r="JV37" s="966">
        <f t="shared" ref="JV37:KH37" si="478">JV30+JV34</f>
        <v>-3237680.18</v>
      </c>
      <c r="JW37" s="922">
        <f t="shared" si="478"/>
        <v>-846570.0199999999</v>
      </c>
      <c r="JX37" s="974">
        <f t="shared" si="478"/>
        <v>-2391110.16</v>
      </c>
      <c r="JY37" s="955">
        <f t="shared" si="478"/>
        <v>0</v>
      </c>
      <c r="JZ37" s="922">
        <f t="shared" si="478"/>
        <v>0</v>
      </c>
      <c r="KA37" s="974">
        <f t="shared" si="478"/>
        <v>0</v>
      </c>
      <c r="KB37" s="955">
        <f t="shared" si="478"/>
        <v>3256038.5</v>
      </c>
      <c r="KC37" s="922">
        <f t="shared" si="478"/>
        <v>846570.0199999999</v>
      </c>
      <c r="KD37" s="974">
        <f t="shared" si="478"/>
        <v>2409468.4800000004</v>
      </c>
      <c r="KE37" s="955">
        <f t="shared" si="478"/>
        <v>0</v>
      </c>
      <c r="KF37" s="922">
        <f t="shared" si="478"/>
        <v>0</v>
      </c>
      <c r="KG37" s="974">
        <f t="shared" si="478"/>
        <v>0</v>
      </c>
      <c r="KH37" s="942">
        <f t="shared" si="478"/>
        <v>44029838.830000006</v>
      </c>
      <c r="KI37" s="957">
        <f>KI30+KI34</f>
        <v>24722751.120000001</v>
      </c>
      <c r="KJ37" s="1081">
        <f>KJ30+KJ34</f>
        <v>9055887.7100000009</v>
      </c>
      <c r="KK37" s="957">
        <f>KK30+KK34</f>
        <v>3726800</v>
      </c>
      <c r="KL37" s="1081">
        <f>KL30+KL34</f>
        <v>6524400</v>
      </c>
      <c r="KM37" s="950">
        <f t="shared" ref="KM37" si="479">KM30+KM34</f>
        <v>185180</v>
      </c>
      <c r="KN37" s="957">
        <f>KN30+KN34</f>
        <v>0</v>
      </c>
      <c r="KO37" s="1081">
        <f>KO30+KO34</f>
        <v>0</v>
      </c>
      <c r="KP37" s="957">
        <f>KP30+KP34</f>
        <v>67321.759999999995</v>
      </c>
      <c r="KQ37" s="1081">
        <f>KQ30+KQ34</f>
        <v>117858.24000000001</v>
      </c>
      <c r="KR37" s="941">
        <f t="shared" ref="KR37:KW37" si="480">KR30+KR34</f>
        <v>2533780</v>
      </c>
      <c r="KS37" s="973">
        <f t="shared" si="480"/>
        <v>2533780</v>
      </c>
      <c r="KT37" s="974">
        <f t="shared" si="480"/>
        <v>0</v>
      </c>
      <c r="KU37" s="973">
        <f t="shared" si="480"/>
        <v>0</v>
      </c>
      <c r="KV37" s="974">
        <f t="shared" si="480"/>
        <v>0</v>
      </c>
      <c r="KW37" s="940">
        <f t="shared" si="480"/>
        <v>0</v>
      </c>
      <c r="KX37" s="957">
        <f>KX30+KX34</f>
        <v>0</v>
      </c>
      <c r="KY37" s="1081">
        <f>KY30+KY34</f>
        <v>0</v>
      </c>
      <c r="KZ37" s="957">
        <f>KZ30+KZ34</f>
        <v>0</v>
      </c>
      <c r="LA37" s="1081">
        <f>LA30+LA34</f>
        <v>0</v>
      </c>
      <c r="LB37" s="1082">
        <f t="shared" ref="LB37:LN37" si="481">LB30+LB34</f>
        <v>-1817570</v>
      </c>
      <c r="LC37" s="973">
        <f t="shared" si="481"/>
        <v>-1817570</v>
      </c>
      <c r="LD37" s="974">
        <f t="shared" si="481"/>
        <v>0</v>
      </c>
      <c r="LE37" s="963">
        <f t="shared" si="481"/>
        <v>0</v>
      </c>
      <c r="LF37" s="951">
        <f t="shared" si="481"/>
        <v>0</v>
      </c>
      <c r="LG37" s="974">
        <f t="shared" si="481"/>
        <v>0</v>
      </c>
      <c r="LH37" s="963">
        <f t="shared" si="481"/>
        <v>4351350</v>
      </c>
      <c r="LI37" s="922">
        <f t="shared" si="481"/>
        <v>4351350</v>
      </c>
      <c r="LJ37" s="1080">
        <f t="shared" si="481"/>
        <v>0</v>
      </c>
      <c r="LK37" s="963">
        <f t="shared" si="481"/>
        <v>0</v>
      </c>
      <c r="LL37" s="922">
        <f t="shared" si="481"/>
        <v>0</v>
      </c>
      <c r="LM37" s="974">
        <f t="shared" si="481"/>
        <v>0</v>
      </c>
      <c r="LN37" s="950">
        <f t="shared" si="481"/>
        <v>7973513.5099999998</v>
      </c>
      <c r="LO37" s="957">
        <f>LO30+LO34</f>
        <v>0</v>
      </c>
      <c r="LP37" s="957">
        <f>LP30+LP34</f>
        <v>2073113.5099999998</v>
      </c>
      <c r="LQ37" s="1081">
        <f>LQ30+LQ34</f>
        <v>5900400</v>
      </c>
      <c r="LR37" s="950">
        <f t="shared" ref="LR37" si="482">LR30+LR34</f>
        <v>0</v>
      </c>
      <c r="LS37" s="957">
        <f>LS30+LS34</f>
        <v>0</v>
      </c>
      <c r="LT37" s="957">
        <f>LT30+LT34</f>
        <v>0</v>
      </c>
      <c r="LU37" s="1081">
        <f>LU30+LU34</f>
        <v>0</v>
      </c>
      <c r="LV37" s="950">
        <f t="shared" ref="LV37" si="483">LV30+LV34</f>
        <v>32277567.57</v>
      </c>
      <c r="LW37" s="957">
        <f>LW30+LW34</f>
        <v>0</v>
      </c>
      <c r="LX37" s="957">
        <f>LX30+LX34</f>
        <v>8392167.5700000003</v>
      </c>
      <c r="LY37" s="1081">
        <f>LY30+LY34</f>
        <v>23885400</v>
      </c>
      <c r="LZ37" s="950">
        <f t="shared" ref="LZ37" si="484">LZ30+LZ34</f>
        <v>25231857.170000002</v>
      </c>
      <c r="MA37" s="957">
        <f>MA30+MA34</f>
        <v>0</v>
      </c>
      <c r="MB37" s="957">
        <f t="shared" ref="MB37:MD37" si="485">MB30+MB34</f>
        <v>6560282.8599999994</v>
      </c>
      <c r="MC37" s="1081">
        <f t="shared" si="485"/>
        <v>18671574.310000002</v>
      </c>
      <c r="MD37" s="955">
        <f t="shared" si="485"/>
        <v>32277567.57</v>
      </c>
      <c r="ME37" s="957">
        <f>ME30+ME34</f>
        <v>0</v>
      </c>
      <c r="MF37" s="957">
        <f>MF30+MF34</f>
        <v>8392167.5700000003</v>
      </c>
      <c r="MG37" s="1081">
        <f>MG30+MG34</f>
        <v>23885400</v>
      </c>
      <c r="MH37" s="955">
        <f t="shared" ref="MH37" si="486">MH30+MH34</f>
        <v>25231857.170000002</v>
      </c>
      <c r="MI37" s="957">
        <f>MI30+MI34</f>
        <v>0</v>
      </c>
      <c r="MJ37" s="957">
        <f>MJ30+MJ34</f>
        <v>6560282.8599999994</v>
      </c>
      <c r="MK37" s="1081">
        <f>MK30+MK34</f>
        <v>18671574.310000002</v>
      </c>
      <c r="ML37" s="955">
        <f t="shared" ref="ML37" si="487">ML30+ML34</f>
        <v>0</v>
      </c>
      <c r="MM37" s="957">
        <f>MM30+MM34</f>
        <v>0</v>
      </c>
      <c r="MN37" s="957">
        <f>MN30+MN34</f>
        <v>0</v>
      </c>
      <c r="MO37" s="1081">
        <f>MO30+MO34</f>
        <v>0</v>
      </c>
      <c r="MP37" s="955">
        <f t="shared" ref="MP37" si="488">MP30+MP34</f>
        <v>0</v>
      </c>
      <c r="MQ37" s="957">
        <f>MQ30+MQ34</f>
        <v>0</v>
      </c>
      <c r="MR37" s="957">
        <f>MR30+MR34</f>
        <v>0</v>
      </c>
      <c r="MS37" s="1081">
        <f>MS30+MS34</f>
        <v>0</v>
      </c>
      <c r="MT37" s="940">
        <f t="shared" ref="MT37:PE37" si="489">MT30+MT34</f>
        <v>11336012.700000001</v>
      </c>
      <c r="MU37" s="957">
        <f t="shared" si="489"/>
        <v>0</v>
      </c>
      <c r="MV37" s="1081">
        <f t="shared" si="489"/>
        <v>0</v>
      </c>
      <c r="MW37" s="973">
        <f t="shared" si="489"/>
        <v>1671589.1900000004</v>
      </c>
      <c r="MX37" s="974">
        <f t="shared" si="489"/>
        <v>4757600</v>
      </c>
      <c r="MY37" s="1083">
        <f t="shared" si="489"/>
        <v>0</v>
      </c>
      <c r="MZ37" s="922">
        <f t="shared" si="489"/>
        <v>1275774.1199999999</v>
      </c>
      <c r="NA37" s="1080">
        <f t="shared" si="489"/>
        <v>3631049.3900000006</v>
      </c>
      <c r="NB37" s="940">
        <f t="shared" si="489"/>
        <v>5561955.4100000001</v>
      </c>
      <c r="NC37" s="957">
        <f t="shared" si="489"/>
        <v>0</v>
      </c>
      <c r="ND37" s="1081">
        <f t="shared" si="489"/>
        <v>0</v>
      </c>
      <c r="NE37" s="973">
        <f t="shared" si="489"/>
        <v>170334.3</v>
      </c>
      <c r="NF37" s="974">
        <f t="shared" si="489"/>
        <v>484797.61</v>
      </c>
      <c r="NG37" s="957">
        <f t="shared" si="489"/>
        <v>0</v>
      </c>
      <c r="NH37" s="957">
        <f t="shared" si="489"/>
        <v>1275774.1299999999</v>
      </c>
      <c r="NI37" s="974">
        <f t="shared" si="489"/>
        <v>3631049.3699999996</v>
      </c>
      <c r="NJ37" s="942">
        <f t="shared" si="489"/>
        <v>164579708.91999999</v>
      </c>
      <c r="NK37" s="922">
        <f t="shared" si="489"/>
        <v>18358.319999999985</v>
      </c>
      <c r="NL37" s="984">
        <f t="shared" si="489"/>
        <v>164561350.59999999</v>
      </c>
      <c r="NM37" s="950">
        <f t="shared" si="489"/>
        <v>70608.919999999984</v>
      </c>
      <c r="NN37" s="970">
        <f t="shared" si="489"/>
        <v>18358.319999999985</v>
      </c>
      <c r="NO37" s="974">
        <f t="shared" si="489"/>
        <v>52250.6</v>
      </c>
      <c r="NP37" s="955">
        <f t="shared" si="489"/>
        <v>0</v>
      </c>
      <c r="NQ37" s="922">
        <f t="shared" si="489"/>
        <v>0</v>
      </c>
      <c r="NR37" s="974">
        <f t="shared" si="489"/>
        <v>0</v>
      </c>
      <c r="NS37" s="955">
        <f t="shared" si="489"/>
        <v>0</v>
      </c>
      <c r="NT37" s="922">
        <f t="shared" si="489"/>
        <v>0</v>
      </c>
      <c r="NU37" s="1080">
        <f t="shared" si="489"/>
        <v>0</v>
      </c>
      <c r="NV37" s="955">
        <f t="shared" si="489"/>
        <v>164579708.91999999</v>
      </c>
      <c r="NW37" s="922">
        <f t="shared" si="489"/>
        <v>18358.319999999985</v>
      </c>
      <c r="NX37" s="984">
        <f t="shared" si="489"/>
        <v>164561350.59999999</v>
      </c>
      <c r="NY37" s="955">
        <f t="shared" si="489"/>
        <v>70608.919999999984</v>
      </c>
      <c r="NZ37" s="922">
        <f t="shared" si="489"/>
        <v>18358.319999999985</v>
      </c>
      <c r="OA37" s="974">
        <f t="shared" si="489"/>
        <v>52250.6</v>
      </c>
      <c r="OB37" s="965">
        <f t="shared" si="489"/>
        <v>0</v>
      </c>
      <c r="OC37" s="957">
        <f>OC30+OC34</f>
        <v>0</v>
      </c>
      <c r="OD37" s="969">
        <f t="shared" si="489"/>
        <v>0</v>
      </c>
      <c r="OE37" s="976">
        <f>OE30+OE34</f>
        <v>0</v>
      </c>
      <c r="OF37" s="950">
        <f t="shared" ref="OF37" si="490">OF30+OF34</f>
        <v>0</v>
      </c>
      <c r="OG37" s="976">
        <f t="shared" si="489"/>
        <v>0</v>
      </c>
      <c r="OH37" s="969">
        <f t="shared" si="489"/>
        <v>0</v>
      </c>
      <c r="OI37" s="976">
        <f t="shared" si="489"/>
        <v>0</v>
      </c>
      <c r="OJ37" s="950">
        <f t="shared" si="489"/>
        <v>637428335.19000006</v>
      </c>
      <c r="OK37" s="922">
        <f t="shared" si="489"/>
        <v>112862344.38</v>
      </c>
      <c r="OL37" s="974">
        <f t="shared" si="489"/>
        <v>312944914.11000001</v>
      </c>
      <c r="OM37" s="922">
        <f t="shared" si="489"/>
        <v>211621076.69999999</v>
      </c>
      <c r="ON37" s="950">
        <f t="shared" si="489"/>
        <v>259806144.97000003</v>
      </c>
      <c r="OO37" s="922">
        <f t="shared" si="489"/>
        <v>6267207.3700000001</v>
      </c>
      <c r="OP37" s="974">
        <f t="shared" si="489"/>
        <v>119076909.65000001</v>
      </c>
      <c r="OQ37" s="922">
        <f t="shared" si="489"/>
        <v>134462027.94999999</v>
      </c>
      <c r="OR37" s="950">
        <f t="shared" si="489"/>
        <v>281107380.46999997</v>
      </c>
      <c r="OS37" s="922">
        <f t="shared" si="489"/>
        <v>5473685.5999999978</v>
      </c>
      <c r="OT37" s="974">
        <f t="shared" si="489"/>
        <v>104000000</v>
      </c>
      <c r="OU37" s="922">
        <f t="shared" si="489"/>
        <v>171633694.87</v>
      </c>
      <c r="OV37" s="965">
        <f t="shared" si="489"/>
        <v>232312359.18000001</v>
      </c>
      <c r="OW37" s="922">
        <f t="shared" si="489"/>
        <v>5385436.2299999995</v>
      </c>
      <c r="OX37" s="974">
        <f t="shared" si="489"/>
        <v>102323262.37</v>
      </c>
      <c r="OY37" s="922">
        <f t="shared" si="489"/>
        <v>124603660.58</v>
      </c>
      <c r="OZ37" s="1082">
        <f t="shared" si="489"/>
        <v>139560414.10999998</v>
      </c>
      <c r="PA37" s="973">
        <f t="shared" si="489"/>
        <v>-5000000</v>
      </c>
      <c r="PB37" s="974">
        <f t="shared" si="489"/>
        <v>0</v>
      </c>
      <c r="PC37" s="922">
        <f t="shared" si="489"/>
        <v>144560414.10999998</v>
      </c>
      <c r="PD37" s="963">
        <f t="shared" si="489"/>
        <v>113402780.59999999</v>
      </c>
      <c r="PE37" s="951">
        <f t="shared" si="489"/>
        <v>0</v>
      </c>
      <c r="PF37" s="974">
        <f t="shared" ref="PF37:RU37" si="491">PF30+PF34</f>
        <v>0</v>
      </c>
      <c r="PG37" s="922">
        <f t="shared" si="491"/>
        <v>113402780.59999999</v>
      </c>
      <c r="PH37" s="963">
        <f t="shared" si="491"/>
        <v>141546966.35999998</v>
      </c>
      <c r="PI37" s="922">
        <f t="shared" si="491"/>
        <v>10473685.599999998</v>
      </c>
      <c r="PJ37" s="1080">
        <f t="shared" si="491"/>
        <v>104000000</v>
      </c>
      <c r="PK37" s="922">
        <f t="shared" si="491"/>
        <v>27073280.759999998</v>
      </c>
      <c r="PL37" s="963">
        <f t="shared" si="491"/>
        <v>118909578.58000001</v>
      </c>
      <c r="PM37" s="922">
        <f t="shared" si="491"/>
        <v>5385436.2299999995</v>
      </c>
      <c r="PN37" s="974">
        <f t="shared" si="491"/>
        <v>102323262.37</v>
      </c>
      <c r="PO37" s="922">
        <f t="shared" si="491"/>
        <v>11200879.98</v>
      </c>
      <c r="PP37" s="950">
        <f t="shared" si="491"/>
        <v>171852053.88</v>
      </c>
      <c r="PQ37" s="957">
        <f t="shared" si="491"/>
        <v>152102.69</v>
      </c>
      <c r="PR37" s="972">
        <f t="shared" si="491"/>
        <v>2889951.19</v>
      </c>
      <c r="PS37" s="957">
        <f t="shared" ref="PS37:PT37" si="492">PS30+PS34</f>
        <v>8440500</v>
      </c>
      <c r="PT37" s="972">
        <f t="shared" si="492"/>
        <v>160369500</v>
      </c>
      <c r="PU37" s="950">
        <f t="shared" si="491"/>
        <v>94284805.600000009</v>
      </c>
      <c r="PV37" s="957">
        <f t="shared" si="491"/>
        <v>70706.759999999995</v>
      </c>
      <c r="PW37" s="972">
        <f t="shared" si="491"/>
        <v>1343428.44</v>
      </c>
      <c r="PX37" s="957">
        <f t="shared" ref="PX37:PY37" si="493">PX30+PX34</f>
        <v>4643533.53</v>
      </c>
      <c r="PY37" s="972">
        <f t="shared" si="493"/>
        <v>88227136.870000005</v>
      </c>
      <c r="PZ37" s="950">
        <f t="shared" si="491"/>
        <v>7809735.5899999999</v>
      </c>
      <c r="QA37" s="957">
        <f t="shared" si="491"/>
        <v>390486.77999999991</v>
      </c>
      <c r="QB37" s="972">
        <f t="shared" si="491"/>
        <v>7419248.8100000005</v>
      </c>
      <c r="QC37" s="950">
        <f t="shared" si="491"/>
        <v>6146688.2699999996</v>
      </c>
      <c r="QD37" s="957">
        <f t="shared" si="491"/>
        <v>307334.41000000003</v>
      </c>
      <c r="QE37" s="972">
        <f t="shared" si="491"/>
        <v>5839353.8600000003</v>
      </c>
      <c r="QF37" s="955">
        <f t="shared" si="491"/>
        <v>7809735.5899999999</v>
      </c>
      <c r="QG37" s="957">
        <f t="shared" si="491"/>
        <v>390486.77999999991</v>
      </c>
      <c r="QH37" s="972">
        <f t="shared" si="491"/>
        <v>7419248.8100000005</v>
      </c>
      <c r="QI37" s="955">
        <f t="shared" si="491"/>
        <v>6146688.2699999996</v>
      </c>
      <c r="QJ37" s="957">
        <f t="shared" si="491"/>
        <v>307334.41000000003</v>
      </c>
      <c r="QK37" s="972">
        <f t="shared" si="491"/>
        <v>5839353.8600000003</v>
      </c>
      <c r="QL37" s="955">
        <f t="shared" si="491"/>
        <v>0</v>
      </c>
      <c r="QM37" s="957">
        <f t="shared" si="491"/>
        <v>0</v>
      </c>
      <c r="QN37" s="972">
        <f t="shared" si="491"/>
        <v>0</v>
      </c>
      <c r="QO37" s="955">
        <f t="shared" si="491"/>
        <v>0</v>
      </c>
      <c r="QP37" s="957">
        <f t="shared" si="491"/>
        <v>0</v>
      </c>
      <c r="QQ37" s="972">
        <f t="shared" si="491"/>
        <v>0</v>
      </c>
      <c r="QR37" s="942">
        <f t="shared" si="491"/>
        <v>6974526.3200000003</v>
      </c>
      <c r="QS37" s="973">
        <f t="shared" si="491"/>
        <v>348726.3200000003</v>
      </c>
      <c r="QT37" s="974">
        <f t="shared" si="491"/>
        <v>6625800</v>
      </c>
      <c r="QU37" s="950">
        <f t="shared" si="491"/>
        <v>3281918.96</v>
      </c>
      <c r="QV37" s="973">
        <f t="shared" si="491"/>
        <v>164095.95000000001</v>
      </c>
      <c r="QW37" s="974">
        <f t="shared" si="491"/>
        <v>3117823.01</v>
      </c>
      <c r="QX37" s="942">
        <f t="shared" si="491"/>
        <v>0</v>
      </c>
      <c r="QY37" s="973">
        <f t="shared" si="491"/>
        <v>0</v>
      </c>
      <c r="QZ37" s="974">
        <f t="shared" si="491"/>
        <v>0</v>
      </c>
      <c r="RA37" s="950">
        <f t="shared" si="491"/>
        <v>0</v>
      </c>
      <c r="RB37" s="973">
        <f t="shared" si="491"/>
        <v>0</v>
      </c>
      <c r="RC37" s="974">
        <f t="shared" si="491"/>
        <v>0</v>
      </c>
      <c r="RD37" s="942">
        <f t="shared" si="491"/>
        <v>0</v>
      </c>
      <c r="RE37" s="973">
        <f t="shared" si="491"/>
        <v>0</v>
      </c>
      <c r="RF37" s="974">
        <f t="shared" si="491"/>
        <v>0</v>
      </c>
      <c r="RG37" s="950">
        <f t="shared" si="491"/>
        <v>0</v>
      </c>
      <c r="RH37" s="973">
        <f t="shared" si="491"/>
        <v>0</v>
      </c>
      <c r="RI37" s="974">
        <f t="shared" si="491"/>
        <v>0</v>
      </c>
      <c r="RJ37" s="966">
        <f t="shared" si="491"/>
        <v>0</v>
      </c>
      <c r="RK37" s="973">
        <f t="shared" si="491"/>
        <v>0</v>
      </c>
      <c r="RL37" s="974">
        <f t="shared" si="491"/>
        <v>0</v>
      </c>
      <c r="RM37" s="955">
        <f t="shared" si="491"/>
        <v>0</v>
      </c>
      <c r="RN37" s="973">
        <f t="shared" si="491"/>
        <v>0</v>
      </c>
      <c r="RO37" s="974">
        <f t="shared" si="491"/>
        <v>0</v>
      </c>
      <c r="RP37" s="966">
        <f t="shared" si="491"/>
        <v>0</v>
      </c>
      <c r="RQ37" s="973">
        <f t="shared" si="491"/>
        <v>0</v>
      </c>
      <c r="RR37" s="974">
        <f t="shared" si="491"/>
        <v>0</v>
      </c>
      <c r="RS37" s="955">
        <f t="shared" si="491"/>
        <v>0</v>
      </c>
      <c r="RT37" s="973">
        <f t="shared" si="491"/>
        <v>0</v>
      </c>
      <c r="RU37" s="974">
        <f t="shared" si="491"/>
        <v>0</v>
      </c>
      <c r="RV37" s="942">
        <f t="shared" ref="RV37:SP37" si="494">RV30+RV34</f>
        <v>0</v>
      </c>
      <c r="RW37" s="952">
        <f t="shared" si="494"/>
        <v>0</v>
      </c>
      <c r="RX37" s="974">
        <f t="shared" si="494"/>
        <v>0</v>
      </c>
      <c r="RY37" s="950">
        <f t="shared" si="494"/>
        <v>0</v>
      </c>
      <c r="RZ37" s="970">
        <f t="shared" si="494"/>
        <v>0</v>
      </c>
      <c r="SA37" s="974">
        <f t="shared" si="494"/>
        <v>0</v>
      </c>
      <c r="SB37" s="950">
        <f t="shared" si="494"/>
        <v>957972286.9000001</v>
      </c>
      <c r="SC37" s="952">
        <f t="shared" si="494"/>
        <v>311846070.68000001</v>
      </c>
      <c r="SD37" s="952">
        <f t="shared" si="494"/>
        <v>167992816.22000003</v>
      </c>
      <c r="SE37" s="974">
        <f t="shared" si="494"/>
        <v>478133400</v>
      </c>
      <c r="SF37" s="950">
        <f t="shared" si="494"/>
        <v>716026788.14999998</v>
      </c>
      <c r="SG37" s="957">
        <f t="shared" si="494"/>
        <v>193907064.15000001</v>
      </c>
      <c r="SH37" s="970">
        <f t="shared" si="494"/>
        <v>135751128.24000001</v>
      </c>
      <c r="SI37" s="974">
        <f t="shared" si="494"/>
        <v>386368595.75999999</v>
      </c>
      <c r="SJ37" s="942">
        <f t="shared" si="494"/>
        <v>0</v>
      </c>
      <c r="SK37" s="952">
        <f t="shared" si="494"/>
        <v>0</v>
      </c>
      <c r="SL37" s="984">
        <f t="shared" si="494"/>
        <v>0</v>
      </c>
      <c r="SM37" s="950">
        <f t="shared" si="494"/>
        <v>0</v>
      </c>
      <c r="SN37" s="970">
        <f t="shared" si="494"/>
        <v>0</v>
      </c>
      <c r="SO37" s="974">
        <f t="shared" si="494"/>
        <v>0</v>
      </c>
      <c r="SP37" s="950">
        <f t="shared" si="494"/>
        <v>1428845835.7600002</v>
      </c>
      <c r="SQ37" s="957">
        <f>SQ30+SQ34</f>
        <v>6193124.0799999936</v>
      </c>
      <c r="SR37" s="972">
        <f>SR30+SR34</f>
        <v>117669358.27000001</v>
      </c>
      <c r="SS37" s="957">
        <f t="shared" ref="SS37:ST37" si="495">SS30+SS34</f>
        <v>0</v>
      </c>
      <c r="ST37" s="972">
        <f t="shared" si="495"/>
        <v>0</v>
      </c>
      <c r="SU37" s="957">
        <f>SU30+SU34</f>
        <v>72086419.089999974</v>
      </c>
      <c r="SV37" s="972">
        <f>SV30+SV34</f>
        <v>1232896934.3200002</v>
      </c>
      <c r="SW37" s="950">
        <f t="shared" ref="SW37:TD37" si="496">SW30+SW34</f>
        <v>978873447.02999997</v>
      </c>
      <c r="SX37" s="957">
        <f t="shared" si="496"/>
        <v>3843230.81</v>
      </c>
      <c r="SY37" s="972">
        <f t="shared" si="496"/>
        <v>73021384.909999996</v>
      </c>
      <c r="SZ37" s="957">
        <f t="shared" si="496"/>
        <v>0</v>
      </c>
      <c r="TA37" s="972">
        <f t="shared" si="496"/>
        <v>0</v>
      </c>
      <c r="TB37" s="957">
        <f t="shared" si="496"/>
        <v>45100441.549999997</v>
      </c>
      <c r="TC37" s="969">
        <f t="shared" si="496"/>
        <v>856908389.75999999</v>
      </c>
      <c r="TD37" s="950">
        <f t="shared" si="496"/>
        <v>102674184.42999999</v>
      </c>
      <c r="TE37" s="957">
        <f>TE30+TE34</f>
        <v>4963007.5000000009</v>
      </c>
      <c r="TF37" s="972">
        <f>TF30+TF34</f>
        <v>94297141.729999989</v>
      </c>
      <c r="TG37" s="957">
        <f t="shared" ref="TG37:TH37" si="497">TG30+TG34</f>
        <v>170701.76000000024</v>
      </c>
      <c r="TH37" s="972">
        <f t="shared" si="497"/>
        <v>3243333.44</v>
      </c>
      <c r="TI37" s="957">
        <f>TI30+TI34</f>
        <v>0</v>
      </c>
      <c r="TJ37" s="972">
        <f>TJ30+TJ34</f>
        <v>0</v>
      </c>
      <c r="TK37" s="950">
        <f t="shared" ref="TK37:TR37" si="498">TK30+TK34</f>
        <v>38255913.979999997</v>
      </c>
      <c r="TL37" s="957">
        <f>TL30+TL34</f>
        <v>1912795.6400000001</v>
      </c>
      <c r="TM37" s="972">
        <f>TM30+TM34</f>
        <v>36343118.340000004</v>
      </c>
      <c r="TN37" s="957">
        <f t="shared" ref="TN37:TO37" si="499">TN30+TN34</f>
        <v>0</v>
      </c>
      <c r="TO37" s="972">
        <f t="shared" si="499"/>
        <v>0</v>
      </c>
      <c r="TP37" s="957">
        <f>TP30+TP34</f>
        <v>0</v>
      </c>
      <c r="TQ37" s="972">
        <f>TQ30+TQ34</f>
        <v>0</v>
      </c>
      <c r="TR37" s="955">
        <f t="shared" si="498"/>
        <v>75276754.939999998</v>
      </c>
      <c r="TS37" s="957">
        <f>TS30+TS34</f>
        <v>3965023.74</v>
      </c>
      <c r="TT37" s="972">
        <f>TT30+TT34</f>
        <v>75335450.269999996</v>
      </c>
      <c r="TU37" s="957">
        <f t="shared" ref="TU37:TV37" si="500">TU30+TU34</f>
        <v>-201185.94999999949</v>
      </c>
      <c r="TV37" s="972">
        <f t="shared" si="500"/>
        <v>-3822533.12</v>
      </c>
      <c r="TW37" s="957">
        <f>TW30+TW34</f>
        <v>0</v>
      </c>
      <c r="TX37" s="972">
        <f>TX30+TX34</f>
        <v>0</v>
      </c>
      <c r="TY37" s="955">
        <f t="shared" ref="TY37" si="501">TY30+TY34</f>
        <v>31630053.219999999</v>
      </c>
      <c r="TZ37" s="957">
        <f>TZ30+TZ34</f>
        <v>1581502.6</v>
      </c>
      <c r="UA37" s="972">
        <f>UA30+UA34</f>
        <v>30048550.620000001</v>
      </c>
      <c r="UB37" s="957">
        <f t="shared" ref="UB37:UC37" si="502">UB30+UB34</f>
        <v>0</v>
      </c>
      <c r="UC37" s="972">
        <f t="shared" si="502"/>
        <v>0</v>
      </c>
      <c r="UD37" s="957">
        <f>UD30+UD34</f>
        <v>0</v>
      </c>
      <c r="UE37" s="972">
        <f>UE30+UE34</f>
        <v>0</v>
      </c>
      <c r="UF37" s="955">
        <f t="shared" ref="UF37:WW37" si="503">UF30+UF34</f>
        <v>27397429.490000002</v>
      </c>
      <c r="UG37" s="957">
        <f t="shared" si="503"/>
        <v>997983.76</v>
      </c>
      <c r="UH37" s="972">
        <f t="shared" si="503"/>
        <v>18961691.460000001</v>
      </c>
      <c r="UI37" s="957">
        <f t="shared" si="503"/>
        <v>371887.70999999973</v>
      </c>
      <c r="UJ37" s="972">
        <f t="shared" si="503"/>
        <v>7065866.5600000005</v>
      </c>
      <c r="UK37" s="957">
        <f t="shared" si="503"/>
        <v>0</v>
      </c>
      <c r="UL37" s="972">
        <f t="shared" si="503"/>
        <v>0</v>
      </c>
      <c r="UM37" s="955">
        <f t="shared" si="503"/>
        <v>6625860.7599999998</v>
      </c>
      <c r="UN37" s="957">
        <f t="shared" si="503"/>
        <v>331293.03999999998</v>
      </c>
      <c r="UO37" s="972">
        <f t="shared" si="503"/>
        <v>6294567.7199999997</v>
      </c>
      <c r="UP37" s="957">
        <f t="shared" si="503"/>
        <v>0</v>
      </c>
      <c r="UQ37" s="972">
        <f t="shared" si="503"/>
        <v>0</v>
      </c>
      <c r="UR37" s="957">
        <f t="shared" si="503"/>
        <v>0</v>
      </c>
      <c r="US37" s="972">
        <f t="shared" si="503"/>
        <v>0</v>
      </c>
      <c r="UT37" s="950">
        <f t="shared" si="503"/>
        <v>3654191144.0800004</v>
      </c>
      <c r="UU37" s="950">
        <f t="shared" si="503"/>
        <v>2178590329.0900002</v>
      </c>
      <c r="UV37" s="950">
        <f t="shared" si="503"/>
        <v>192312357.73999998</v>
      </c>
      <c r="UW37" s="950">
        <f t="shared" si="503"/>
        <v>135235834.89999998</v>
      </c>
      <c r="UX37" s="962">
        <f t="shared" si="503"/>
        <v>24358920.560000002</v>
      </c>
      <c r="UY37" s="963">
        <f t="shared" si="503"/>
        <v>16656444.719999999</v>
      </c>
      <c r="UZ37" s="962">
        <f t="shared" si="503"/>
        <v>167953437.18000001</v>
      </c>
      <c r="VA37" s="963">
        <f t="shared" si="503"/>
        <v>118579390.17999999</v>
      </c>
      <c r="VB37" s="940">
        <f t="shared" si="503"/>
        <v>17150133877.010002</v>
      </c>
      <c r="VC37" s="953">
        <f t="shared" si="503"/>
        <v>16654870477.01</v>
      </c>
      <c r="VD37" s="952">
        <f t="shared" si="503"/>
        <v>495263400</v>
      </c>
      <c r="VE37" s="940">
        <f t="shared" si="503"/>
        <v>12965830311.98</v>
      </c>
      <c r="VF37" s="953">
        <f t="shared" si="503"/>
        <v>12638296598.33</v>
      </c>
      <c r="VG37" s="975">
        <f t="shared" si="503"/>
        <v>327533713.64999998</v>
      </c>
      <c r="VH37" s="950">
        <f t="shared" si="503"/>
        <v>16056939569.560001</v>
      </c>
      <c r="VI37" s="949">
        <f t="shared" si="503"/>
        <v>12208603802.59</v>
      </c>
      <c r="VJ37" s="940">
        <f t="shared" si="503"/>
        <v>411185372</v>
      </c>
      <c r="VK37" s="965">
        <f t="shared" si="503"/>
        <v>303452097.43000001</v>
      </c>
      <c r="VL37" s="949">
        <f t="shared" si="503"/>
        <v>9483500</v>
      </c>
      <c r="VM37" s="950">
        <f t="shared" si="503"/>
        <v>1490158.56</v>
      </c>
      <c r="VN37" s="949">
        <f t="shared" si="503"/>
        <v>36969300</v>
      </c>
      <c r="VO37" s="950">
        <f t="shared" si="503"/>
        <v>22695174.790000003</v>
      </c>
      <c r="VP37" s="949">
        <f t="shared" si="503"/>
        <v>63100</v>
      </c>
      <c r="VQ37" s="950">
        <f t="shared" si="503"/>
        <v>0</v>
      </c>
      <c r="VR37" s="949">
        <f t="shared" si="503"/>
        <v>0</v>
      </c>
      <c r="VS37" s="950">
        <f t="shared" si="503"/>
        <v>0</v>
      </c>
      <c r="VT37" s="983">
        <f t="shared" si="503"/>
        <v>1553000</v>
      </c>
      <c r="VU37" s="949">
        <f t="shared" si="503"/>
        <v>1553000</v>
      </c>
      <c r="VV37" s="940">
        <f t="shared" si="503"/>
        <v>7674600</v>
      </c>
      <c r="VW37" s="965">
        <f t="shared" si="503"/>
        <v>7674600</v>
      </c>
      <c r="VX37" s="950">
        <f t="shared" si="503"/>
        <v>571370135.13999999</v>
      </c>
      <c r="VY37" s="954">
        <f>VY30+VY34</f>
        <v>148556235.13999999</v>
      </c>
      <c r="VZ37" s="971">
        <f>VZ30+VZ34</f>
        <v>422813900</v>
      </c>
      <c r="WA37" s="950">
        <f t="shared" ref="WA37" si="504">WA30+WA34</f>
        <v>378748839.65000004</v>
      </c>
      <c r="WB37" s="954">
        <f>WB30+WB34</f>
        <v>98474698.310000002</v>
      </c>
      <c r="WC37" s="971">
        <f>WC30+WC34</f>
        <v>280274141.34000003</v>
      </c>
      <c r="WD37" s="940">
        <f t="shared" ref="WD37" si="505">WD30+WD34</f>
        <v>54895300.310000002</v>
      </c>
      <c r="WE37" s="953">
        <f t="shared" si="503"/>
        <v>38189300.310000002</v>
      </c>
      <c r="WF37" s="974">
        <f t="shared" si="503"/>
        <v>16706000</v>
      </c>
      <c r="WG37" s="940">
        <f t="shared" si="503"/>
        <v>41612638.960000008</v>
      </c>
      <c r="WH37" s="954">
        <f>WH30+WH34</f>
        <v>27766000</v>
      </c>
      <c r="WI37" s="971">
        <f>WI30+WI34</f>
        <v>13846638.959999997</v>
      </c>
      <c r="WJ37" s="940">
        <f t="shared" ref="WJ37:WQ37" si="506">WJ30+WJ34</f>
        <v>4100240062.3800001</v>
      </c>
      <c r="WK37" s="940">
        <f>WK30+WK34</f>
        <v>1912842693.2</v>
      </c>
      <c r="WL37" s="940">
        <f t="shared" si="506"/>
        <v>0</v>
      </c>
      <c r="WM37" s="953">
        <f t="shared" si="506"/>
        <v>0</v>
      </c>
      <c r="WN37" s="974">
        <f t="shared" si="506"/>
        <v>0</v>
      </c>
      <c r="WO37" s="940">
        <f t="shared" si="506"/>
        <v>0</v>
      </c>
      <c r="WP37" s="953">
        <f t="shared" si="506"/>
        <v>0</v>
      </c>
      <c r="WQ37" s="974">
        <f t="shared" si="506"/>
        <v>0</v>
      </c>
      <c r="WR37" s="940">
        <f t="shared" si="503"/>
        <v>148864922.25</v>
      </c>
      <c r="WS37" s="953">
        <f t="shared" si="503"/>
        <v>12859608.940000001</v>
      </c>
      <c r="WT37" s="974">
        <f t="shared" si="503"/>
        <v>136005313.31</v>
      </c>
      <c r="WU37" s="940">
        <f t="shared" si="503"/>
        <v>15963290.640000001</v>
      </c>
      <c r="WV37" s="953">
        <f t="shared" si="503"/>
        <v>798164.93</v>
      </c>
      <c r="WW37" s="974">
        <f t="shared" si="503"/>
        <v>15165125.710000001</v>
      </c>
      <c r="WX37" s="940">
        <f t="shared" ref="WX37:ZD37" si="507">WX30+WX34</f>
        <v>59147203.669999994</v>
      </c>
      <c r="WY37" s="953">
        <f t="shared" si="507"/>
        <v>2957360.1800000006</v>
      </c>
      <c r="WZ37" s="974">
        <f t="shared" si="507"/>
        <v>56189843.490000002</v>
      </c>
      <c r="XA37" s="940">
        <f t="shared" si="507"/>
        <v>44715259.520000003</v>
      </c>
      <c r="XB37" s="953">
        <f t="shared" si="507"/>
        <v>2235763.08</v>
      </c>
      <c r="XC37" s="974">
        <f t="shared" si="507"/>
        <v>42479496.439999998</v>
      </c>
      <c r="XD37" s="940">
        <f t="shared" si="507"/>
        <v>1017161400</v>
      </c>
      <c r="XE37" s="953">
        <f t="shared" si="507"/>
        <v>483719000</v>
      </c>
      <c r="XF37" s="974">
        <f t="shared" si="507"/>
        <v>533442400</v>
      </c>
      <c r="XG37" s="940">
        <f t="shared" si="507"/>
        <v>481578110.50999999</v>
      </c>
      <c r="XH37" s="953">
        <f t="shared" si="507"/>
        <v>0</v>
      </c>
      <c r="XI37" s="974">
        <f t="shared" si="507"/>
        <v>481578110.50999999</v>
      </c>
      <c r="XJ37" s="940">
        <f t="shared" si="507"/>
        <v>0</v>
      </c>
      <c r="XK37" s="973">
        <f t="shared" si="507"/>
        <v>0</v>
      </c>
      <c r="XL37" s="940">
        <f t="shared" si="507"/>
        <v>0</v>
      </c>
      <c r="XM37" s="922">
        <f t="shared" si="507"/>
        <v>0</v>
      </c>
      <c r="XN37" s="940">
        <f t="shared" si="507"/>
        <v>240950249.07999998</v>
      </c>
      <c r="XO37" s="922">
        <f t="shared" si="507"/>
        <v>240950249.07999998</v>
      </c>
      <c r="XP37" s="940">
        <f t="shared" si="507"/>
        <v>160058225.89999998</v>
      </c>
      <c r="XQ37" s="922">
        <f t="shared" si="507"/>
        <v>160058225.89999998</v>
      </c>
      <c r="XR37" s="956">
        <f t="shared" si="507"/>
        <v>0</v>
      </c>
      <c r="XS37" s="956">
        <f t="shared" si="507"/>
        <v>0</v>
      </c>
      <c r="XT37" s="956">
        <f t="shared" si="507"/>
        <v>240950249.07999998</v>
      </c>
      <c r="XU37" s="956">
        <f t="shared" si="507"/>
        <v>160058225.89999998</v>
      </c>
      <c r="XV37" s="940">
        <f t="shared" si="507"/>
        <v>2157980025.5500002</v>
      </c>
      <c r="XW37" s="922">
        <f t="shared" si="507"/>
        <v>335640263.04000002</v>
      </c>
      <c r="XX37" s="922">
        <f t="shared" si="507"/>
        <v>476499997.78999996</v>
      </c>
      <c r="XY37" s="922">
        <f>XY30+XY34</f>
        <v>8379862.2999999998</v>
      </c>
      <c r="XZ37" s="973">
        <f t="shared" ref="XZ37:YB37" si="508">XZ30+XZ34</f>
        <v>470758457.69</v>
      </c>
      <c r="YA37" s="973">
        <f t="shared" si="508"/>
        <v>134303260</v>
      </c>
      <c r="YB37" s="922">
        <f t="shared" si="508"/>
        <v>447037703.00999999</v>
      </c>
      <c r="YC37" s="922">
        <f>YC30+YC34</f>
        <v>22294381.07</v>
      </c>
      <c r="YD37" s="973">
        <f>YD30+YD34</f>
        <v>67789770.780000001</v>
      </c>
      <c r="YE37" s="922">
        <f t="shared" ref="YE37:YI37" si="509">YE30+YE34</f>
        <v>63618812.569999985</v>
      </c>
      <c r="YF37" s="922">
        <f t="shared" si="509"/>
        <v>131657517.30000001</v>
      </c>
      <c r="YG37" s="940">
        <f t="shared" si="509"/>
        <v>981347298.56999993</v>
      </c>
      <c r="YH37" s="922">
        <f t="shared" si="509"/>
        <v>176246821.08000001</v>
      </c>
      <c r="YI37" s="922">
        <f t="shared" si="509"/>
        <v>145023301.06999999</v>
      </c>
      <c r="YJ37" s="973">
        <f>YJ30+YJ34</f>
        <v>8339862.2999999998</v>
      </c>
      <c r="YK37" s="922">
        <f t="shared" ref="YK37:YR37" si="510">YK30+YK34</f>
        <v>248408155.34999999</v>
      </c>
      <c r="YL37" s="922">
        <f t="shared" si="510"/>
        <v>134303260</v>
      </c>
      <c r="YM37" s="922">
        <f t="shared" si="510"/>
        <v>137368381.47000003</v>
      </c>
      <c r="YN37" s="922">
        <f>YN30+YN34</f>
        <v>0</v>
      </c>
      <c r="YO37" s="973">
        <f>YO30+YO34</f>
        <v>0</v>
      </c>
      <c r="YP37" s="922">
        <f t="shared" ref="YP37:YQ37" si="511">YP30+YP34</f>
        <v>0</v>
      </c>
      <c r="YQ37" s="922">
        <f t="shared" si="511"/>
        <v>131657517.30000001</v>
      </c>
      <c r="YR37" s="940">
        <f t="shared" si="510"/>
        <v>476136261.82999992</v>
      </c>
      <c r="YS37" s="922">
        <f>YS30+YS34</f>
        <v>51888578.649999999</v>
      </c>
      <c r="YT37" s="922">
        <f>YT30+YT34</f>
        <v>51225900</v>
      </c>
      <c r="YU37" s="922">
        <f>YU30+YU34</f>
        <v>222865521.09</v>
      </c>
      <c r="YV37" s="922">
        <f>YV30+YV34</f>
        <v>86537449.520000011</v>
      </c>
      <c r="YW37" s="951">
        <f t="shared" ref="YW37" si="512">YW30+YW34</f>
        <v>63618812.569999985</v>
      </c>
      <c r="YX37" s="940">
        <f t="shared" si="507"/>
        <v>229180508.05999997</v>
      </c>
      <c r="YY37" s="922">
        <f>YY30+YY34</f>
        <v>50221173.329999998</v>
      </c>
      <c r="YZ37" s="922">
        <f>YZ30+YZ34</f>
        <v>51225900</v>
      </c>
      <c r="ZA37" s="922">
        <f>ZA30+ZA34</f>
        <v>50820456.340000004</v>
      </c>
      <c r="ZB37" s="922">
        <f>ZB30+ZB34</f>
        <v>13399655.76</v>
      </c>
      <c r="ZC37" s="951">
        <f t="shared" ref="ZC37" si="513">ZC30+ZC34</f>
        <v>63513322.629999988</v>
      </c>
      <c r="ZD37" s="956">
        <f t="shared" si="507"/>
        <v>391080403.06</v>
      </c>
      <c r="ZE37" s="922">
        <f>ZE30+ZE34</f>
        <v>39589674.650000006</v>
      </c>
      <c r="ZF37" s="922">
        <f>ZF30+ZF34</f>
        <v>0</v>
      </c>
      <c r="ZG37" s="922">
        <f>ZG30+ZG34</f>
        <v>202951813.62</v>
      </c>
      <c r="ZH37" s="922">
        <f>ZH30+ZH34</f>
        <v>86537449.520000011</v>
      </c>
      <c r="ZI37" s="922">
        <f>ZI30+ZI34</f>
        <v>62001465.269999988</v>
      </c>
      <c r="ZJ37" s="956">
        <f t="shared" ref="ZJ37" si="514">ZJ30+ZJ34</f>
        <v>164874215.35999998</v>
      </c>
      <c r="ZK37" s="922">
        <f>ZK30+ZK34</f>
        <v>38758127.929999992</v>
      </c>
      <c r="ZL37" s="922">
        <f>ZL30+ZL34</f>
        <v>0</v>
      </c>
      <c r="ZM37" s="922">
        <f>ZM30+ZM34</f>
        <v>50820456.340000004</v>
      </c>
      <c r="ZN37" s="922">
        <f>ZN30+ZN34</f>
        <v>13399655.76</v>
      </c>
      <c r="ZO37" s="922">
        <f>ZO30+ZO34</f>
        <v>61895975.329999991</v>
      </c>
      <c r="ZP37" s="956">
        <f t="shared" ref="ZP37" si="515">ZP30+ZP34</f>
        <v>85055858.769999996</v>
      </c>
      <c r="ZQ37" s="922">
        <f>ZQ30+ZQ34</f>
        <v>12298904</v>
      </c>
      <c r="ZR37" s="922">
        <f>ZR30+ZR34</f>
        <v>51225900</v>
      </c>
      <c r="ZS37" s="922">
        <f>ZS30+ZS34</f>
        <v>19913707.469999999</v>
      </c>
      <c r="ZT37" s="922">
        <f>ZT30+ZT34</f>
        <v>0</v>
      </c>
      <c r="ZU37" s="951">
        <f t="shared" ref="ZU37:AAS37" si="516">ZU30+ZU34</f>
        <v>1617347.3000000003</v>
      </c>
      <c r="ZV37" s="956">
        <f t="shared" si="516"/>
        <v>64306292.700000003</v>
      </c>
      <c r="ZW37" s="922">
        <f>ZW30+ZW34</f>
        <v>11463045.4</v>
      </c>
      <c r="ZX37" s="922">
        <f>ZX30+ZX34</f>
        <v>51225900</v>
      </c>
      <c r="ZY37" s="922"/>
      <c r="ZZ37" s="922">
        <f>ZZ30+ZZ34</f>
        <v>0</v>
      </c>
      <c r="AAA37" s="951">
        <f t="shared" ref="AAA37" si="517">AAA30+AAA34</f>
        <v>1617347.3000000003</v>
      </c>
      <c r="AAB37" s="941">
        <f t="shared" si="516"/>
        <v>-1638800000.1600001</v>
      </c>
      <c r="AAC37" s="940">
        <f t="shared" si="516"/>
        <v>-30000000</v>
      </c>
      <c r="AAD37" s="940">
        <f t="shared" si="516"/>
        <v>0</v>
      </c>
      <c r="AAE37" s="940">
        <f t="shared" si="516"/>
        <v>0</v>
      </c>
      <c r="AAF37" s="940">
        <f t="shared" si="516"/>
        <v>0</v>
      </c>
      <c r="AAG37" s="940">
        <f t="shared" si="516"/>
        <v>0</v>
      </c>
      <c r="AAH37" s="963">
        <f t="shared" si="516"/>
        <v>0</v>
      </c>
      <c r="AAI37" s="963">
        <f t="shared" si="516"/>
        <v>0</v>
      </c>
      <c r="AAJ37" s="963">
        <f t="shared" si="516"/>
        <v>0</v>
      </c>
      <c r="AAK37" s="963">
        <f t="shared" si="516"/>
        <v>0</v>
      </c>
      <c r="AAL37" s="940">
        <f t="shared" si="516"/>
        <v>-1637600000.1600001</v>
      </c>
      <c r="AAM37" s="940">
        <f t="shared" si="516"/>
        <v>-30000000</v>
      </c>
      <c r="AAN37" s="940">
        <f t="shared" si="516"/>
        <v>-1200000</v>
      </c>
      <c r="AAO37" s="940">
        <f t="shared" si="516"/>
        <v>0</v>
      </c>
      <c r="AAP37" s="963">
        <f t="shared" si="516"/>
        <v>-550000</v>
      </c>
      <c r="AAQ37" s="963">
        <f t="shared" si="516"/>
        <v>0</v>
      </c>
      <c r="AAR37" s="963">
        <f t="shared" si="516"/>
        <v>-650000</v>
      </c>
      <c r="AAS37" s="963">
        <f t="shared" si="516"/>
        <v>0</v>
      </c>
      <c r="AAT37" s="1384">
        <f>'Проверочная  таблица'!AAL37+'Проверочная  таблица'!AAN37</f>
        <v>-1638800000.1600001</v>
      </c>
      <c r="AAU37" s="1384">
        <f>'Проверочная  таблица'!AAM37+'Проверочная  таблица'!AAO37</f>
        <v>-30000000</v>
      </c>
    </row>
    <row r="38" spans="1:723" ht="16.5" x14ac:dyDescent="0.25">
      <c r="A38" s="791"/>
      <c r="B38" s="1086">
        <f>D38+AN38+'Проверочная  таблица'!VB38</f>
        <v>2389830922.6299992</v>
      </c>
      <c r="C38" s="1086">
        <f>E38+AO38+'Проверочная  таблица'!VE38</f>
        <v>0</v>
      </c>
      <c r="D38" s="1086">
        <f>D37-'[1]Дотация  из  ОБ_факт'!$F$43</f>
        <v>0</v>
      </c>
      <c r="E38" s="1086">
        <f>5707690878.31-E37</f>
        <v>0</v>
      </c>
      <c r="F38" s="1086">
        <f>F37+H37</f>
        <v>3404309696.8400002</v>
      </c>
      <c r="G38" s="1086">
        <f>G37+I37</f>
        <v>2432032898.3099999</v>
      </c>
      <c r="H38" s="791"/>
      <c r="I38" s="791"/>
      <c r="J38" s="791"/>
      <c r="K38" s="791"/>
      <c r="L38" s="791"/>
      <c r="M38" s="791"/>
      <c r="N38" s="1086">
        <f>N37+P37</f>
        <v>5119462934</v>
      </c>
      <c r="O38" s="1086">
        <f>O37+Q37</f>
        <v>3247857980</v>
      </c>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791"/>
      <c r="AM38" s="791"/>
      <c r="AN38" s="1086">
        <f>AN37-[1]Субсидия_факт!$F$35</f>
        <v>2389830922.6299992</v>
      </c>
      <c r="AO38" s="1444">
        <f>9093594681.5-AO37</f>
        <v>0</v>
      </c>
      <c r="AP38" s="791"/>
      <c r="AQ38" s="1086"/>
      <c r="AR38" s="1086">
        <f>AR37+AW37+'Прочая  субсидия_МР  и  ГО'!AJ43</f>
        <v>154901464.03</v>
      </c>
      <c r="AS38" s="791"/>
      <c r="AT38" s="1086"/>
      <c r="AU38" s="1086">
        <f>AU37+AY37+'Прочая  субсидия_МР  и  ГО'!AK43</f>
        <v>4965519.3899999997</v>
      </c>
      <c r="AV38" s="791"/>
      <c r="AW38" s="1086"/>
      <c r="AX38" s="791"/>
      <c r="AY38" s="1086"/>
      <c r="AZ38" s="1086">
        <f>AZ37+BD37</f>
        <v>467583221.19999999</v>
      </c>
      <c r="BA38" s="1086">
        <f>BA37+BE37</f>
        <v>467583221.19999999</v>
      </c>
      <c r="BB38" s="1086">
        <f>BB37+BF37</f>
        <v>202741328.08999997</v>
      </c>
      <c r="BC38" s="1086">
        <f>BC37+BG37</f>
        <v>202741328.08999997</v>
      </c>
      <c r="BD38" s="791"/>
      <c r="BE38" s="791"/>
      <c r="BF38" s="791"/>
      <c r="BG38" s="791"/>
      <c r="BH38" s="791"/>
      <c r="BI38" s="791"/>
      <c r="BJ38" s="791"/>
      <c r="BK38" s="791"/>
      <c r="BL38" s="1086">
        <f>BL37+BN37</f>
        <v>0</v>
      </c>
      <c r="BM38" s="1086">
        <f>BM37+BO37</f>
        <v>0</v>
      </c>
      <c r="BN38" s="791"/>
      <c r="BO38" s="791"/>
      <c r="BP38" s="791"/>
      <c r="BQ38" s="791"/>
      <c r="BR38" s="791"/>
      <c r="BS38" s="791"/>
      <c r="BT38" s="1089"/>
      <c r="BU38" s="1089"/>
      <c r="BV38" s="1089"/>
      <c r="BW38" s="1089"/>
      <c r="BX38" s="1089"/>
      <c r="BY38" s="1089"/>
      <c r="BZ38" s="1089"/>
      <c r="CA38" s="1089"/>
      <c r="CB38" s="1089"/>
      <c r="CC38" s="1089"/>
      <c r="CD38" s="1089"/>
      <c r="CE38" s="1089"/>
      <c r="CF38" s="1089"/>
      <c r="CG38" s="1089"/>
      <c r="CH38" s="1089"/>
      <c r="CI38" s="1089"/>
      <c r="CJ38" s="1089"/>
      <c r="CK38" s="1089"/>
      <c r="CL38" s="1089"/>
      <c r="CM38" s="1089"/>
      <c r="CN38" s="1089"/>
      <c r="CO38" s="1089"/>
      <c r="CP38" s="1089"/>
      <c r="CQ38" s="1089">
        <f>CQ37+DC37</f>
        <v>56044391.100000001</v>
      </c>
      <c r="CR38" s="1089">
        <f>CR37+DD37</f>
        <v>1011540300</v>
      </c>
      <c r="CS38" s="1089"/>
      <c r="CT38" s="1089"/>
      <c r="CU38" s="1089"/>
      <c r="CV38" s="1089"/>
      <c r="CW38" s="1089"/>
      <c r="CX38" s="1089">
        <f>CX37+DF37</f>
        <v>20534577.66</v>
      </c>
      <c r="CY38" s="1089">
        <f>CY37+DG37</f>
        <v>377606898.44999999</v>
      </c>
      <c r="CZ38" s="1089"/>
      <c r="DA38" s="1089"/>
      <c r="DB38" s="1089"/>
      <c r="DC38" s="1089"/>
      <c r="DD38" s="1089"/>
      <c r="DE38" s="1089"/>
      <c r="DF38" s="1089"/>
      <c r="DG38" s="1089"/>
      <c r="DH38" s="1089"/>
      <c r="DI38" s="1089"/>
      <c r="DJ38" s="1089"/>
      <c r="DK38" s="1089"/>
      <c r="DL38" s="1089"/>
      <c r="DM38" s="1089"/>
      <c r="DN38" s="1089"/>
      <c r="DO38" s="1089"/>
      <c r="DP38" s="1089"/>
      <c r="DQ38" s="1089"/>
      <c r="DR38" s="1089"/>
      <c r="DS38" s="1089"/>
      <c r="DT38" s="1089"/>
      <c r="DU38" s="1089"/>
      <c r="DV38" s="1089"/>
      <c r="DW38" s="1089"/>
      <c r="DX38" s="1089"/>
      <c r="DY38" s="1089"/>
      <c r="DZ38" s="791"/>
      <c r="EA38" s="791"/>
      <c r="EB38" s="791"/>
      <c r="EC38" s="791"/>
      <c r="ED38" s="791"/>
      <c r="EE38" s="791"/>
      <c r="EF38" s="1089"/>
      <c r="EG38" s="1089"/>
      <c r="EH38" s="1089"/>
      <c r="EI38" s="1089"/>
      <c r="EJ38" s="1089"/>
      <c r="EK38" s="1089"/>
      <c r="EL38" s="1089"/>
      <c r="EM38" s="1089"/>
      <c r="EN38" s="1089"/>
      <c r="EO38" s="1089"/>
      <c r="EP38" s="1089"/>
      <c r="EQ38" s="1089"/>
      <c r="ER38" s="1445"/>
      <c r="ES38" s="1445"/>
      <c r="ET38" s="1089"/>
      <c r="EU38" s="1089">
        <f>EU37+FA37</f>
        <v>6600000.0000000019</v>
      </c>
      <c r="EV38" s="1089">
        <f>EV37+FB37</f>
        <v>18686100</v>
      </c>
      <c r="EW38" s="1089"/>
      <c r="EX38" s="1089">
        <f>EX37+FD37</f>
        <v>899797.78999999992</v>
      </c>
      <c r="EY38" s="1089">
        <f>EY37+FE37</f>
        <v>2547532.0500000003</v>
      </c>
      <c r="EZ38" s="1089"/>
      <c r="FA38" s="1089"/>
      <c r="FB38" s="1089"/>
      <c r="FC38" s="1089"/>
      <c r="FD38" s="1089"/>
      <c r="FE38" s="1089"/>
      <c r="FF38" s="1089"/>
      <c r="FG38" s="1089"/>
      <c r="FH38" s="1089"/>
      <c r="FI38" s="1089"/>
      <c r="FJ38" s="1089"/>
      <c r="FK38" s="1089"/>
      <c r="FL38" s="1089"/>
      <c r="FM38" s="1089"/>
      <c r="FN38" s="1089"/>
      <c r="FO38" s="1089"/>
      <c r="FP38" s="1089"/>
      <c r="FQ38" s="1089"/>
      <c r="FR38" s="1089"/>
      <c r="FS38" s="1089"/>
      <c r="FT38" s="1089"/>
      <c r="FU38" s="1089"/>
      <c r="FV38" s="1089"/>
      <c r="FW38" s="1089"/>
      <c r="FX38" s="1089"/>
      <c r="FY38" s="1089">
        <f>FY37+GE37</f>
        <v>53433148.659999982</v>
      </c>
      <c r="FZ38" s="1089">
        <f>FZ37+GF37</f>
        <v>234131380.22999999</v>
      </c>
      <c r="GA38" s="1089"/>
      <c r="GB38" s="1089">
        <f>GB37+GH37</f>
        <v>17520034.399999999</v>
      </c>
      <c r="GC38" s="1089">
        <f>GC37+GI37</f>
        <v>225612167.53</v>
      </c>
      <c r="GD38" s="1089"/>
      <c r="GE38" s="1089"/>
      <c r="GF38" s="1089"/>
      <c r="GG38" s="1089"/>
      <c r="GH38" s="1089"/>
      <c r="GI38" s="1089"/>
      <c r="GJ38" s="1089"/>
      <c r="GK38" s="1089"/>
      <c r="GL38" s="1089"/>
      <c r="GM38" s="1089"/>
      <c r="GN38" s="1089"/>
      <c r="GO38" s="1089"/>
      <c r="GP38" s="1089"/>
      <c r="GQ38" s="1086">
        <f>GQ37+GW37</f>
        <v>1755961736.5300002</v>
      </c>
      <c r="GR38" s="1089"/>
      <c r="GS38" s="1089"/>
      <c r="GT38" s="1089"/>
      <c r="GU38" s="1384">
        <f>GU37+GY37</f>
        <v>1106594768.9499998</v>
      </c>
      <c r="GV38" s="1384"/>
      <c r="GW38" s="1085"/>
      <c r="GX38" s="1384"/>
      <c r="GY38" s="1085"/>
      <c r="GZ38" s="1384"/>
      <c r="HA38" s="1384"/>
      <c r="HB38" s="1384"/>
      <c r="HC38" s="1384"/>
      <c r="HD38" s="1089"/>
      <c r="HE38" s="1089"/>
      <c r="HF38" s="1089"/>
      <c r="HG38" s="1089"/>
      <c r="HH38" s="1089"/>
      <c r="HI38" s="1089"/>
      <c r="HJ38" s="1089"/>
      <c r="HK38" s="1089">
        <f t="shared" ref="HK38:HO38" si="518">HK37+HQ37</f>
        <v>10524052.469999988</v>
      </c>
      <c r="HL38" s="1089">
        <f t="shared" si="518"/>
        <v>167793311.36000001</v>
      </c>
      <c r="HM38" s="1089"/>
      <c r="HN38" s="1089">
        <f t="shared" si="518"/>
        <v>1661708.0899999999</v>
      </c>
      <c r="HO38" s="1089">
        <f t="shared" si="518"/>
        <v>164509100</v>
      </c>
      <c r="HP38" s="1089"/>
      <c r="HQ38" s="1089"/>
      <c r="HR38" s="1089"/>
      <c r="HS38" s="1089"/>
      <c r="HT38" s="1089"/>
      <c r="HU38" s="1089"/>
      <c r="HV38" s="1089"/>
      <c r="HW38" s="1089"/>
      <c r="HX38" s="1089"/>
      <c r="HY38" s="1089"/>
      <c r="HZ38" s="1089"/>
      <c r="IA38" s="1089"/>
      <c r="IB38" s="1089"/>
      <c r="IC38" s="1089"/>
      <c r="ID38" s="1089"/>
      <c r="IE38" s="1089"/>
      <c r="IF38" s="1089"/>
      <c r="IG38" s="1089"/>
      <c r="IH38" s="1089"/>
      <c r="II38" s="1089">
        <f>II37+IO37</f>
        <v>131578.95000000001</v>
      </c>
      <c r="IJ38" s="1089">
        <f>IJ37+IP37</f>
        <v>2500000</v>
      </c>
      <c r="IK38" s="1089"/>
      <c r="IL38" s="1089">
        <f>IL37+IR37</f>
        <v>131578.95000000001</v>
      </c>
      <c r="IM38" s="1089">
        <f>IM37+IS37</f>
        <v>2500000</v>
      </c>
      <c r="IN38" s="1089"/>
      <c r="IO38" s="1089"/>
      <c r="IP38" s="1089"/>
      <c r="IQ38" s="1089"/>
      <c r="IR38" s="1089"/>
      <c r="IS38" s="1089"/>
      <c r="IT38" s="1089"/>
      <c r="IU38" s="1089"/>
      <c r="IV38" s="1089"/>
      <c r="IW38" s="1089"/>
      <c r="IX38" s="1089"/>
      <c r="IY38" s="1089"/>
      <c r="IZ38" s="1089"/>
      <c r="JA38" s="1089"/>
      <c r="JB38" s="1089"/>
      <c r="JC38" s="1089"/>
      <c r="JD38" s="1089"/>
      <c r="JE38" s="1089"/>
      <c r="JF38" s="1089"/>
      <c r="JG38" s="1089"/>
      <c r="JH38" s="1089"/>
      <c r="JI38" s="1089"/>
      <c r="JJ38" s="1086">
        <f>JJ37+'Проверочная  таблица'!JP37</f>
        <v>36716.63999999997</v>
      </c>
      <c r="JK38" s="1086">
        <f>JK37+'Проверочная  таблица'!JQ37</f>
        <v>0</v>
      </c>
      <c r="JL38" s="1086">
        <f>JL37+'Проверочная  таблица'!JR37</f>
        <v>36716.63999999997</v>
      </c>
      <c r="JM38" s="1086">
        <f>JM37+'Проверочная  таблица'!JS37</f>
        <v>0</v>
      </c>
      <c r="JN38" s="1086">
        <f>JN37+'Проверочная  таблица'!JT37</f>
        <v>0</v>
      </c>
      <c r="JO38" s="1086">
        <f>JO37+'Проверочная  таблица'!JU37</f>
        <v>0</v>
      </c>
      <c r="JP38" s="791"/>
      <c r="JQ38" s="791"/>
      <c r="JR38" s="791"/>
      <c r="JS38" s="791"/>
      <c r="JT38" s="791"/>
      <c r="JU38" s="791"/>
      <c r="JV38" s="1085"/>
      <c r="JW38" s="1085"/>
      <c r="JX38" s="1085"/>
      <c r="JY38" s="1085"/>
      <c r="JZ38" s="1085"/>
      <c r="KA38" s="1085"/>
      <c r="KB38" s="1085"/>
      <c r="KC38" s="1085"/>
      <c r="KD38" s="1085"/>
      <c r="KE38" s="1085"/>
      <c r="KF38" s="1085"/>
      <c r="KG38" s="1085"/>
      <c r="KH38" s="1085"/>
      <c r="KI38" s="1384">
        <f>KI37+KS37</f>
        <v>27256531.120000001</v>
      </c>
      <c r="KJ38" s="1384">
        <f>KJ37+KT37</f>
        <v>9055887.7100000009</v>
      </c>
      <c r="KK38" s="1384">
        <f t="shared" ref="KK38:KL38" si="519">KK37+KU37</f>
        <v>3726800</v>
      </c>
      <c r="KL38" s="1384">
        <f t="shared" si="519"/>
        <v>6524400</v>
      </c>
      <c r="KM38" s="1085"/>
      <c r="KN38" s="1384">
        <f>KN37+KX37</f>
        <v>0</v>
      </c>
      <c r="KO38" s="1384">
        <f>KO37+KY37</f>
        <v>0</v>
      </c>
      <c r="KP38" s="1384">
        <f>KP37+KZ37</f>
        <v>67321.759999999995</v>
      </c>
      <c r="KQ38" s="1384">
        <f>KQ37+LA37</f>
        <v>117858.24000000001</v>
      </c>
      <c r="KR38" s="1085"/>
      <c r="KS38" s="1085"/>
      <c r="KT38" s="1085"/>
      <c r="KU38" s="1085"/>
      <c r="KV38" s="1085"/>
      <c r="KW38" s="1085"/>
      <c r="KX38" s="1085"/>
      <c r="KY38" s="1085"/>
      <c r="KZ38" s="1085"/>
      <c r="LA38" s="1085"/>
      <c r="LB38" s="1085"/>
      <c r="LC38" s="1085"/>
      <c r="LD38" s="1085"/>
      <c r="LE38" s="1085"/>
      <c r="LF38" s="1085"/>
      <c r="LG38" s="1085"/>
      <c r="LH38" s="1085"/>
      <c r="LI38" s="1085"/>
      <c r="LJ38" s="1085"/>
      <c r="LK38" s="1085"/>
      <c r="LL38" s="1085"/>
      <c r="LM38" s="1085"/>
      <c r="LN38" s="1085"/>
      <c r="LO38" s="1089">
        <f>LO37+'Проверочная  таблица'!LW37</f>
        <v>0</v>
      </c>
      <c r="LP38" s="1089">
        <f>LP37+'Проверочная  таблица'!LX37</f>
        <v>10465281.08</v>
      </c>
      <c r="LQ38" s="1089">
        <f>LQ37+'Проверочная  таблица'!LY37</f>
        <v>29785800</v>
      </c>
      <c r="LR38" s="1085"/>
      <c r="LS38" s="1089">
        <f>LS37+'Проверочная  таблица'!MA37</f>
        <v>0</v>
      </c>
      <c r="LT38" s="1089">
        <f>LT37+'Проверочная  таблица'!MB37</f>
        <v>6560282.8599999994</v>
      </c>
      <c r="LU38" s="1089">
        <f>LU37+'Проверочная  таблица'!MC37</f>
        <v>18671574.310000002</v>
      </c>
      <c r="LV38" s="1089"/>
      <c r="LW38" s="1089"/>
      <c r="LX38" s="1085"/>
      <c r="LY38" s="1085"/>
      <c r="LZ38" s="1089"/>
      <c r="MA38" s="1089"/>
      <c r="MB38" s="1089"/>
      <c r="MC38" s="1089"/>
      <c r="MD38" s="1089"/>
      <c r="ME38" s="1089"/>
      <c r="MF38" s="1089"/>
      <c r="MG38" s="1089"/>
      <c r="MH38" s="1089"/>
      <c r="MI38" s="1089"/>
      <c r="MJ38" s="1089"/>
      <c r="MK38" s="1089"/>
      <c r="ML38" s="1089"/>
      <c r="MM38" s="1089"/>
      <c r="MN38" s="1089"/>
      <c r="MO38" s="1089"/>
      <c r="MP38" s="1089"/>
      <c r="MQ38" s="1089"/>
      <c r="MR38" s="1089"/>
      <c r="MS38" s="1089"/>
      <c r="MT38" s="1293"/>
      <c r="MU38" s="1089"/>
      <c r="MV38" s="1089"/>
      <c r="MW38" s="1089"/>
      <c r="MX38" s="1089"/>
      <c r="MY38" s="1089"/>
      <c r="MZ38" s="1089">
        <f>MZ37+'Проверочная  таблица'!NK37</f>
        <v>1294132.44</v>
      </c>
      <c r="NA38" s="1089">
        <f>NA37+'Проверочная  таблица'!NL37</f>
        <v>168192399.99000001</v>
      </c>
      <c r="NB38" s="1293"/>
      <c r="NC38" s="1089"/>
      <c r="ND38" s="1089"/>
      <c r="NE38" s="1089"/>
      <c r="NF38" s="1089"/>
      <c r="NG38" s="1089"/>
      <c r="NH38" s="1089">
        <f>NH37+'Проверочная  таблица'!NN37</f>
        <v>1294132.45</v>
      </c>
      <c r="NI38" s="1089">
        <f>NI37+'Проверочная  таблица'!NO37</f>
        <v>3683299.9699999997</v>
      </c>
      <c r="NJ38" s="1293"/>
      <c r="NK38" s="1293"/>
      <c r="NL38" s="1293"/>
      <c r="NM38" s="1293"/>
      <c r="NN38" s="1293"/>
      <c r="NO38" s="1293"/>
      <c r="NP38" s="1293"/>
      <c r="NQ38" s="1293"/>
      <c r="NR38" s="1293"/>
      <c r="NS38" s="1293"/>
      <c r="NT38" s="1293"/>
      <c r="NU38" s="1293"/>
      <c r="NV38" s="1293"/>
      <c r="NW38" s="1293"/>
      <c r="NX38" s="1293"/>
      <c r="NY38" s="1293"/>
      <c r="NZ38" s="1293"/>
      <c r="OA38" s="1293"/>
      <c r="OB38" s="791"/>
      <c r="OC38" s="791"/>
      <c r="OD38" s="791"/>
      <c r="OE38" s="791"/>
      <c r="OF38" s="791"/>
      <c r="OG38" s="791"/>
      <c r="OH38" s="1085"/>
      <c r="OI38" s="1085"/>
      <c r="OJ38" s="1086"/>
      <c r="OK38" s="1086">
        <f>OK37+'Проверочная  таблица'!OS37</f>
        <v>118336029.97999999</v>
      </c>
      <c r="OL38" s="1086">
        <f>OL37+'Проверочная  таблица'!OT37</f>
        <v>416944914.11000001</v>
      </c>
      <c r="OM38" s="1086">
        <f>OM37+OU37</f>
        <v>383254771.56999999</v>
      </c>
      <c r="ON38" s="1086"/>
      <c r="OO38" s="1086">
        <f>OO37+'Проверочная  таблица'!OW37</f>
        <v>11652643.6</v>
      </c>
      <c r="OP38" s="1086">
        <f>OP37+'Проверочная  таблица'!OX37</f>
        <v>221400172.02000001</v>
      </c>
      <c r="OQ38" s="1086">
        <f>OQ37+OY37</f>
        <v>259065688.52999997</v>
      </c>
      <c r="OR38" s="791"/>
      <c r="OS38" s="791"/>
      <c r="OT38" s="791"/>
      <c r="OU38" s="791"/>
      <c r="OV38" s="791"/>
      <c r="OW38" s="791"/>
      <c r="OX38" s="791"/>
      <c r="OY38" s="791"/>
      <c r="OZ38" s="1085"/>
      <c r="PA38" s="1085"/>
      <c r="PB38" s="1085"/>
      <c r="PC38" s="1085"/>
      <c r="PD38" s="1085"/>
      <c r="PE38" s="1085"/>
      <c r="PF38" s="1085"/>
      <c r="PG38" s="1085"/>
      <c r="PH38" s="1085"/>
      <c r="PI38" s="1085"/>
      <c r="PJ38" s="1085"/>
      <c r="PK38" s="1085"/>
      <c r="PL38" s="1085"/>
      <c r="PM38" s="1085"/>
      <c r="PN38" s="1085"/>
      <c r="PO38" s="1085"/>
      <c r="PP38" s="1085"/>
      <c r="PQ38" s="1446">
        <f>PQ37+QA37</f>
        <v>542589.47</v>
      </c>
      <c r="PR38" s="1446">
        <f>PR37+QB37</f>
        <v>10309200</v>
      </c>
      <c r="PS38" s="1446"/>
      <c r="PT38" s="1446"/>
      <c r="PU38" s="1085"/>
      <c r="PV38" s="1446">
        <f>PV37+QD37</f>
        <v>378041.17000000004</v>
      </c>
      <c r="PW38" s="1446">
        <f>PW37+QE37</f>
        <v>7182782.3000000007</v>
      </c>
      <c r="PX38" s="1446"/>
      <c r="PY38" s="1446"/>
      <c r="PZ38" s="791"/>
      <c r="QA38" s="791"/>
      <c r="QB38" s="791"/>
      <c r="QC38" s="791"/>
      <c r="QD38" s="791"/>
      <c r="QE38" s="791"/>
      <c r="QF38" s="791"/>
      <c r="QG38" s="791"/>
      <c r="QH38" s="791"/>
      <c r="QI38" s="791"/>
      <c r="QJ38" s="791"/>
      <c r="QK38" s="791"/>
      <c r="QL38" s="791"/>
      <c r="QM38" s="791"/>
      <c r="QN38" s="791"/>
      <c r="QO38" s="791"/>
      <c r="QP38" s="791"/>
      <c r="QQ38" s="791"/>
      <c r="QR38" s="1089"/>
      <c r="QS38" s="1089"/>
      <c r="QT38" s="1089"/>
      <c r="QU38" s="1089"/>
      <c r="QV38" s="1089"/>
      <c r="QW38" s="1089"/>
      <c r="QX38" s="1089"/>
      <c r="QY38" s="1089">
        <f>QY37+RE37</f>
        <v>0</v>
      </c>
      <c r="QZ38" s="1089">
        <f>QZ37+RF37</f>
        <v>0</v>
      </c>
      <c r="RA38" s="1089"/>
      <c r="RB38" s="1089">
        <f>RB37+RH37</f>
        <v>0</v>
      </c>
      <c r="RC38" s="1089">
        <f>RC37+RI37</f>
        <v>0</v>
      </c>
      <c r="RD38" s="1089"/>
      <c r="RE38" s="1089"/>
      <c r="RF38" s="1089"/>
      <c r="RG38" s="1089"/>
      <c r="RH38" s="1089"/>
      <c r="RI38" s="1089"/>
      <c r="RJ38" s="1089"/>
      <c r="RK38" s="1089"/>
      <c r="RL38" s="1089"/>
      <c r="RM38" s="1089"/>
      <c r="RN38" s="1089"/>
      <c r="RO38" s="1089"/>
      <c r="RP38" s="1089"/>
      <c r="RQ38" s="1089"/>
      <c r="RR38" s="1089"/>
      <c r="RS38" s="1089"/>
      <c r="RT38" s="1089"/>
      <c r="RU38" s="1089"/>
      <c r="RV38" s="1089"/>
      <c r="RW38" s="1089"/>
      <c r="RX38" s="1089"/>
      <c r="RY38" s="1089"/>
      <c r="RZ38" s="1089"/>
      <c r="SA38" s="1089"/>
      <c r="SB38" s="1089"/>
      <c r="SC38" s="1089"/>
      <c r="SD38" s="1089"/>
      <c r="SE38" s="1089"/>
      <c r="SF38" s="1089"/>
      <c r="SG38" s="1089"/>
      <c r="SH38" s="1089"/>
      <c r="SI38" s="1089"/>
      <c r="SJ38" s="1089"/>
      <c r="SK38" s="1089"/>
      <c r="SL38" s="1089"/>
      <c r="SM38" s="1089"/>
      <c r="SN38" s="1089"/>
      <c r="SO38" s="1089"/>
      <c r="SP38" s="791"/>
      <c r="SQ38" s="1086">
        <f t="shared" ref="SQ38:SR38" si="520">SQ37+TE37</f>
        <v>11156131.579999994</v>
      </c>
      <c r="SR38" s="1086">
        <f t="shared" si="520"/>
        <v>211966500</v>
      </c>
      <c r="SS38" s="1086">
        <f>SS37+TG37</f>
        <v>170701.76000000024</v>
      </c>
      <c r="ST38" s="1086">
        <f>ST37+TH37</f>
        <v>3243333.44</v>
      </c>
      <c r="SU38" s="1086">
        <f>SU37+TI37+PS37</f>
        <v>80526919.089999974</v>
      </c>
      <c r="SV38" s="1086">
        <f>SV37+TJ37+PT37</f>
        <v>1393266434.3200002</v>
      </c>
      <c r="SW38" s="791"/>
      <c r="SX38" s="1086">
        <f t="shared" ref="SX38:SY38" si="521">SX37+TL37</f>
        <v>5756026.4500000002</v>
      </c>
      <c r="SY38" s="1086">
        <f t="shared" si="521"/>
        <v>109364503.25</v>
      </c>
      <c r="SZ38" s="1086">
        <f>SZ37+TN37</f>
        <v>0</v>
      </c>
      <c r="TA38" s="1086">
        <f>TA37+TO37</f>
        <v>0</v>
      </c>
      <c r="TB38" s="1086">
        <f>TB37+TP37+PX37</f>
        <v>49743975.079999998</v>
      </c>
      <c r="TC38" s="1086">
        <f>TC37+TQ37+PY37</f>
        <v>945135526.63</v>
      </c>
      <c r="TD38" s="791"/>
      <c r="TE38" s="791"/>
      <c r="TF38" s="791"/>
      <c r="TG38" s="791"/>
      <c r="TH38" s="791"/>
      <c r="TI38" s="791"/>
      <c r="TJ38" s="791"/>
      <c r="TK38" s="791"/>
      <c r="TL38" s="791"/>
      <c r="TM38" s="791"/>
      <c r="TN38" s="791"/>
      <c r="TO38" s="791"/>
      <c r="TP38" s="791"/>
      <c r="TQ38" s="791"/>
      <c r="TR38" s="791"/>
      <c r="TS38" s="791"/>
      <c r="TT38" s="791"/>
      <c r="TU38" s="791"/>
      <c r="TV38" s="791"/>
      <c r="TW38" s="791"/>
      <c r="TX38" s="791"/>
      <c r="TY38" s="791"/>
      <c r="TZ38" s="791"/>
      <c r="UA38" s="791"/>
      <c r="UB38" s="791"/>
      <c r="UC38" s="791"/>
      <c r="UD38" s="791"/>
      <c r="UE38" s="791"/>
      <c r="UF38" s="791"/>
      <c r="UG38" s="791"/>
      <c r="UH38" s="791"/>
      <c r="UI38" s="791"/>
      <c r="UJ38" s="791"/>
      <c r="UK38" s="791"/>
      <c r="UL38" s="791"/>
      <c r="UM38" s="791"/>
      <c r="UN38" s="791"/>
      <c r="UO38" s="791"/>
      <c r="UP38" s="791"/>
      <c r="UQ38" s="791"/>
      <c r="UR38" s="791"/>
      <c r="US38" s="791"/>
      <c r="UT38" s="1089">
        <f>UT37+UV37</f>
        <v>3846503501.8200002</v>
      </c>
      <c r="UU38" s="1089">
        <f>UU37+UW37</f>
        <v>2313826163.9900002</v>
      </c>
      <c r="UV38" s="791"/>
      <c r="UW38" s="791"/>
      <c r="UX38" s="791"/>
      <c r="UY38" s="791"/>
      <c r="UZ38" s="791"/>
      <c r="VA38" s="791"/>
      <c r="VB38" s="1086">
        <f>VB37-([1]Субвенция_факт!$D$37-[1]Субвенция_факт!$D$38-[1]Субвенция_факт!$D$39)</f>
        <v>0</v>
      </c>
      <c r="VC38" s="1086"/>
      <c r="VD38" s="1086">
        <f>VD37-'Федеральные  средства  по  МО'!CH36</f>
        <v>0</v>
      </c>
      <c r="VE38" s="1086">
        <f>14669877325.14-[1]Субвенция_факт!$E$39-VE37</f>
        <v>0</v>
      </c>
      <c r="VF38" s="1086"/>
      <c r="VG38" s="791"/>
      <c r="VH38" s="1086"/>
      <c r="VI38" s="1086"/>
      <c r="VJ38" s="1293"/>
      <c r="VK38" s="1293"/>
      <c r="VL38" s="1293"/>
      <c r="VM38" s="1293"/>
      <c r="VN38" s="1086"/>
      <c r="VO38" s="1086"/>
      <c r="VP38" s="791"/>
      <c r="VQ38" s="1086">
        <f>0-VQ37</f>
        <v>0</v>
      </c>
      <c r="VR38" s="1086"/>
      <c r="VS38" s="1086">
        <f>0-VS37</f>
        <v>0</v>
      </c>
      <c r="VT38" s="1086"/>
      <c r="VU38" s="1086"/>
      <c r="VV38" s="1086"/>
      <c r="VW38" s="1086"/>
      <c r="VX38" s="1086"/>
      <c r="VY38" s="1086"/>
      <c r="VZ38" s="1086"/>
      <c r="WA38" s="1086"/>
      <c r="WB38" s="1086"/>
      <c r="WC38" s="1086"/>
      <c r="WD38" s="791"/>
      <c r="WE38" s="791"/>
      <c r="WF38" s="791"/>
      <c r="WG38" s="791"/>
      <c r="WH38" s="791"/>
      <c r="WI38" s="1086"/>
      <c r="WJ38" s="1087">
        <f>'[1]Иные межбюджетные трансферты'!$B$35-WJ37</f>
        <v>-803184249.69999981</v>
      </c>
      <c r="WK38" s="1087">
        <f>2666155398.24-'[1]Иные межбюджетные трансферты'!$C$45-WK37</f>
        <v>-18919600.000000238</v>
      </c>
      <c r="WL38" s="1087"/>
      <c r="WM38" s="1087"/>
      <c r="WN38" s="1087"/>
      <c r="WO38" s="1087"/>
      <c r="WP38" s="1087"/>
      <c r="WQ38" s="1087"/>
      <c r="WR38" s="1087"/>
      <c r="WS38" s="1087"/>
      <c r="WT38" s="1087"/>
      <c r="WU38" s="1087"/>
      <c r="WV38" s="1087"/>
      <c r="WW38" s="1087"/>
      <c r="WX38" s="1087"/>
      <c r="WY38" s="1087"/>
      <c r="WZ38" s="1087"/>
      <c r="XA38" s="1087"/>
      <c r="XB38" s="1087"/>
      <c r="XC38" s="1087"/>
      <c r="XD38" s="791"/>
      <c r="XE38" s="791"/>
      <c r="XF38" s="791"/>
      <c r="XG38" s="791"/>
      <c r="XH38" s="791"/>
      <c r="XI38" s="1086"/>
      <c r="XJ38" s="1086">
        <f>XJ37+XN37</f>
        <v>240950249.07999998</v>
      </c>
      <c r="XK38" s="1086">
        <f>XK37+XO37</f>
        <v>240950249.07999998</v>
      </c>
      <c r="XL38" s="1086">
        <f>XL37+XP37</f>
        <v>160058225.89999998</v>
      </c>
      <c r="XM38" s="1086">
        <f>XM37+XQ37</f>
        <v>160058225.89999998</v>
      </c>
      <c r="XN38" s="1086"/>
      <c r="XO38" s="1086"/>
      <c r="XP38" s="1086"/>
      <c r="XQ38" s="1086"/>
      <c r="XR38" s="1086"/>
      <c r="XS38" s="1086"/>
      <c r="XT38" s="1086"/>
      <c r="XU38" s="1086"/>
      <c r="XV38" s="1293"/>
      <c r="XW38" s="1293"/>
      <c r="XX38" s="1293"/>
      <c r="XY38" s="1089">
        <f>XY37+YS37</f>
        <v>60268440.949999996</v>
      </c>
      <c r="XZ38" s="1293"/>
      <c r="YA38" s="1088">
        <f>YA37+YT37</f>
        <v>185529160</v>
      </c>
      <c r="YB38" s="1088">
        <f>YB37+YU37</f>
        <v>669903224.10000002</v>
      </c>
      <c r="YC38" s="1089">
        <f>YC37+YV37</f>
        <v>108831830.59</v>
      </c>
      <c r="YD38" s="1293"/>
      <c r="YE38" s="1293"/>
      <c r="YF38" s="1446">
        <f>YF37+YW37</f>
        <v>195276329.87</v>
      </c>
      <c r="YG38" s="1293"/>
      <c r="YH38" s="1293"/>
      <c r="YI38" s="1293"/>
      <c r="YJ38" s="1089">
        <f>YJ37+YY37</f>
        <v>58561035.629999995</v>
      </c>
      <c r="YK38" s="1293"/>
      <c r="YL38" s="1088">
        <f>YL37+YZ37</f>
        <v>185529160</v>
      </c>
      <c r="YM38" s="1088">
        <f>YM37+ZA37</f>
        <v>188188837.81000003</v>
      </c>
      <c r="YN38" s="1089">
        <f>YN37+ZB37</f>
        <v>13399655.76</v>
      </c>
      <c r="YO38" s="1293"/>
      <c r="YP38" s="1293"/>
      <c r="YQ38" s="1446">
        <f>YQ37+ZC37</f>
        <v>195170839.93000001</v>
      </c>
      <c r="YR38" s="791"/>
      <c r="YS38" s="791"/>
      <c r="YT38" s="791"/>
      <c r="YU38" s="791"/>
      <c r="YV38" s="791"/>
      <c r="YW38" s="791"/>
      <c r="YX38" s="791"/>
      <c r="YY38" s="791"/>
      <c r="YZ38" s="791"/>
      <c r="ZA38" s="791"/>
      <c r="ZB38" s="791"/>
      <c r="ZC38" s="791"/>
      <c r="ZD38" s="791"/>
      <c r="ZE38" s="791"/>
      <c r="ZF38" s="791"/>
      <c r="ZG38" s="791"/>
      <c r="ZH38" s="791"/>
      <c r="ZI38" s="791"/>
      <c r="ZJ38" s="791"/>
      <c r="ZK38" s="791"/>
      <c r="ZL38" s="791"/>
      <c r="ZM38" s="791"/>
      <c r="ZN38" s="791"/>
      <c r="ZO38" s="791"/>
      <c r="ZP38" s="791"/>
      <c r="ZQ38" s="791"/>
      <c r="ZR38" s="791"/>
      <c r="ZS38" s="791"/>
      <c r="ZT38" s="791"/>
      <c r="ZU38" s="791"/>
      <c r="ZV38" s="791"/>
      <c r="ZW38" s="791"/>
      <c r="ZX38" s="791"/>
      <c r="ZY38" s="791"/>
      <c r="ZZ38" s="791"/>
      <c r="AAA38" s="791"/>
      <c r="AAB38" s="791"/>
      <c r="AAC38" s="1086"/>
      <c r="AAD38" s="1086">
        <f>AAD37+AAH37+AAJ37</f>
        <v>0</v>
      </c>
      <c r="AAE38" s="1086">
        <f>AAE37+AAI37+AAK37</f>
        <v>0</v>
      </c>
      <c r="AAF38" s="1086"/>
      <c r="AAG38" s="1086"/>
      <c r="AAH38" s="1086"/>
      <c r="AAI38" s="1086"/>
      <c r="AAJ38" s="1086"/>
      <c r="AAK38" s="1086"/>
      <c r="AAL38" s="1086">
        <f>AAL37+AAP37+AAR37</f>
        <v>-1638800000.1600001</v>
      </c>
      <c r="AAM38" s="1086">
        <f>AAM37+AAQ37+AAS37</f>
        <v>-30000000</v>
      </c>
      <c r="AAN38" s="1086"/>
      <c r="AAO38" s="1086"/>
      <c r="AAP38" s="1086"/>
      <c r="AAQ38" s="1086"/>
      <c r="AAR38" s="791"/>
      <c r="AAS38" s="791"/>
      <c r="AAT38" s="1086"/>
      <c r="AAU38" s="791"/>
    </row>
    <row r="39" spans="1:723" ht="16.5" x14ac:dyDescent="0.25">
      <c r="A39" s="791"/>
      <c r="B39" s="1086"/>
      <c r="C39" s="1086"/>
      <c r="D39" s="1086"/>
      <c r="E39" s="1086"/>
      <c r="F39" s="1086"/>
      <c r="G39" s="1086"/>
      <c r="H39" s="791"/>
      <c r="I39" s="791"/>
      <c r="J39" s="791"/>
      <c r="K39" s="791"/>
      <c r="L39" s="791"/>
      <c r="M39" s="791"/>
      <c r="N39" s="1086"/>
      <c r="O39" s="1086"/>
      <c r="P39" s="791"/>
      <c r="Q39" s="791"/>
      <c r="R39" s="791"/>
      <c r="S39" s="791"/>
      <c r="T39" s="791"/>
      <c r="U39" s="791"/>
      <c r="V39" s="791"/>
      <c r="W39" s="791"/>
      <c r="X39" s="791"/>
      <c r="Y39" s="791"/>
      <c r="Z39" s="791"/>
      <c r="AA39" s="791"/>
      <c r="AB39" s="791"/>
      <c r="AC39" s="791"/>
      <c r="AD39" s="791"/>
      <c r="AE39" s="791"/>
      <c r="AF39" s="791"/>
      <c r="AG39" s="791"/>
      <c r="AH39" s="791"/>
      <c r="AI39" s="791"/>
      <c r="AJ39" s="791"/>
      <c r="AK39" s="791"/>
      <c r="AL39" s="791"/>
      <c r="AM39" s="791"/>
      <c r="AN39" s="1086"/>
      <c r="AO39" s="791"/>
      <c r="AP39" s="791"/>
      <c r="AQ39" s="1086"/>
      <c r="AR39" s="1086"/>
      <c r="AS39" s="791"/>
      <c r="AT39" s="1086"/>
      <c r="AU39" s="1086"/>
      <c r="AV39" s="791"/>
      <c r="AW39" s="1086"/>
      <c r="AX39" s="791"/>
      <c r="AY39" s="1086"/>
      <c r="AZ39" s="1086"/>
      <c r="BA39" s="1086"/>
      <c r="BB39" s="1086"/>
      <c r="BC39" s="1086"/>
      <c r="BD39" s="791"/>
      <c r="BE39" s="791"/>
      <c r="BF39" s="791"/>
      <c r="BG39" s="791"/>
      <c r="BH39" s="791"/>
      <c r="BI39" s="791"/>
      <c r="BJ39" s="791"/>
      <c r="BK39" s="791"/>
      <c r="BL39" s="1086"/>
      <c r="BM39" s="1086"/>
      <c r="BN39" s="791"/>
      <c r="BO39" s="791"/>
      <c r="BP39" s="791"/>
      <c r="BQ39" s="791"/>
      <c r="BR39" s="791"/>
      <c r="BS39" s="791"/>
      <c r="BT39" s="1089"/>
      <c r="BU39" s="1089"/>
      <c r="BV39" s="1089"/>
      <c r="BW39" s="1089"/>
      <c r="BX39" s="1089"/>
      <c r="BY39" s="1089"/>
      <c r="BZ39" s="1089"/>
      <c r="CA39" s="1089"/>
      <c r="CB39" s="1089"/>
      <c r="CC39" s="1089"/>
      <c r="CD39" s="1089"/>
      <c r="CE39" s="1089"/>
      <c r="CF39" s="1089"/>
      <c r="CG39" s="1089"/>
      <c r="CH39" s="1089"/>
      <c r="CI39" s="1089"/>
      <c r="CJ39" s="1089"/>
      <c r="CK39" s="1089"/>
      <c r="CL39" s="1089"/>
      <c r="CM39" s="1089"/>
      <c r="CN39" s="1089"/>
      <c r="CO39" s="1089"/>
      <c r="CP39" s="1089"/>
      <c r="CQ39" s="1089"/>
      <c r="CR39" s="1089"/>
      <c r="CS39" s="1089"/>
      <c r="CT39" s="1089"/>
      <c r="CU39" s="1089"/>
      <c r="CV39" s="1089"/>
      <c r="CW39" s="1089"/>
      <c r="CX39" s="1089"/>
      <c r="CY39" s="1089"/>
      <c r="CZ39" s="1089"/>
      <c r="DA39" s="1089"/>
      <c r="DB39" s="1089"/>
      <c r="DC39" s="1089"/>
      <c r="DD39" s="1089"/>
      <c r="DE39" s="1089"/>
      <c r="DF39" s="1089"/>
      <c r="DG39" s="1089"/>
      <c r="DH39" s="1089"/>
      <c r="DI39" s="1089"/>
      <c r="DJ39" s="1089"/>
      <c r="DK39" s="1089"/>
      <c r="DL39" s="1089"/>
      <c r="DM39" s="1089"/>
      <c r="DN39" s="1089"/>
      <c r="DO39" s="1089"/>
      <c r="DP39" s="1089"/>
      <c r="DQ39" s="1089"/>
      <c r="DR39" s="1089"/>
      <c r="DS39" s="1089"/>
      <c r="DT39" s="1089"/>
      <c r="DU39" s="1089"/>
      <c r="DV39" s="1089"/>
      <c r="DW39" s="1089"/>
      <c r="DX39" s="1089"/>
      <c r="DY39" s="1089"/>
      <c r="DZ39" s="791"/>
      <c r="EA39" s="791"/>
      <c r="EB39" s="791"/>
      <c r="EC39" s="791"/>
      <c r="ED39" s="791"/>
      <c r="EE39" s="791"/>
      <c r="EF39" s="1089"/>
      <c r="EG39" s="1089"/>
      <c r="EH39" s="1089"/>
      <c r="EI39" s="1089"/>
      <c r="EJ39" s="1089"/>
      <c r="EK39" s="1089"/>
      <c r="EL39" s="1089"/>
      <c r="EM39" s="1089"/>
      <c r="EN39" s="1089"/>
      <c r="EO39" s="1089"/>
      <c r="EP39" s="1089"/>
      <c r="EQ39" s="1089"/>
      <c r="ER39" s="1445"/>
      <c r="ES39" s="1445"/>
      <c r="ET39" s="1089"/>
      <c r="EU39" s="1089"/>
      <c r="EV39" s="1089"/>
      <c r="EW39" s="1089"/>
      <c r="EX39" s="1089"/>
      <c r="EY39" s="1089"/>
      <c r="EZ39" s="1089"/>
      <c r="FA39" s="1089"/>
      <c r="FB39" s="1089"/>
      <c r="FC39" s="1089"/>
      <c r="FD39" s="1089"/>
      <c r="FE39" s="1089"/>
      <c r="FF39" s="1089"/>
      <c r="FG39" s="1089"/>
      <c r="FH39" s="1089"/>
      <c r="FI39" s="1089"/>
      <c r="FJ39" s="1089"/>
      <c r="FK39" s="1089"/>
      <c r="FL39" s="1089"/>
      <c r="FM39" s="1089"/>
      <c r="FN39" s="1089"/>
      <c r="FO39" s="1089"/>
      <c r="FP39" s="1089"/>
      <c r="FQ39" s="1089"/>
      <c r="FR39" s="1089"/>
      <c r="FS39" s="1089"/>
      <c r="FT39" s="1089"/>
      <c r="FU39" s="1089"/>
      <c r="FV39" s="1089"/>
      <c r="FW39" s="1089"/>
      <c r="FX39" s="1089"/>
      <c r="FY39" s="1089"/>
      <c r="FZ39" s="1089"/>
      <c r="GA39" s="1089"/>
      <c r="GB39" s="1089"/>
      <c r="GC39" s="1089"/>
      <c r="GD39" s="1089"/>
      <c r="GE39" s="1089"/>
      <c r="GF39" s="1089"/>
      <c r="GG39" s="1089"/>
      <c r="GH39" s="1089"/>
      <c r="GI39" s="1089"/>
      <c r="GJ39" s="1089"/>
      <c r="GK39" s="1089"/>
      <c r="GL39" s="1089"/>
      <c r="GM39" s="1089"/>
      <c r="GN39" s="1089"/>
      <c r="GO39" s="1089"/>
      <c r="GP39" s="1089"/>
      <c r="GQ39" s="1086"/>
      <c r="GR39" s="1089"/>
      <c r="GS39" s="1089"/>
      <c r="GT39" s="1089"/>
      <c r="GU39" s="1384"/>
      <c r="GV39" s="1384"/>
      <c r="GW39" s="1085"/>
      <c r="GX39" s="1384"/>
      <c r="GY39" s="1085"/>
      <c r="GZ39" s="1384"/>
      <c r="HA39" s="1384"/>
      <c r="HB39" s="1384"/>
      <c r="HC39" s="1384"/>
      <c r="HD39" s="1089"/>
      <c r="HE39" s="1089"/>
      <c r="HF39" s="1089"/>
      <c r="HG39" s="1089"/>
      <c r="HH39" s="1089"/>
      <c r="HI39" s="1089"/>
      <c r="HJ39" s="1089"/>
      <c r="HK39" s="1089"/>
      <c r="HL39" s="1089"/>
      <c r="HM39" s="1089"/>
      <c r="HN39" s="1089"/>
      <c r="HO39" s="1089"/>
      <c r="HP39" s="1089"/>
      <c r="HQ39" s="1089"/>
      <c r="HR39" s="1089"/>
      <c r="HS39" s="1089"/>
      <c r="HT39" s="1089"/>
      <c r="HU39" s="1089"/>
      <c r="HV39" s="1089"/>
      <c r="HW39" s="1089"/>
      <c r="HX39" s="1089"/>
      <c r="HY39" s="1089"/>
      <c r="HZ39" s="1089"/>
      <c r="IA39" s="1089"/>
      <c r="IB39" s="1089"/>
      <c r="IC39" s="1089"/>
      <c r="ID39" s="1089"/>
      <c r="IE39" s="1089"/>
      <c r="IF39" s="1089"/>
      <c r="IG39" s="1089"/>
      <c r="IH39" s="1089"/>
      <c r="II39" s="1089"/>
      <c r="IJ39" s="1089"/>
      <c r="IK39" s="1089"/>
      <c r="IL39" s="1089"/>
      <c r="IM39" s="1089"/>
      <c r="IN39" s="1089"/>
      <c r="IO39" s="1089"/>
      <c r="IP39" s="1089"/>
      <c r="IQ39" s="1089"/>
      <c r="IR39" s="1089"/>
      <c r="IS39" s="1089"/>
      <c r="IT39" s="1089"/>
      <c r="IU39" s="1089"/>
      <c r="IV39" s="1089"/>
      <c r="IW39" s="1089"/>
      <c r="IX39" s="1089"/>
      <c r="IY39" s="1089"/>
      <c r="IZ39" s="1089"/>
      <c r="JA39" s="1089"/>
      <c r="JB39" s="1089"/>
      <c r="JC39" s="1089"/>
      <c r="JD39" s="1089"/>
      <c r="JE39" s="1089"/>
      <c r="JF39" s="1089"/>
      <c r="JG39" s="1089"/>
      <c r="JH39" s="1089"/>
      <c r="JI39" s="1089"/>
      <c r="JJ39" s="1086"/>
      <c r="JK39" s="1086"/>
      <c r="JL39" s="1086"/>
      <c r="JM39" s="1086"/>
      <c r="JN39" s="1086"/>
      <c r="JO39" s="1086"/>
      <c r="JP39" s="791"/>
      <c r="JQ39" s="791"/>
      <c r="JR39" s="791"/>
      <c r="JS39" s="791"/>
      <c r="JT39" s="791"/>
      <c r="JU39" s="791"/>
      <c r="JV39" s="1085"/>
      <c r="JW39" s="1085"/>
      <c r="JX39" s="1085"/>
      <c r="JY39" s="1085"/>
      <c r="JZ39" s="1085"/>
      <c r="KA39" s="1085"/>
      <c r="KB39" s="1085"/>
      <c r="KC39" s="1085"/>
      <c r="KD39" s="1085"/>
      <c r="KE39" s="1085"/>
      <c r="KF39" s="1085"/>
      <c r="KG39" s="1085"/>
      <c r="KH39" s="1085"/>
      <c r="KI39" s="1384"/>
      <c r="KJ39" s="1384"/>
      <c r="KK39" s="1384"/>
      <c r="KL39" s="1384"/>
      <c r="KM39" s="1085"/>
      <c r="KN39" s="1384"/>
      <c r="KO39" s="1384"/>
      <c r="KP39" s="1384"/>
      <c r="KQ39" s="1384"/>
      <c r="KR39" s="1085"/>
      <c r="KS39" s="1085"/>
      <c r="KT39" s="1085"/>
      <c r="KU39" s="1085"/>
      <c r="KV39" s="1085"/>
      <c r="KW39" s="1085"/>
      <c r="KX39" s="1085"/>
      <c r="KY39" s="1085"/>
      <c r="KZ39" s="1085"/>
      <c r="LA39" s="1085"/>
      <c r="LB39" s="1085"/>
      <c r="LC39" s="1085"/>
      <c r="LD39" s="1085"/>
      <c r="LE39" s="1085"/>
      <c r="LF39" s="1085"/>
      <c r="LG39" s="1085"/>
      <c r="LH39" s="1085"/>
      <c r="LI39" s="1085"/>
      <c r="LJ39" s="1085"/>
      <c r="LK39" s="1085"/>
      <c r="LL39" s="1085"/>
      <c r="LM39" s="1085"/>
      <c r="LN39" s="1085"/>
      <c r="LO39" s="1089"/>
      <c r="LP39" s="1089"/>
      <c r="LQ39" s="1089"/>
      <c r="LR39" s="1085"/>
      <c r="LS39" s="1089"/>
      <c r="LT39" s="1089"/>
      <c r="LU39" s="1089"/>
      <c r="LV39" s="1089"/>
      <c r="LW39" s="1089"/>
      <c r="LX39" s="1085"/>
      <c r="LY39" s="1085"/>
      <c r="LZ39" s="1089"/>
      <c r="MA39" s="1089"/>
      <c r="MB39" s="1089"/>
      <c r="MC39" s="1089"/>
      <c r="MD39" s="1089"/>
      <c r="ME39" s="1089"/>
      <c r="MF39" s="1089"/>
      <c r="MG39" s="1089"/>
      <c r="MH39" s="1089"/>
      <c r="MI39" s="1089"/>
      <c r="MJ39" s="1089"/>
      <c r="MK39" s="1089"/>
      <c r="ML39" s="1089"/>
      <c r="MM39" s="1089"/>
      <c r="MN39" s="1089"/>
      <c r="MO39" s="1089"/>
      <c r="MP39" s="1089"/>
      <c r="MQ39" s="1089"/>
      <c r="MR39" s="1089"/>
      <c r="MS39" s="1089"/>
      <c r="MT39" s="1293"/>
      <c r="MU39" s="1089"/>
      <c r="MV39" s="1089"/>
      <c r="MW39" s="1089"/>
      <c r="MX39" s="1089"/>
      <c r="MY39" s="1089"/>
      <c r="MZ39" s="1089"/>
      <c r="NA39" s="1089"/>
      <c r="NB39" s="1293"/>
      <c r="NC39" s="1089"/>
      <c r="ND39" s="1089"/>
      <c r="NE39" s="1089"/>
      <c r="NF39" s="1089"/>
      <c r="NG39" s="1089"/>
      <c r="NH39" s="1089"/>
      <c r="NI39" s="1089"/>
      <c r="NJ39" s="1293"/>
      <c r="NK39" s="1293"/>
      <c r="NL39" s="1293"/>
      <c r="NM39" s="1293"/>
      <c r="NN39" s="1293"/>
      <c r="NO39" s="1293"/>
      <c r="NP39" s="1293"/>
      <c r="NQ39" s="1293"/>
      <c r="NR39" s="1293"/>
      <c r="NS39" s="1293"/>
      <c r="NT39" s="1293"/>
      <c r="NU39" s="1293"/>
      <c r="NV39" s="1293"/>
      <c r="NW39" s="1293"/>
      <c r="NX39" s="1293"/>
      <c r="NY39" s="1293"/>
      <c r="NZ39" s="1293"/>
      <c r="OA39" s="1293"/>
      <c r="OB39" s="791"/>
      <c r="OC39" s="791"/>
      <c r="OD39" s="791"/>
      <c r="OE39" s="791"/>
      <c r="OF39" s="791"/>
      <c r="OG39" s="791"/>
      <c r="OH39" s="1085"/>
      <c r="OI39" s="1085"/>
      <c r="OJ39" s="1086"/>
      <c r="OK39" s="1086"/>
      <c r="OL39" s="1086"/>
      <c r="OM39" s="1086"/>
      <c r="ON39" s="1086"/>
      <c r="OO39" s="1086"/>
      <c r="OP39" s="1086"/>
      <c r="OQ39" s="1086"/>
      <c r="OR39" s="791"/>
      <c r="OS39" s="791"/>
      <c r="OT39" s="791"/>
      <c r="OU39" s="791"/>
      <c r="OV39" s="791"/>
      <c r="OW39" s="791"/>
      <c r="OX39" s="791"/>
      <c r="OY39" s="791"/>
      <c r="OZ39" s="1085"/>
      <c r="PA39" s="1085"/>
      <c r="PB39" s="1085"/>
      <c r="PC39" s="1085"/>
      <c r="PD39" s="1085"/>
      <c r="PE39" s="1085"/>
      <c r="PF39" s="1085"/>
      <c r="PG39" s="1085"/>
      <c r="PH39" s="1085"/>
      <c r="PI39" s="1085"/>
      <c r="PJ39" s="1085"/>
      <c r="PK39" s="1085"/>
      <c r="PL39" s="1085"/>
      <c r="PM39" s="1085"/>
      <c r="PN39" s="1085"/>
      <c r="PO39" s="1085"/>
      <c r="PP39" s="1085"/>
      <c r="PQ39" s="1446"/>
      <c r="PR39" s="1446"/>
      <c r="PS39" s="1446"/>
      <c r="PT39" s="1446"/>
      <c r="PU39" s="1085"/>
      <c r="PV39" s="1446"/>
      <c r="PW39" s="1446"/>
      <c r="PX39" s="1446"/>
      <c r="PY39" s="1446"/>
      <c r="PZ39" s="791"/>
      <c r="QA39" s="791"/>
      <c r="QB39" s="791"/>
      <c r="QC39" s="791"/>
      <c r="QD39" s="791"/>
      <c r="QE39" s="791"/>
      <c r="QF39" s="791"/>
      <c r="QG39" s="791"/>
      <c r="QH39" s="791"/>
      <c r="QI39" s="791"/>
      <c r="QJ39" s="791"/>
      <c r="QK39" s="791"/>
      <c r="QL39" s="791"/>
      <c r="QM39" s="791"/>
      <c r="QN39" s="791"/>
      <c r="QO39" s="791"/>
      <c r="QP39" s="791"/>
      <c r="QQ39" s="791"/>
      <c r="QR39" s="1089"/>
      <c r="QS39" s="1089"/>
      <c r="QT39" s="1089"/>
      <c r="QU39" s="1089"/>
      <c r="QV39" s="1089"/>
      <c r="QW39" s="1089"/>
      <c r="QX39" s="1089"/>
      <c r="QY39" s="1089"/>
      <c r="QZ39" s="1089"/>
      <c r="RA39" s="1089"/>
      <c r="RB39" s="1089"/>
      <c r="RC39" s="1089"/>
      <c r="RD39" s="1089"/>
      <c r="RE39" s="1089"/>
      <c r="RF39" s="1089"/>
      <c r="RG39" s="1089"/>
      <c r="RH39" s="1089"/>
      <c r="RI39" s="1089"/>
      <c r="RJ39" s="1089"/>
      <c r="RK39" s="1089"/>
      <c r="RL39" s="1089"/>
      <c r="RM39" s="1089"/>
      <c r="RN39" s="1089"/>
      <c r="RO39" s="1089"/>
      <c r="RP39" s="1089"/>
      <c r="RQ39" s="1089"/>
      <c r="RR39" s="1089"/>
      <c r="RS39" s="1089"/>
      <c r="RT39" s="1089"/>
      <c r="RU39" s="1089"/>
      <c r="RV39" s="1089"/>
      <c r="RW39" s="1089"/>
      <c r="RX39" s="1089"/>
      <c r="RY39" s="1089"/>
      <c r="RZ39" s="1089"/>
      <c r="SA39" s="1089"/>
      <c r="SB39" s="1089"/>
      <c r="SC39" s="1089"/>
      <c r="SD39" s="1089"/>
      <c r="SE39" s="1089"/>
      <c r="SF39" s="1089"/>
      <c r="SG39" s="1089"/>
      <c r="SH39" s="1089"/>
      <c r="SI39" s="1089"/>
      <c r="SJ39" s="1089"/>
      <c r="SK39" s="1089"/>
      <c r="SL39" s="1089"/>
      <c r="SM39" s="1089"/>
      <c r="SN39" s="1089"/>
      <c r="SO39" s="1089"/>
      <c r="SP39" s="791"/>
      <c r="SQ39" s="1086"/>
      <c r="SR39" s="1086"/>
      <c r="SS39" s="1086"/>
      <c r="ST39" s="1086"/>
      <c r="SU39" s="1086"/>
      <c r="SV39" s="1086"/>
      <c r="SW39" s="791"/>
      <c r="SX39" s="1086"/>
      <c r="SY39" s="1086"/>
      <c r="SZ39" s="1086"/>
      <c r="TA39" s="1086"/>
      <c r="TB39" s="1086"/>
      <c r="TC39" s="1086"/>
      <c r="TD39" s="791"/>
      <c r="TE39" s="791"/>
      <c r="TF39" s="791"/>
      <c r="TG39" s="791"/>
      <c r="TH39" s="791"/>
      <c r="TI39" s="791"/>
      <c r="TJ39" s="791"/>
      <c r="TK39" s="791"/>
      <c r="TL39" s="791"/>
      <c r="TM39" s="791"/>
      <c r="TN39" s="791"/>
      <c r="TO39" s="791"/>
      <c r="TP39" s="791"/>
      <c r="TQ39" s="791"/>
      <c r="TR39" s="791"/>
      <c r="TS39" s="791"/>
      <c r="TT39" s="791"/>
      <c r="TU39" s="791"/>
      <c r="TV39" s="791"/>
      <c r="TW39" s="791"/>
      <c r="TX39" s="791"/>
      <c r="TY39" s="791"/>
      <c r="TZ39" s="791"/>
      <c r="UA39" s="791"/>
      <c r="UB39" s="791"/>
      <c r="UC39" s="791"/>
      <c r="UD39" s="791"/>
      <c r="UE39" s="791"/>
      <c r="UF39" s="791"/>
      <c r="UG39" s="791"/>
      <c r="UH39" s="791"/>
      <c r="UI39" s="791"/>
      <c r="UJ39" s="791"/>
      <c r="UK39" s="791"/>
      <c r="UL39" s="791"/>
      <c r="UM39" s="791"/>
      <c r="UN39" s="791"/>
      <c r="UO39" s="791"/>
      <c r="UP39" s="791"/>
      <c r="UQ39" s="791"/>
      <c r="UR39" s="791"/>
      <c r="US39" s="791"/>
      <c r="UT39" s="1089"/>
      <c r="UU39" s="1089"/>
      <c r="UV39" s="791"/>
      <c r="UW39" s="791"/>
      <c r="UX39" s="791"/>
      <c r="UY39" s="791"/>
      <c r="UZ39" s="791"/>
      <c r="VA39" s="791"/>
      <c r="VB39" s="1086"/>
      <c r="VC39" s="1086"/>
      <c r="VD39" s="1086"/>
      <c r="VE39" s="1086"/>
      <c r="VF39" s="1086"/>
      <c r="VG39" s="791"/>
      <c r="VH39" s="1086"/>
      <c r="VI39" s="1086"/>
      <c r="VJ39" s="1293"/>
      <c r="VK39" s="1293"/>
      <c r="VL39" s="1293"/>
      <c r="VM39" s="1293"/>
      <c r="VN39" s="1086"/>
      <c r="VO39" s="1086"/>
      <c r="VP39" s="791"/>
      <c r="VQ39" s="1086"/>
      <c r="VR39" s="1086"/>
      <c r="VS39" s="1086"/>
      <c r="VT39" s="1086"/>
      <c r="VU39" s="1086"/>
      <c r="VV39" s="1086"/>
      <c r="VW39" s="1086"/>
      <c r="VX39" s="1086"/>
      <c r="VY39" s="1086"/>
      <c r="VZ39" s="1086"/>
      <c r="WA39" s="1086"/>
      <c r="WB39" s="1086"/>
      <c r="WC39" s="1086"/>
      <c r="WD39" s="791"/>
      <c r="WE39" s="791"/>
      <c r="WF39" s="791"/>
      <c r="WG39" s="791"/>
      <c r="WH39" s="791"/>
      <c r="WI39" s="1086"/>
      <c r="WJ39" s="1087"/>
      <c r="WK39" s="1087"/>
      <c r="WL39" s="1087"/>
      <c r="WM39" s="1087"/>
      <c r="WN39" s="1087"/>
      <c r="WO39" s="1087"/>
      <c r="WP39" s="1087"/>
      <c r="WQ39" s="1087"/>
      <c r="WR39" s="1087"/>
      <c r="WS39" s="1087"/>
      <c r="WT39" s="1087"/>
      <c r="WU39" s="1087"/>
      <c r="WV39" s="1087"/>
      <c r="WW39" s="1087"/>
      <c r="WX39" s="1087"/>
      <c r="WY39" s="1087"/>
      <c r="WZ39" s="1087"/>
      <c r="XA39" s="1087"/>
      <c r="XB39" s="1087"/>
      <c r="XC39" s="1087"/>
      <c r="XD39" s="791"/>
      <c r="XE39" s="791"/>
      <c r="XF39" s="791"/>
      <c r="XG39" s="791"/>
      <c r="XH39" s="791"/>
      <c r="XI39" s="1086"/>
      <c r="XJ39" s="1086"/>
      <c r="XK39" s="1086"/>
      <c r="XL39" s="1086"/>
      <c r="XM39" s="1086"/>
      <c r="XN39" s="1086"/>
      <c r="XO39" s="1086"/>
      <c r="XP39" s="1086"/>
      <c r="XQ39" s="1086"/>
      <c r="XR39" s="1086"/>
      <c r="XS39" s="1086"/>
      <c r="XT39" s="1086"/>
      <c r="XU39" s="1086"/>
      <c r="XV39" s="1293"/>
      <c r="XW39" s="1293"/>
      <c r="XX39" s="1293"/>
      <c r="XY39" s="1089"/>
      <c r="XZ39" s="1293"/>
      <c r="YA39" s="1293"/>
      <c r="YB39" s="1088"/>
      <c r="YC39" s="1089"/>
      <c r="YD39" s="1293"/>
      <c r="YE39" s="1293"/>
      <c r="YF39" s="1446"/>
      <c r="YG39" s="1293"/>
      <c r="YH39" s="1293"/>
      <c r="YI39" s="1293"/>
      <c r="YJ39" s="1089"/>
      <c r="YK39" s="1293"/>
      <c r="YL39" s="1293"/>
      <c r="YM39" s="1088"/>
      <c r="YN39" s="1089"/>
      <c r="YO39" s="1293"/>
      <c r="YP39" s="1293"/>
      <c r="YQ39" s="1446"/>
      <c r="YR39" s="791"/>
      <c r="YS39" s="791"/>
      <c r="YT39" s="791"/>
      <c r="YU39" s="791"/>
      <c r="YV39" s="791"/>
      <c r="YW39" s="791"/>
      <c r="YX39" s="791"/>
      <c r="YY39" s="791"/>
      <c r="YZ39" s="791"/>
      <c r="ZA39" s="791"/>
      <c r="ZB39" s="791"/>
      <c r="ZC39" s="791"/>
      <c r="ZD39" s="791"/>
      <c r="ZE39" s="791"/>
      <c r="ZF39" s="791"/>
      <c r="ZG39" s="791"/>
      <c r="ZH39" s="791"/>
      <c r="ZI39" s="791"/>
      <c r="ZJ39" s="791"/>
      <c r="ZK39" s="791"/>
      <c r="ZL39" s="791"/>
      <c r="ZM39" s="791"/>
      <c r="ZN39" s="791"/>
      <c r="ZO39" s="791"/>
      <c r="ZP39" s="791"/>
      <c r="ZQ39" s="791"/>
      <c r="ZR39" s="791"/>
      <c r="ZS39" s="791"/>
      <c r="ZT39" s="791"/>
      <c r="ZU39" s="791"/>
      <c r="ZV39" s="791"/>
      <c r="ZW39" s="791"/>
      <c r="ZX39" s="791"/>
      <c r="ZY39" s="791"/>
      <c r="ZZ39" s="791"/>
      <c r="AAA39" s="791"/>
      <c r="AAB39" s="791"/>
      <c r="AAC39" s="1086"/>
      <c r="AAD39" s="1086"/>
      <c r="AAE39" s="1086"/>
      <c r="AAF39" s="1086"/>
      <c r="AAG39" s="1086"/>
      <c r="AAH39" s="1086"/>
      <c r="AAI39" s="1086"/>
      <c r="AAJ39" s="1086"/>
      <c r="AAK39" s="1086"/>
      <c r="AAL39" s="1086"/>
      <c r="AAM39" s="1086"/>
      <c r="AAN39" s="1086"/>
      <c r="AAO39" s="1086"/>
      <c r="AAP39" s="1086"/>
      <c r="AAQ39" s="1086"/>
      <c r="AAR39" s="791"/>
      <c r="AAS39" s="791"/>
      <c r="AAT39" s="1086"/>
      <c r="AAU39" s="791"/>
    </row>
    <row r="40" spans="1:723" ht="16.5" x14ac:dyDescent="0.25">
      <c r="A40" s="1090" t="s">
        <v>748</v>
      </c>
      <c r="B40" s="1447">
        <f t="shared" ref="B40:BJ40" si="522">B30-B41</f>
        <v>19531649817.25</v>
      </c>
      <c r="C40" s="1447">
        <f t="shared" si="522"/>
        <v>11554617801.73</v>
      </c>
      <c r="D40" s="1447">
        <f t="shared" si="522"/>
        <v>2926763435.5400009</v>
      </c>
      <c r="E40" s="1447">
        <f t="shared" si="522"/>
        <v>2081639982.5799994</v>
      </c>
      <c r="F40" s="1447">
        <f t="shared" si="522"/>
        <v>803779213</v>
      </c>
      <c r="G40" s="1447">
        <f t="shared" si="522"/>
        <v>619174418</v>
      </c>
      <c r="H40" s="1447">
        <f t="shared" si="522"/>
        <v>593090602.53999996</v>
      </c>
      <c r="I40" s="1447">
        <f t="shared" si="522"/>
        <v>453357584.58000004</v>
      </c>
      <c r="J40" s="1447">
        <f t="shared" si="522"/>
        <v>442904535.07999998</v>
      </c>
      <c r="K40" s="1447">
        <f t="shared" si="522"/>
        <v>340476270.58000004</v>
      </c>
      <c r="L40" s="1447">
        <f t="shared" si="522"/>
        <v>150186067.45999998</v>
      </c>
      <c r="M40" s="1447">
        <f t="shared" si="522"/>
        <v>112881314</v>
      </c>
      <c r="N40" s="1447">
        <f t="shared" si="522"/>
        <v>314937000</v>
      </c>
      <c r="O40" s="1447">
        <f t="shared" si="522"/>
        <v>185265158.99000001</v>
      </c>
      <c r="P40" s="1447">
        <f t="shared" si="522"/>
        <v>1189856620</v>
      </c>
      <c r="Q40" s="1447">
        <f t="shared" si="522"/>
        <v>798742821.01000011</v>
      </c>
      <c r="R40" s="1447">
        <f t="shared" si="522"/>
        <v>639280632.00000012</v>
      </c>
      <c r="S40" s="1447">
        <f t="shared" si="522"/>
        <v>413600030.00999999</v>
      </c>
      <c r="T40" s="1447">
        <f t="shared" si="522"/>
        <v>550575988</v>
      </c>
      <c r="U40" s="1447">
        <f t="shared" si="522"/>
        <v>385142791</v>
      </c>
      <c r="V40" s="1447">
        <f t="shared" si="522"/>
        <v>13600000</v>
      </c>
      <c r="W40" s="1447">
        <f t="shared" ref="W40:Y40" si="523">W30-W41</f>
        <v>5400000</v>
      </c>
      <c r="X40" s="1447">
        <f t="shared" si="523"/>
        <v>6100000</v>
      </c>
      <c r="Y40" s="1447">
        <f t="shared" si="523"/>
        <v>2100000</v>
      </c>
      <c r="Z40" s="1447">
        <f t="shared" si="522"/>
        <v>13600000</v>
      </c>
      <c r="AA40" s="1447">
        <f t="shared" si="522"/>
        <v>5400000</v>
      </c>
      <c r="AB40" s="1447">
        <f t="shared" si="522"/>
        <v>6100000</v>
      </c>
      <c r="AC40" s="1447">
        <f t="shared" si="522"/>
        <v>2100000</v>
      </c>
      <c r="AD40" s="1447">
        <f t="shared" si="522"/>
        <v>11500000</v>
      </c>
      <c r="AE40" s="1447">
        <f t="shared" ref="AE40:AF40" si="524">AE30-AE41</f>
        <v>8500000</v>
      </c>
      <c r="AF40" s="1447">
        <f t="shared" si="524"/>
        <v>3000000</v>
      </c>
      <c r="AG40" s="1447">
        <f t="shared" si="522"/>
        <v>11500000</v>
      </c>
      <c r="AH40" s="1447">
        <f t="shared" si="522"/>
        <v>8500000</v>
      </c>
      <c r="AI40" s="1447">
        <f t="shared" si="522"/>
        <v>3000000</v>
      </c>
      <c r="AJ40" s="1447">
        <f t="shared" si="522"/>
        <v>8500000</v>
      </c>
      <c r="AK40" s="1447">
        <f t="shared" si="522"/>
        <v>8500000</v>
      </c>
      <c r="AL40" s="1447">
        <f t="shared" si="522"/>
        <v>3000000</v>
      </c>
      <c r="AM40" s="1447">
        <f t="shared" si="522"/>
        <v>3000000</v>
      </c>
      <c r="AN40" s="1447">
        <f t="shared" si="522"/>
        <v>7249401821.4400005</v>
      </c>
      <c r="AO40" s="1447">
        <f t="shared" si="522"/>
        <v>2866658913.900001</v>
      </c>
      <c r="AP40" s="1447">
        <f t="shared" si="522"/>
        <v>853971174.62</v>
      </c>
      <c r="AQ40" s="1447">
        <f t="shared" si="522"/>
        <v>816320974.62</v>
      </c>
      <c r="AR40" s="1447">
        <f t="shared" si="522"/>
        <v>37650200</v>
      </c>
      <c r="AS40" s="1447">
        <f t="shared" si="522"/>
        <v>263284699.05999997</v>
      </c>
      <c r="AT40" s="1447">
        <f t="shared" si="522"/>
        <v>263284699.05999997</v>
      </c>
      <c r="AU40" s="1447">
        <f t="shared" si="522"/>
        <v>0</v>
      </c>
      <c r="AV40" s="1447">
        <f t="shared" si="522"/>
        <v>91624576.299999997</v>
      </c>
      <c r="AW40" s="1447">
        <f t="shared" si="522"/>
        <v>91624576.299999997</v>
      </c>
      <c r="AX40" s="1447">
        <f t="shared" si="522"/>
        <v>0</v>
      </c>
      <c r="AY40" s="1447">
        <f t="shared" si="522"/>
        <v>0</v>
      </c>
      <c r="AZ40" s="1447">
        <f t="shared" si="522"/>
        <v>202348830.24000001</v>
      </c>
      <c r="BA40" s="1447">
        <f t="shared" si="522"/>
        <v>202348830.24000001</v>
      </c>
      <c r="BB40" s="1447">
        <f t="shared" si="522"/>
        <v>108064226.06999999</v>
      </c>
      <c r="BC40" s="1447">
        <f t="shared" si="522"/>
        <v>108064226.06999999</v>
      </c>
      <c r="BD40" s="1447">
        <f t="shared" si="522"/>
        <v>212375065.56999999</v>
      </c>
      <c r="BE40" s="1447">
        <f t="shared" si="522"/>
        <v>212375065.56999999</v>
      </c>
      <c r="BF40" s="1447">
        <f t="shared" si="522"/>
        <v>94677102.019999996</v>
      </c>
      <c r="BG40" s="1447">
        <f t="shared" si="522"/>
        <v>94677102.019999996</v>
      </c>
      <c r="BH40" s="1447">
        <f t="shared" si="522"/>
        <v>0</v>
      </c>
      <c r="BI40" s="1447">
        <f t="shared" si="522"/>
        <v>0</v>
      </c>
      <c r="BJ40" s="1447">
        <f t="shared" si="522"/>
        <v>212375065.56999999</v>
      </c>
      <c r="BK40" s="1447">
        <f t="shared" ref="BK40:DZ40" si="525">BK30-BK41</f>
        <v>94677102.019999996</v>
      </c>
      <c r="BL40" s="1447">
        <f t="shared" si="525"/>
        <v>0</v>
      </c>
      <c r="BM40" s="1447">
        <f t="shared" si="525"/>
        <v>0</v>
      </c>
      <c r="BN40" s="1447">
        <f t="shared" si="525"/>
        <v>0</v>
      </c>
      <c r="BO40" s="1447">
        <f t="shared" si="525"/>
        <v>0</v>
      </c>
      <c r="BP40" s="1447">
        <f t="shared" si="525"/>
        <v>0</v>
      </c>
      <c r="BQ40" s="1447">
        <f t="shared" si="525"/>
        <v>0</v>
      </c>
      <c r="BR40" s="1447">
        <f t="shared" si="525"/>
        <v>0</v>
      </c>
      <c r="BS40" s="1447">
        <f t="shared" si="525"/>
        <v>0</v>
      </c>
      <c r="BT40" s="1447">
        <f t="shared" si="525"/>
        <v>972600068.82999992</v>
      </c>
      <c r="BU40" s="1447">
        <f t="shared" ref="BU40:BY40" si="526">BU30-BU41</f>
        <v>722077068.83000016</v>
      </c>
      <c r="BV40" s="1447">
        <f t="shared" si="526"/>
        <v>250523000</v>
      </c>
      <c r="BW40" s="1447">
        <f t="shared" si="526"/>
        <v>28264331.689999998</v>
      </c>
      <c r="BX40" s="1447">
        <f t="shared" si="526"/>
        <v>0</v>
      </c>
      <c r="BY40" s="1447">
        <f t="shared" si="526"/>
        <v>28264331.689999998</v>
      </c>
      <c r="BZ40" s="1447">
        <f t="shared" si="525"/>
        <v>0</v>
      </c>
      <c r="CA40" s="1447">
        <f t="shared" si="525"/>
        <v>0</v>
      </c>
      <c r="CB40" s="1447">
        <f t="shared" si="525"/>
        <v>0</v>
      </c>
      <c r="CC40" s="1447">
        <f t="shared" si="525"/>
        <v>0</v>
      </c>
      <c r="CD40" s="1447">
        <f t="shared" si="525"/>
        <v>0</v>
      </c>
      <c r="CE40" s="1447">
        <f t="shared" si="525"/>
        <v>0</v>
      </c>
      <c r="CF40" s="1447">
        <f t="shared" si="525"/>
        <v>0</v>
      </c>
      <c r="CG40" s="1447">
        <f t="shared" si="525"/>
        <v>0</v>
      </c>
      <c r="CH40" s="1447">
        <f t="shared" si="525"/>
        <v>383927358.26999986</v>
      </c>
      <c r="CI40" s="1447">
        <f t="shared" si="525"/>
        <v>225412961.30000001</v>
      </c>
      <c r="CJ40" s="1447">
        <f t="shared" si="525"/>
        <v>158514396.97000003</v>
      </c>
      <c r="CK40" s="1447">
        <f t="shared" si="525"/>
        <v>18150027.869999997</v>
      </c>
      <c r="CL40" s="1447">
        <f t="shared" si="525"/>
        <v>0</v>
      </c>
      <c r="CM40" s="1447">
        <f t="shared" si="525"/>
        <v>18150027.869999997</v>
      </c>
      <c r="CN40" s="1447">
        <f t="shared" si="525"/>
        <v>290986493.68000001</v>
      </c>
      <c r="CO40" s="1447">
        <f t="shared" si="525"/>
        <v>742629.11</v>
      </c>
      <c r="CP40" s="1447">
        <f t="shared" si="525"/>
        <v>243864.57</v>
      </c>
      <c r="CQ40" s="1447">
        <f t="shared" si="525"/>
        <v>14500000</v>
      </c>
      <c r="CR40" s="1447">
        <f t="shared" si="525"/>
        <v>275500000</v>
      </c>
      <c r="CS40" s="1447">
        <f t="shared" si="525"/>
        <v>0</v>
      </c>
      <c r="CT40" s="1447">
        <f t="shared" si="525"/>
        <v>0</v>
      </c>
      <c r="CU40" s="1447">
        <f t="shared" si="525"/>
        <v>147326618.09</v>
      </c>
      <c r="CV40" s="1447">
        <f t="shared" si="525"/>
        <v>0</v>
      </c>
      <c r="CW40" s="1447">
        <f t="shared" si="525"/>
        <v>0</v>
      </c>
      <c r="CX40" s="1447">
        <f t="shared" si="525"/>
        <v>7366330.9000000004</v>
      </c>
      <c r="CY40" s="1447">
        <f t="shared" si="525"/>
        <v>139960287.19</v>
      </c>
      <c r="CZ40" s="1447">
        <f t="shared" si="525"/>
        <v>0</v>
      </c>
      <c r="DA40" s="1447">
        <f t="shared" si="525"/>
        <v>0</v>
      </c>
      <c r="DB40" s="1447">
        <f t="shared" si="525"/>
        <v>19567142.100000001</v>
      </c>
      <c r="DC40" s="1447">
        <f t="shared" si="525"/>
        <v>3729042.1000000015</v>
      </c>
      <c r="DD40" s="1447">
        <f t="shared" si="525"/>
        <v>15838100</v>
      </c>
      <c r="DE40" s="1447">
        <f t="shared" si="525"/>
        <v>4587624.3599999994</v>
      </c>
      <c r="DF40" s="1447">
        <f t="shared" si="525"/>
        <v>874294.48</v>
      </c>
      <c r="DG40" s="1447">
        <f t="shared" si="525"/>
        <v>3713329.88</v>
      </c>
      <c r="DH40" s="1447">
        <f t="shared" si="525"/>
        <v>0</v>
      </c>
      <c r="DI40" s="1447">
        <f t="shared" si="525"/>
        <v>0</v>
      </c>
      <c r="DJ40" s="1447">
        <f t="shared" si="525"/>
        <v>19567142.100000001</v>
      </c>
      <c r="DK40" s="1447">
        <f t="shared" si="525"/>
        <v>4587624.3599999994</v>
      </c>
      <c r="DL40" s="1447">
        <f t="shared" si="525"/>
        <v>12500000</v>
      </c>
      <c r="DM40" s="1447">
        <f t="shared" si="525"/>
        <v>7200000</v>
      </c>
      <c r="DN40" s="1447">
        <f t="shared" si="525"/>
        <v>5300000</v>
      </c>
      <c r="DO40" s="1447">
        <f t="shared" si="525"/>
        <v>0</v>
      </c>
      <c r="DP40" s="1447">
        <f t="shared" si="525"/>
        <v>9291499.9900000002</v>
      </c>
      <c r="DQ40" s="1447">
        <f t="shared" si="525"/>
        <v>4000000</v>
      </c>
      <c r="DR40" s="1447">
        <f t="shared" si="525"/>
        <v>5291499.99</v>
      </c>
      <c r="DS40" s="1447">
        <f t="shared" si="525"/>
        <v>0</v>
      </c>
      <c r="DT40" s="1447">
        <f t="shared" si="525"/>
        <v>6297684.2199999997</v>
      </c>
      <c r="DU40" s="1447">
        <f t="shared" si="525"/>
        <v>314884.21999999974</v>
      </c>
      <c r="DV40" s="1447">
        <f t="shared" si="525"/>
        <v>5982800</v>
      </c>
      <c r="DW40" s="1447">
        <f t="shared" si="525"/>
        <v>4764585.4399999995</v>
      </c>
      <c r="DX40" s="1447">
        <f t="shared" si="525"/>
        <v>238229.28</v>
      </c>
      <c r="DY40" s="1447">
        <f t="shared" si="525"/>
        <v>4526356.16</v>
      </c>
      <c r="DZ40" s="1447">
        <f t="shared" si="525"/>
        <v>0</v>
      </c>
      <c r="EA40" s="1447">
        <f t="shared" ref="EA40:EQ40" si="527">EA30-EA41</f>
        <v>0</v>
      </c>
      <c r="EB40" s="1447">
        <f t="shared" si="527"/>
        <v>0</v>
      </c>
      <c r="EC40" s="1447">
        <f t="shared" si="527"/>
        <v>0</v>
      </c>
      <c r="ED40" s="1447">
        <f t="shared" si="527"/>
        <v>0</v>
      </c>
      <c r="EE40" s="1447">
        <f t="shared" si="527"/>
        <v>0</v>
      </c>
      <c r="EF40" s="1447">
        <f t="shared" si="527"/>
        <v>0</v>
      </c>
      <c r="EG40" s="1447">
        <f t="shared" si="527"/>
        <v>0</v>
      </c>
      <c r="EH40" s="1447">
        <f t="shared" si="527"/>
        <v>0</v>
      </c>
      <c r="EI40" s="1447">
        <f t="shared" si="527"/>
        <v>0</v>
      </c>
      <c r="EJ40" s="1447">
        <f t="shared" si="527"/>
        <v>0</v>
      </c>
      <c r="EK40" s="1447">
        <f t="shared" si="527"/>
        <v>0</v>
      </c>
      <c r="EL40" s="1447">
        <f t="shared" si="527"/>
        <v>0</v>
      </c>
      <c r="EM40" s="1447">
        <f t="shared" si="527"/>
        <v>0</v>
      </c>
      <c r="EN40" s="1447">
        <f t="shared" si="527"/>
        <v>82494836.710000008</v>
      </c>
      <c r="EO40" s="1447">
        <f t="shared" si="527"/>
        <v>0</v>
      </c>
      <c r="EP40" s="1447">
        <f t="shared" si="527"/>
        <v>82494836.710000008</v>
      </c>
      <c r="EQ40" s="1447">
        <f t="shared" si="527"/>
        <v>0</v>
      </c>
      <c r="ER40" s="1447">
        <f t="shared" ref="ER40:ES40" si="528">ER30-ER41</f>
        <v>0</v>
      </c>
      <c r="ES40" s="1447">
        <f t="shared" si="528"/>
        <v>0</v>
      </c>
      <c r="ET40" s="1447">
        <f t="shared" ref="ET40:GP40" si="529">ET30-ET41</f>
        <v>0</v>
      </c>
      <c r="EU40" s="1447">
        <f t="shared" si="529"/>
        <v>0</v>
      </c>
      <c r="EV40" s="1447">
        <f t="shared" si="529"/>
        <v>0</v>
      </c>
      <c r="EW40" s="1447">
        <f t="shared" si="529"/>
        <v>0</v>
      </c>
      <c r="EX40" s="1447">
        <f t="shared" si="529"/>
        <v>0</v>
      </c>
      <c r="EY40" s="1447">
        <f t="shared" si="529"/>
        <v>0</v>
      </c>
      <c r="EZ40" s="1447">
        <f t="shared" si="529"/>
        <v>3880682.69</v>
      </c>
      <c r="FA40" s="1447">
        <f t="shared" si="529"/>
        <v>1012908.5099999999</v>
      </c>
      <c r="FB40" s="1447">
        <f t="shared" si="529"/>
        <v>2867774.1799999997</v>
      </c>
      <c r="FC40" s="1447">
        <f t="shared" si="529"/>
        <v>3447329.84</v>
      </c>
      <c r="FD40" s="1447">
        <f t="shared" si="529"/>
        <v>899797.78999999992</v>
      </c>
      <c r="FE40" s="1447">
        <f t="shared" si="529"/>
        <v>2547532.0500000003</v>
      </c>
      <c r="FF40" s="1447">
        <f t="shared" si="529"/>
        <v>3880682.69</v>
      </c>
      <c r="FG40" s="1447">
        <f t="shared" si="529"/>
        <v>1012908.5099999999</v>
      </c>
      <c r="FH40" s="1447">
        <f t="shared" si="529"/>
        <v>2867774.1799999997</v>
      </c>
      <c r="FI40" s="1447">
        <f t="shared" si="529"/>
        <v>3447329.84</v>
      </c>
      <c r="FJ40" s="1447">
        <f t="shared" si="529"/>
        <v>899797.78999999992</v>
      </c>
      <c r="FK40" s="1447">
        <f t="shared" si="529"/>
        <v>2547532.0500000003</v>
      </c>
      <c r="FL40" s="1447">
        <f t="shared" si="529"/>
        <v>0</v>
      </c>
      <c r="FM40" s="1447">
        <f t="shared" si="529"/>
        <v>0</v>
      </c>
      <c r="FN40" s="1447">
        <f t="shared" si="529"/>
        <v>0</v>
      </c>
      <c r="FO40" s="1447">
        <f t="shared" si="529"/>
        <v>0</v>
      </c>
      <c r="FP40" s="1447">
        <f t="shared" si="529"/>
        <v>0</v>
      </c>
      <c r="FQ40" s="1447">
        <f t="shared" si="529"/>
        <v>0</v>
      </c>
      <c r="FR40" s="1447">
        <f t="shared" si="529"/>
        <v>0</v>
      </c>
      <c r="FS40" s="1447">
        <f t="shared" si="529"/>
        <v>0</v>
      </c>
      <c r="FT40" s="1447">
        <f t="shared" si="529"/>
        <v>0</v>
      </c>
      <c r="FU40" s="1447">
        <f t="shared" si="529"/>
        <v>0</v>
      </c>
      <c r="FV40" s="1447">
        <f t="shared" si="529"/>
        <v>0</v>
      </c>
      <c r="FW40" s="1447">
        <f t="shared" si="529"/>
        <v>0</v>
      </c>
      <c r="FX40" s="1447">
        <f t="shared" si="529"/>
        <v>24122010.529999971</v>
      </c>
      <c r="FY40" s="1447">
        <f t="shared" si="529"/>
        <v>24122010.529999979</v>
      </c>
      <c r="FZ40" s="1447">
        <f t="shared" si="529"/>
        <v>0</v>
      </c>
      <c r="GA40" s="1447">
        <f t="shared" si="529"/>
        <v>0</v>
      </c>
      <c r="GB40" s="1447">
        <f t="shared" si="529"/>
        <v>0</v>
      </c>
      <c r="GC40" s="1447">
        <f t="shared" si="529"/>
        <v>0</v>
      </c>
      <c r="GD40" s="1447">
        <f t="shared" ref="GD40:GM40" si="530">GD30-GD41</f>
        <v>87446506</v>
      </c>
      <c r="GE40" s="1447">
        <f t="shared" si="530"/>
        <v>10402506</v>
      </c>
      <c r="GF40" s="1447">
        <f t="shared" si="530"/>
        <v>77044000</v>
      </c>
      <c r="GG40" s="1447">
        <f t="shared" si="530"/>
        <v>77777026.430000007</v>
      </c>
      <c r="GH40" s="1447">
        <f t="shared" si="530"/>
        <v>9252239.1199999992</v>
      </c>
      <c r="GI40" s="1447">
        <f t="shared" si="530"/>
        <v>68524787.310000002</v>
      </c>
      <c r="GJ40" s="1447">
        <f t="shared" si="530"/>
        <v>0</v>
      </c>
      <c r="GK40" s="1447">
        <f t="shared" si="530"/>
        <v>0</v>
      </c>
      <c r="GL40" s="1447">
        <f t="shared" si="530"/>
        <v>87446506</v>
      </c>
      <c r="GM40" s="1447">
        <f t="shared" si="530"/>
        <v>77777026.430000007</v>
      </c>
      <c r="GN40" s="1447">
        <f t="shared" si="529"/>
        <v>222668000</v>
      </c>
      <c r="GO40" s="1447">
        <f t="shared" si="529"/>
        <v>0</v>
      </c>
      <c r="GP40" s="1447">
        <f t="shared" si="529"/>
        <v>75265211.599999994</v>
      </c>
      <c r="GQ40" s="1447">
        <f>GQ30-GQ41</f>
        <v>147402788.39999998</v>
      </c>
      <c r="GR40" s="1447">
        <f t="shared" ref="GR40:GT40" si="531">GR30-GR41</f>
        <v>0</v>
      </c>
      <c r="GS40" s="1447">
        <f t="shared" si="531"/>
        <v>0</v>
      </c>
      <c r="GT40" s="1447">
        <f t="shared" si="531"/>
        <v>0</v>
      </c>
      <c r="GU40" s="1447">
        <f>GU30-GU41</f>
        <v>0</v>
      </c>
      <c r="GV40" s="1447">
        <f t="shared" ref="GV40:JQ40" si="532">GV30-GV41</f>
        <v>123288200</v>
      </c>
      <c r="GW40" s="1447">
        <f t="shared" si="532"/>
        <v>123288200</v>
      </c>
      <c r="GX40" s="1447">
        <f t="shared" si="532"/>
        <v>104295970.7</v>
      </c>
      <c r="GY40" s="1447">
        <f t="shared" si="532"/>
        <v>104295970.7</v>
      </c>
      <c r="GZ40" s="1447">
        <f t="shared" si="532"/>
        <v>0</v>
      </c>
      <c r="HA40" s="1447">
        <f t="shared" si="532"/>
        <v>0</v>
      </c>
      <c r="HB40" s="1447">
        <f t="shared" si="532"/>
        <v>123288200</v>
      </c>
      <c r="HC40" s="1447">
        <f t="shared" si="532"/>
        <v>104295970.7</v>
      </c>
      <c r="HD40" s="1447">
        <f t="shared" si="532"/>
        <v>51625558.140000008</v>
      </c>
      <c r="HE40" s="1447">
        <f t="shared" si="532"/>
        <v>51625558.140000008</v>
      </c>
      <c r="HF40" s="1447">
        <f t="shared" si="532"/>
        <v>0</v>
      </c>
      <c r="HG40" s="1447">
        <f t="shared" si="532"/>
        <v>0</v>
      </c>
      <c r="HH40" s="1447">
        <f t="shared" si="532"/>
        <v>0</v>
      </c>
      <c r="HI40" s="1447">
        <f t="shared" si="532"/>
        <v>0</v>
      </c>
      <c r="HJ40" s="1447">
        <f t="shared" si="532"/>
        <v>0</v>
      </c>
      <c r="HK40" s="1447">
        <f t="shared" si="532"/>
        <v>0</v>
      </c>
      <c r="HL40" s="1447">
        <f t="shared" si="532"/>
        <v>0</v>
      </c>
      <c r="HM40" s="1447">
        <f t="shared" si="532"/>
        <v>0</v>
      </c>
      <c r="HN40" s="1447">
        <f t="shared" si="532"/>
        <v>0</v>
      </c>
      <c r="HO40" s="1447">
        <f t="shared" si="532"/>
        <v>0</v>
      </c>
      <c r="HP40" s="1447">
        <f t="shared" si="532"/>
        <v>169455019.44999999</v>
      </c>
      <c r="HQ40" s="1447">
        <f t="shared" si="532"/>
        <v>1661708.0899999999</v>
      </c>
      <c r="HR40" s="1447">
        <f t="shared" si="532"/>
        <v>167793311.36000001</v>
      </c>
      <c r="HS40" s="1447">
        <f t="shared" si="532"/>
        <v>166170808.08999997</v>
      </c>
      <c r="HT40" s="1447">
        <f t="shared" si="532"/>
        <v>1661708.0899999999</v>
      </c>
      <c r="HU40" s="1447">
        <f t="shared" si="532"/>
        <v>164509100</v>
      </c>
      <c r="HV40" s="1447">
        <f t="shared" si="532"/>
        <v>0</v>
      </c>
      <c r="HW40" s="1447">
        <f t="shared" si="532"/>
        <v>-3284211.3599999994</v>
      </c>
      <c r="HX40" s="1447">
        <f t="shared" si="532"/>
        <v>3284211.3599999994</v>
      </c>
      <c r="HY40" s="1447">
        <f t="shared" si="532"/>
        <v>0</v>
      </c>
      <c r="HZ40" s="1447">
        <f t="shared" si="532"/>
        <v>0</v>
      </c>
      <c r="IA40" s="1447">
        <f t="shared" si="532"/>
        <v>0</v>
      </c>
      <c r="IB40" s="1447">
        <f t="shared" si="532"/>
        <v>169455019.44999999</v>
      </c>
      <c r="IC40" s="1447">
        <f t="shared" si="532"/>
        <v>4945919.4499999993</v>
      </c>
      <c r="ID40" s="1447">
        <f t="shared" si="532"/>
        <v>164509100</v>
      </c>
      <c r="IE40" s="1447">
        <f t="shared" si="532"/>
        <v>166170808.08999997</v>
      </c>
      <c r="IF40" s="1447">
        <f t="shared" si="532"/>
        <v>1661708.0899999999</v>
      </c>
      <c r="IG40" s="1447">
        <f t="shared" si="532"/>
        <v>164509100</v>
      </c>
      <c r="IH40" s="1447">
        <f t="shared" si="532"/>
        <v>0</v>
      </c>
      <c r="II40" s="1447">
        <f t="shared" si="532"/>
        <v>0</v>
      </c>
      <c r="IJ40" s="1447">
        <f t="shared" si="532"/>
        <v>0</v>
      </c>
      <c r="IK40" s="1447">
        <f t="shared" si="532"/>
        <v>0</v>
      </c>
      <c r="IL40" s="1447">
        <f t="shared" si="532"/>
        <v>0</v>
      </c>
      <c r="IM40" s="1447">
        <f t="shared" si="532"/>
        <v>0</v>
      </c>
      <c r="IN40" s="1447">
        <f t="shared" ref="IN40:IS40" si="533">IN30-IN41</f>
        <v>2631578.9500000002</v>
      </c>
      <c r="IO40" s="1447">
        <f t="shared" si="533"/>
        <v>131578.95000000001</v>
      </c>
      <c r="IP40" s="1447">
        <f t="shared" si="533"/>
        <v>2500000</v>
      </c>
      <c r="IQ40" s="1447">
        <f t="shared" si="533"/>
        <v>2631578.9500000002</v>
      </c>
      <c r="IR40" s="1447">
        <f t="shared" si="533"/>
        <v>131578.95000000001</v>
      </c>
      <c r="IS40" s="1447">
        <f t="shared" si="533"/>
        <v>2500000</v>
      </c>
      <c r="IT40" s="1447">
        <f t="shared" ref="IT40:IW40" si="534">IT30-IT41</f>
        <v>0</v>
      </c>
      <c r="IU40" s="1447">
        <f t="shared" si="534"/>
        <v>0</v>
      </c>
      <c r="IV40" s="1447">
        <f t="shared" si="534"/>
        <v>2631578.9500000002</v>
      </c>
      <c r="IW40" s="1447">
        <f t="shared" si="534"/>
        <v>2631578.9500000002</v>
      </c>
      <c r="IX40" s="1447">
        <f t="shared" si="532"/>
        <v>23000000</v>
      </c>
      <c r="IY40" s="1447">
        <f t="shared" si="532"/>
        <v>1150000</v>
      </c>
      <c r="IZ40" s="1447">
        <f t="shared" si="532"/>
        <v>21850000</v>
      </c>
      <c r="JA40" s="1447">
        <f t="shared" si="532"/>
        <v>20430896.539999999</v>
      </c>
      <c r="JB40" s="1447">
        <f t="shared" si="532"/>
        <v>1021544.81</v>
      </c>
      <c r="JC40" s="1447">
        <f t="shared" si="532"/>
        <v>19409351.73</v>
      </c>
      <c r="JD40" s="1447">
        <f t="shared" si="532"/>
        <v>0</v>
      </c>
      <c r="JE40" s="1447">
        <f t="shared" si="532"/>
        <v>0</v>
      </c>
      <c r="JF40" s="1447">
        <f t="shared" si="532"/>
        <v>0</v>
      </c>
      <c r="JG40" s="1447">
        <f t="shared" si="532"/>
        <v>0</v>
      </c>
      <c r="JH40" s="1447">
        <f t="shared" si="532"/>
        <v>0</v>
      </c>
      <c r="JI40" s="1447">
        <f t="shared" si="532"/>
        <v>0</v>
      </c>
      <c r="JJ40" s="1447">
        <f t="shared" si="532"/>
        <v>18358.319999999985</v>
      </c>
      <c r="JK40" s="1447">
        <f t="shared" si="532"/>
        <v>0</v>
      </c>
      <c r="JL40" s="1447">
        <f t="shared" si="532"/>
        <v>18358.319999999985</v>
      </c>
      <c r="JM40" s="1447">
        <f t="shared" si="532"/>
        <v>0</v>
      </c>
      <c r="JN40" s="1447">
        <f t="shared" si="532"/>
        <v>0</v>
      </c>
      <c r="JO40" s="1447">
        <f t="shared" si="532"/>
        <v>0</v>
      </c>
      <c r="JP40" s="1447">
        <f t="shared" si="532"/>
        <v>18358.319999999985</v>
      </c>
      <c r="JQ40" s="1447">
        <f t="shared" si="532"/>
        <v>0</v>
      </c>
      <c r="JR40" s="1447">
        <f t="shared" ref="JR40:MC40" si="535">JR30-JR41</f>
        <v>18358.319999999985</v>
      </c>
      <c r="JS40" s="1447">
        <f t="shared" si="535"/>
        <v>0</v>
      </c>
      <c r="JT40" s="1447">
        <f t="shared" si="535"/>
        <v>0</v>
      </c>
      <c r="JU40" s="1447">
        <f t="shared" si="535"/>
        <v>0</v>
      </c>
      <c r="JV40" s="1447">
        <f t="shared" si="535"/>
        <v>-2447719</v>
      </c>
      <c r="JW40" s="1447">
        <f t="shared" si="535"/>
        <v>-641180.10999999987</v>
      </c>
      <c r="JX40" s="1447">
        <f t="shared" si="535"/>
        <v>-1806538.8900000001</v>
      </c>
      <c r="JY40" s="1447">
        <f t="shared" si="535"/>
        <v>0</v>
      </c>
      <c r="JZ40" s="1447">
        <f t="shared" si="535"/>
        <v>0</v>
      </c>
      <c r="KA40" s="1447">
        <f t="shared" si="535"/>
        <v>0</v>
      </c>
      <c r="KB40" s="1447">
        <f t="shared" si="535"/>
        <v>2466077.3200000003</v>
      </c>
      <c r="KC40" s="1447">
        <f t="shared" si="535"/>
        <v>641180.10999999987</v>
      </c>
      <c r="KD40" s="1447">
        <f t="shared" si="535"/>
        <v>1824897.2100000004</v>
      </c>
      <c r="KE40" s="1447">
        <f t="shared" si="535"/>
        <v>0</v>
      </c>
      <c r="KF40" s="1447">
        <f t="shared" si="535"/>
        <v>0</v>
      </c>
      <c r="KG40" s="1447">
        <f t="shared" si="535"/>
        <v>0</v>
      </c>
      <c r="KH40" s="1447">
        <f t="shared" si="535"/>
        <v>26916829.220000006</v>
      </c>
      <c r="KI40" s="1447">
        <f t="shared" si="535"/>
        <v>16413681.120000001</v>
      </c>
      <c r="KJ40" s="1447">
        <f t="shared" si="535"/>
        <v>4217728.0999999996</v>
      </c>
      <c r="KK40" s="1447">
        <f t="shared" si="535"/>
        <v>2285049.88</v>
      </c>
      <c r="KL40" s="1447">
        <f t="shared" si="535"/>
        <v>4000370.1199999996</v>
      </c>
      <c r="KM40" s="1447">
        <f t="shared" si="535"/>
        <v>136760</v>
      </c>
      <c r="KN40" s="1447">
        <f t="shared" si="535"/>
        <v>0</v>
      </c>
      <c r="KO40" s="1447">
        <f t="shared" si="535"/>
        <v>0</v>
      </c>
      <c r="KP40" s="1447">
        <f t="shared" si="535"/>
        <v>49718.78</v>
      </c>
      <c r="KQ40" s="1447">
        <f t="shared" si="535"/>
        <v>87041.22</v>
      </c>
      <c r="KR40" s="1447">
        <f t="shared" si="535"/>
        <v>2264810</v>
      </c>
      <c r="KS40" s="1447">
        <f t="shared" si="535"/>
        <v>2264810</v>
      </c>
      <c r="KT40" s="1447">
        <f t="shared" si="535"/>
        <v>0</v>
      </c>
      <c r="KU40" s="1447">
        <f t="shared" si="535"/>
        <v>0</v>
      </c>
      <c r="KV40" s="1447">
        <f t="shared" si="535"/>
        <v>0</v>
      </c>
      <c r="KW40" s="1447">
        <f t="shared" si="535"/>
        <v>0</v>
      </c>
      <c r="KX40" s="1447">
        <f t="shared" si="535"/>
        <v>0</v>
      </c>
      <c r="KY40" s="1447">
        <f t="shared" si="535"/>
        <v>0</v>
      </c>
      <c r="KZ40" s="1447">
        <f t="shared" si="535"/>
        <v>0</v>
      </c>
      <c r="LA40" s="1447">
        <f t="shared" si="535"/>
        <v>0</v>
      </c>
      <c r="LB40" s="1447">
        <f t="shared" si="535"/>
        <v>-1755800</v>
      </c>
      <c r="LC40" s="1447">
        <f t="shared" si="535"/>
        <v>-1755800</v>
      </c>
      <c r="LD40" s="1447">
        <f t="shared" si="535"/>
        <v>0</v>
      </c>
      <c r="LE40" s="1447">
        <f t="shared" si="535"/>
        <v>0</v>
      </c>
      <c r="LF40" s="1447">
        <f t="shared" si="535"/>
        <v>0</v>
      </c>
      <c r="LG40" s="1447">
        <f t="shared" si="535"/>
        <v>0</v>
      </c>
      <c r="LH40" s="1447">
        <f t="shared" si="535"/>
        <v>4020610</v>
      </c>
      <c r="LI40" s="1447">
        <f t="shared" si="535"/>
        <v>4020610</v>
      </c>
      <c r="LJ40" s="1447">
        <f t="shared" si="535"/>
        <v>0</v>
      </c>
      <c r="LK40" s="1447">
        <f t="shared" si="535"/>
        <v>0</v>
      </c>
      <c r="LL40" s="1447">
        <f t="shared" si="535"/>
        <v>0</v>
      </c>
      <c r="LM40" s="1447">
        <f t="shared" si="535"/>
        <v>0</v>
      </c>
      <c r="LN40" s="1447">
        <f t="shared" si="535"/>
        <v>0</v>
      </c>
      <c r="LO40" s="1447">
        <f t="shared" si="535"/>
        <v>0</v>
      </c>
      <c r="LP40" s="1447">
        <f t="shared" si="535"/>
        <v>0</v>
      </c>
      <c r="LQ40" s="1447">
        <f t="shared" si="535"/>
        <v>0</v>
      </c>
      <c r="LR40" s="1447">
        <f t="shared" si="535"/>
        <v>0</v>
      </c>
      <c r="LS40" s="1447">
        <f t="shared" si="535"/>
        <v>0</v>
      </c>
      <c r="LT40" s="1447">
        <f t="shared" si="535"/>
        <v>0</v>
      </c>
      <c r="LU40" s="1447">
        <f t="shared" si="535"/>
        <v>0</v>
      </c>
      <c r="LV40" s="1447">
        <f t="shared" si="535"/>
        <v>32277567.57</v>
      </c>
      <c r="LW40" s="1447">
        <f t="shared" si="535"/>
        <v>0</v>
      </c>
      <c r="LX40" s="1447">
        <f t="shared" si="535"/>
        <v>8392167.5700000003</v>
      </c>
      <c r="LY40" s="1447">
        <f t="shared" si="535"/>
        <v>23885400</v>
      </c>
      <c r="LZ40" s="1447">
        <f t="shared" si="535"/>
        <v>25231857.170000002</v>
      </c>
      <c r="MA40" s="1447">
        <f t="shared" si="535"/>
        <v>0</v>
      </c>
      <c r="MB40" s="1447">
        <f t="shared" si="535"/>
        <v>6560282.8599999994</v>
      </c>
      <c r="MC40" s="1447">
        <f t="shared" si="535"/>
        <v>18671574.310000002</v>
      </c>
      <c r="MD40" s="1447">
        <f t="shared" ref="MD40:OO40" si="536">MD30-MD41</f>
        <v>32277567.57</v>
      </c>
      <c r="ME40" s="1447">
        <f t="shared" si="536"/>
        <v>0</v>
      </c>
      <c r="MF40" s="1447">
        <f t="shared" si="536"/>
        <v>8392167.5700000003</v>
      </c>
      <c r="MG40" s="1447">
        <f t="shared" si="536"/>
        <v>23885400</v>
      </c>
      <c r="MH40" s="1447">
        <f t="shared" si="536"/>
        <v>25231857.170000002</v>
      </c>
      <c r="MI40" s="1447">
        <f t="shared" si="536"/>
        <v>0</v>
      </c>
      <c r="MJ40" s="1447">
        <f t="shared" si="536"/>
        <v>6560282.8599999994</v>
      </c>
      <c r="MK40" s="1447">
        <f t="shared" si="536"/>
        <v>18671574.310000002</v>
      </c>
      <c r="ML40" s="1447">
        <f t="shared" si="536"/>
        <v>0</v>
      </c>
      <c r="MM40" s="1447">
        <f t="shared" si="536"/>
        <v>0</v>
      </c>
      <c r="MN40" s="1447">
        <f t="shared" si="536"/>
        <v>0</v>
      </c>
      <c r="MO40" s="1447">
        <f t="shared" si="536"/>
        <v>0</v>
      </c>
      <c r="MP40" s="1447">
        <f t="shared" si="536"/>
        <v>0</v>
      </c>
      <c r="MQ40" s="1447">
        <f t="shared" si="536"/>
        <v>0</v>
      </c>
      <c r="MR40" s="1447">
        <f t="shared" si="536"/>
        <v>0</v>
      </c>
      <c r="MS40" s="1447">
        <f t="shared" si="536"/>
        <v>0</v>
      </c>
      <c r="MT40" s="1447">
        <f t="shared" si="536"/>
        <v>8895266.5100000016</v>
      </c>
      <c r="MU40" s="1447">
        <f t="shared" si="536"/>
        <v>0</v>
      </c>
      <c r="MV40" s="1447">
        <f t="shared" si="536"/>
        <v>0</v>
      </c>
      <c r="MW40" s="1447">
        <f t="shared" si="536"/>
        <v>1671589.1900000004</v>
      </c>
      <c r="MX40" s="1447">
        <f t="shared" si="536"/>
        <v>4757600</v>
      </c>
      <c r="MY40" s="1447">
        <f t="shared" si="536"/>
        <v>0</v>
      </c>
      <c r="MZ40" s="1447">
        <f t="shared" si="536"/>
        <v>641180.10999999987</v>
      </c>
      <c r="NA40" s="1447">
        <f t="shared" si="536"/>
        <v>1824897.2100000004</v>
      </c>
      <c r="NB40" s="1447">
        <f t="shared" si="536"/>
        <v>3121209.2200000007</v>
      </c>
      <c r="NC40" s="1447">
        <f t="shared" si="536"/>
        <v>0</v>
      </c>
      <c r="ND40" s="1447">
        <f t="shared" si="536"/>
        <v>0</v>
      </c>
      <c r="NE40" s="1447">
        <f t="shared" si="536"/>
        <v>170334.3</v>
      </c>
      <c r="NF40" s="1447">
        <f t="shared" si="536"/>
        <v>484797.61</v>
      </c>
      <c r="NG40" s="1447">
        <f t="shared" si="536"/>
        <v>0</v>
      </c>
      <c r="NH40" s="1447">
        <f t="shared" si="536"/>
        <v>641180.10999999987</v>
      </c>
      <c r="NI40" s="1447">
        <f t="shared" si="536"/>
        <v>1824897.1999999997</v>
      </c>
      <c r="NJ40" s="1447">
        <f t="shared" si="536"/>
        <v>164579708.91999999</v>
      </c>
      <c r="NK40" s="1447">
        <f t="shared" si="536"/>
        <v>18358.319999999985</v>
      </c>
      <c r="NL40" s="1447">
        <f t="shared" si="536"/>
        <v>164561350.59999999</v>
      </c>
      <c r="NM40" s="1447">
        <f t="shared" si="536"/>
        <v>70608.919999999984</v>
      </c>
      <c r="NN40" s="1447">
        <f t="shared" si="536"/>
        <v>18358.319999999985</v>
      </c>
      <c r="NO40" s="1447">
        <f t="shared" si="536"/>
        <v>52250.6</v>
      </c>
      <c r="NP40" s="1447">
        <f t="shared" si="536"/>
        <v>0</v>
      </c>
      <c r="NQ40" s="1447">
        <f t="shared" si="536"/>
        <v>0</v>
      </c>
      <c r="NR40" s="1447">
        <f t="shared" si="536"/>
        <v>0</v>
      </c>
      <c r="NS40" s="1447">
        <f t="shared" si="536"/>
        <v>0</v>
      </c>
      <c r="NT40" s="1447">
        <f t="shared" si="536"/>
        <v>0</v>
      </c>
      <c r="NU40" s="1447">
        <f t="shared" si="536"/>
        <v>0</v>
      </c>
      <c r="NV40" s="1447">
        <f t="shared" si="536"/>
        <v>164579708.91999999</v>
      </c>
      <c r="NW40" s="1447">
        <f t="shared" si="536"/>
        <v>18358.319999999985</v>
      </c>
      <c r="NX40" s="1447">
        <f t="shared" si="536"/>
        <v>164561350.59999999</v>
      </c>
      <c r="NY40" s="1447">
        <f t="shared" si="536"/>
        <v>70608.919999999984</v>
      </c>
      <c r="NZ40" s="1447">
        <f t="shared" si="536"/>
        <v>18358.319999999985</v>
      </c>
      <c r="OA40" s="1447">
        <f t="shared" si="536"/>
        <v>52250.6</v>
      </c>
      <c r="OB40" s="1447">
        <f t="shared" si="536"/>
        <v>0</v>
      </c>
      <c r="OC40" s="1447">
        <f t="shared" si="536"/>
        <v>0</v>
      </c>
      <c r="OD40" s="1447">
        <f t="shared" si="536"/>
        <v>0</v>
      </c>
      <c r="OE40" s="1447">
        <f t="shared" si="536"/>
        <v>0</v>
      </c>
      <c r="OF40" s="1447">
        <f t="shared" si="536"/>
        <v>0</v>
      </c>
      <c r="OG40" s="1447">
        <f t="shared" si="536"/>
        <v>0</v>
      </c>
      <c r="OH40" s="1447">
        <f t="shared" si="536"/>
        <v>0</v>
      </c>
      <c r="OI40" s="1447">
        <f t="shared" si="536"/>
        <v>0</v>
      </c>
      <c r="OJ40" s="1447">
        <f t="shared" si="536"/>
        <v>248560414.11000001</v>
      </c>
      <c r="OK40" s="1447">
        <f t="shared" si="536"/>
        <v>104000000</v>
      </c>
      <c r="OL40" s="1447">
        <f t="shared" si="536"/>
        <v>144560414.10999998</v>
      </c>
      <c r="OM40" s="1447">
        <f t="shared" si="536"/>
        <v>0</v>
      </c>
      <c r="ON40" s="1447">
        <f t="shared" si="536"/>
        <v>0</v>
      </c>
      <c r="OO40" s="1447">
        <f t="shared" si="536"/>
        <v>0</v>
      </c>
      <c r="OP40" s="1447">
        <f t="shared" ref="OP40:RE40" si="537">OP30-OP41</f>
        <v>0</v>
      </c>
      <c r="OQ40" s="1447">
        <f t="shared" si="537"/>
        <v>0</v>
      </c>
      <c r="OR40" s="1447">
        <f t="shared" si="537"/>
        <v>281107380.46999997</v>
      </c>
      <c r="OS40" s="1447">
        <f t="shared" si="537"/>
        <v>5473685.5999999978</v>
      </c>
      <c r="OT40" s="1447">
        <f t="shared" si="537"/>
        <v>104000000</v>
      </c>
      <c r="OU40" s="1447">
        <f t="shared" si="537"/>
        <v>171633694.87</v>
      </c>
      <c r="OV40" s="1447">
        <f t="shared" si="537"/>
        <v>232312359.18000001</v>
      </c>
      <c r="OW40" s="1447">
        <f t="shared" si="537"/>
        <v>5385436.2299999995</v>
      </c>
      <c r="OX40" s="1447">
        <f t="shared" si="537"/>
        <v>102323262.37</v>
      </c>
      <c r="OY40" s="1447">
        <f t="shared" si="537"/>
        <v>124603660.58</v>
      </c>
      <c r="OZ40" s="1447">
        <f t="shared" si="537"/>
        <v>144560414.10999998</v>
      </c>
      <c r="PA40" s="1447">
        <f t="shared" si="537"/>
        <v>0</v>
      </c>
      <c r="PB40" s="1447">
        <f t="shared" si="537"/>
        <v>0</v>
      </c>
      <c r="PC40" s="1447">
        <f t="shared" si="537"/>
        <v>144560414.10999998</v>
      </c>
      <c r="PD40" s="1447">
        <f t="shared" si="537"/>
        <v>113402780.59999999</v>
      </c>
      <c r="PE40" s="1447">
        <f t="shared" si="537"/>
        <v>0</v>
      </c>
      <c r="PF40" s="1447">
        <f t="shared" si="537"/>
        <v>0</v>
      </c>
      <c r="PG40" s="1447">
        <f t="shared" si="537"/>
        <v>113402780.59999999</v>
      </c>
      <c r="PH40" s="1447">
        <f t="shared" si="537"/>
        <v>136546966.35999998</v>
      </c>
      <c r="PI40" s="1447">
        <f t="shared" si="537"/>
        <v>5473685.5999999978</v>
      </c>
      <c r="PJ40" s="1447">
        <f t="shared" si="537"/>
        <v>104000000</v>
      </c>
      <c r="PK40" s="1447">
        <f t="shared" si="537"/>
        <v>27073280.759999998</v>
      </c>
      <c r="PL40" s="1447">
        <f t="shared" si="537"/>
        <v>118909578.58000001</v>
      </c>
      <c r="PM40" s="1447">
        <f t="shared" si="537"/>
        <v>5385436.2299999995</v>
      </c>
      <c r="PN40" s="1447">
        <f t="shared" si="537"/>
        <v>102323262.37</v>
      </c>
      <c r="PO40" s="1447">
        <f t="shared" si="537"/>
        <v>11200879.98</v>
      </c>
      <c r="PP40" s="1447">
        <f t="shared" si="537"/>
        <v>0</v>
      </c>
      <c r="PQ40" s="1447">
        <f t="shared" si="537"/>
        <v>0</v>
      </c>
      <c r="PR40" s="1447">
        <f t="shared" si="537"/>
        <v>0</v>
      </c>
      <c r="PS40" s="1447">
        <f t="shared" ref="PS40:PY40" si="538">PS30-PS41</f>
        <v>0</v>
      </c>
      <c r="PT40" s="1447">
        <f t="shared" si="538"/>
        <v>0</v>
      </c>
      <c r="PU40" s="1447">
        <f t="shared" si="538"/>
        <v>0</v>
      </c>
      <c r="PV40" s="1447">
        <f t="shared" si="538"/>
        <v>0</v>
      </c>
      <c r="PW40" s="1447">
        <f t="shared" si="538"/>
        <v>0</v>
      </c>
      <c r="PX40" s="1447">
        <f t="shared" si="538"/>
        <v>0</v>
      </c>
      <c r="PY40" s="1447">
        <f t="shared" si="538"/>
        <v>0</v>
      </c>
      <c r="PZ40" s="1447">
        <f t="shared" si="537"/>
        <v>7809735.5899999999</v>
      </c>
      <c r="QA40" s="1447">
        <f t="shared" si="537"/>
        <v>390486.77999999991</v>
      </c>
      <c r="QB40" s="1447">
        <f t="shared" si="537"/>
        <v>7419248.8100000005</v>
      </c>
      <c r="QC40" s="1447">
        <f t="shared" si="537"/>
        <v>6146688.2699999996</v>
      </c>
      <c r="QD40" s="1447">
        <f t="shared" si="537"/>
        <v>307334.41000000003</v>
      </c>
      <c r="QE40" s="1447">
        <f t="shared" si="537"/>
        <v>5839353.8600000003</v>
      </c>
      <c r="QF40" s="1447">
        <f t="shared" si="537"/>
        <v>7809735.5899999999</v>
      </c>
      <c r="QG40" s="1447">
        <f t="shared" si="537"/>
        <v>390486.77999999991</v>
      </c>
      <c r="QH40" s="1447">
        <f t="shared" si="537"/>
        <v>7419248.8100000005</v>
      </c>
      <c r="QI40" s="1447">
        <f t="shared" si="537"/>
        <v>6146688.2699999996</v>
      </c>
      <c r="QJ40" s="1447">
        <f t="shared" si="537"/>
        <v>307334.41000000003</v>
      </c>
      <c r="QK40" s="1447">
        <f t="shared" si="537"/>
        <v>5839353.8600000003</v>
      </c>
      <c r="QL40" s="1447">
        <f t="shared" si="537"/>
        <v>0</v>
      </c>
      <c r="QM40" s="1447">
        <f t="shared" si="537"/>
        <v>0</v>
      </c>
      <c r="QN40" s="1447">
        <f t="shared" si="537"/>
        <v>0</v>
      </c>
      <c r="QO40" s="1447">
        <f t="shared" si="537"/>
        <v>0</v>
      </c>
      <c r="QP40" s="1447">
        <f t="shared" si="537"/>
        <v>0</v>
      </c>
      <c r="QQ40" s="1447">
        <f t="shared" si="537"/>
        <v>0</v>
      </c>
      <c r="QR40" s="1447">
        <f t="shared" si="537"/>
        <v>0</v>
      </c>
      <c r="QS40" s="1447">
        <f t="shared" si="537"/>
        <v>0</v>
      </c>
      <c r="QT40" s="1447">
        <f t="shared" si="537"/>
        <v>0</v>
      </c>
      <c r="QU40" s="1447">
        <f t="shared" si="537"/>
        <v>0</v>
      </c>
      <c r="QV40" s="1447">
        <f t="shared" si="537"/>
        <v>0</v>
      </c>
      <c r="QW40" s="1447">
        <f t="shared" si="537"/>
        <v>0</v>
      </c>
      <c r="QX40" s="1447">
        <f t="shared" si="537"/>
        <v>0</v>
      </c>
      <c r="QY40" s="1447">
        <f t="shared" si="537"/>
        <v>0</v>
      </c>
      <c r="QZ40" s="1447">
        <f t="shared" si="537"/>
        <v>0</v>
      </c>
      <c r="RA40" s="1447">
        <f t="shared" si="537"/>
        <v>0</v>
      </c>
      <c r="RB40" s="1447">
        <f t="shared" si="537"/>
        <v>0</v>
      </c>
      <c r="RC40" s="1447">
        <f t="shared" si="537"/>
        <v>0</v>
      </c>
      <c r="RD40" s="1447">
        <f t="shared" si="537"/>
        <v>0</v>
      </c>
      <c r="RE40" s="1447">
        <f t="shared" si="537"/>
        <v>0</v>
      </c>
      <c r="RF40" s="1447">
        <f t="shared" ref="RF40:TQ40" si="539">RF30-RF41</f>
        <v>0</v>
      </c>
      <c r="RG40" s="1447">
        <f t="shared" si="539"/>
        <v>0</v>
      </c>
      <c r="RH40" s="1447">
        <f t="shared" si="539"/>
        <v>0</v>
      </c>
      <c r="RI40" s="1447">
        <f t="shared" si="539"/>
        <v>0</v>
      </c>
      <c r="RJ40" s="1447">
        <f t="shared" si="539"/>
        <v>0</v>
      </c>
      <c r="RK40" s="1447">
        <f t="shared" si="539"/>
        <v>0</v>
      </c>
      <c r="RL40" s="1447">
        <f t="shared" si="539"/>
        <v>0</v>
      </c>
      <c r="RM40" s="1447">
        <f t="shared" si="539"/>
        <v>0</v>
      </c>
      <c r="RN40" s="1447">
        <f t="shared" si="539"/>
        <v>0</v>
      </c>
      <c r="RO40" s="1447">
        <f t="shared" si="539"/>
        <v>0</v>
      </c>
      <c r="RP40" s="1447">
        <f t="shared" si="539"/>
        <v>0</v>
      </c>
      <c r="RQ40" s="1447">
        <f t="shared" si="539"/>
        <v>0</v>
      </c>
      <c r="RR40" s="1447">
        <f t="shared" si="539"/>
        <v>0</v>
      </c>
      <c r="RS40" s="1447">
        <f t="shared" si="539"/>
        <v>0</v>
      </c>
      <c r="RT40" s="1447">
        <f t="shared" si="539"/>
        <v>0</v>
      </c>
      <c r="RU40" s="1447">
        <f t="shared" si="539"/>
        <v>0</v>
      </c>
      <c r="RV40" s="1447">
        <f t="shared" si="539"/>
        <v>0</v>
      </c>
      <c r="RW40" s="1447">
        <f t="shared" si="539"/>
        <v>0</v>
      </c>
      <c r="RX40" s="1447">
        <f t="shared" si="539"/>
        <v>0</v>
      </c>
      <c r="RY40" s="1447">
        <f t="shared" si="539"/>
        <v>0</v>
      </c>
      <c r="RZ40" s="1447">
        <f t="shared" si="539"/>
        <v>0</v>
      </c>
      <c r="SA40" s="1447">
        <f t="shared" si="539"/>
        <v>0</v>
      </c>
      <c r="SB40" s="1447">
        <f t="shared" si="539"/>
        <v>121646756.76000001</v>
      </c>
      <c r="SC40" s="1447">
        <f t="shared" si="539"/>
        <v>20000000</v>
      </c>
      <c r="SD40" s="1447">
        <f t="shared" si="539"/>
        <v>26428156.760000005</v>
      </c>
      <c r="SE40" s="1447">
        <f t="shared" si="539"/>
        <v>75218600</v>
      </c>
      <c r="SF40" s="1447">
        <f t="shared" si="539"/>
        <v>9810526.8499999996</v>
      </c>
      <c r="SG40" s="1447">
        <f t="shared" si="539"/>
        <v>0</v>
      </c>
      <c r="SH40" s="1447">
        <f t="shared" si="539"/>
        <v>2550736.98</v>
      </c>
      <c r="SI40" s="1447">
        <f t="shared" si="539"/>
        <v>7259789.8700000001</v>
      </c>
      <c r="SJ40" s="1447">
        <f t="shared" si="539"/>
        <v>0</v>
      </c>
      <c r="SK40" s="1447">
        <f t="shared" si="539"/>
        <v>0</v>
      </c>
      <c r="SL40" s="1447">
        <f t="shared" si="539"/>
        <v>0</v>
      </c>
      <c r="SM40" s="1447">
        <f t="shared" si="539"/>
        <v>0</v>
      </c>
      <c r="SN40" s="1447">
        <f t="shared" si="539"/>
        <v>0</v>
      </c>
      <c r="SO40" s="1447">
        <f t="shared" si="539"/>
        <v>0</v>
      </c>
      <c r="SP40" s="1447">
        <f t="shared" si="539"/>
        <v>598623604.55000007</v>
      </c>
      <c r="SQ40" s="1447">
        <f t="shared" si="539"/>
        <v>0</v>
      </c>
      <c r="SR40" s="1447">
        <f t="shared" si="539"/>
        <v>0</v>
      </c>
      <c r="SS40" s="1447">
        <f t="shared" si="539"/>
        <v>0</v>
      </c>
      <c r="ST40" s="1447">
        <f t="shared" si="539"/>
        <v>0</v>
      </c>
      <c r="SU40" s="1447">
        <f t="shared" si="539"/>
        <v>23766770.229999982</v>
      </c>
      <c r="SV40" s="1447">
        <f t="shared" si="539"/>
        <v>574856834.32000017</v>
      </c>
      <c r="SW40" s="1447">
        <f t="shared" si="539"/>
        <v>413825755.88</v>
      </c>
      <c r="SX40" s="1447">
        <f t="shared" si="539"/>
        <v>0</v>
      </c>
      <c r="SY40" s="1447">
        <f t="shared" si="539"/>
        <v>0</v>
      </c>
      <c r="SZ40" s="1447">
        <f t="shared" si="539"/>
        <v>0</v>
      </c>
      <c r="TA40" s="1447">
        <f t="shared" si="539"/>
        <v>0</v>
      </c>
      <c r="TB40" s="1447">
        <f t="shared" si="539"/>
        <v>20691287.789999999</v>
      </c>
      <c r="TC40" s="1447">
        <f t="shared" si="539"/>
        <v>393134468.09000003</v>
      </c>
      <c r="TD40" s="1447">
        <f t="shared" si="539"/>
        <v>99260149.229999989</v>
      </c>
      <c r="TE40" s="1447">
        <f t="shared" si="539"/>
        <v>4963007.5000000009</v>
      </c>
      <c r="TF40" s="1447">
        <f t="shared" si="539"/>
        <v>94297141.729999989</v>
      </c>
      <c r="TG40" s="1447">
        <f t="shared" si="539"/>
        <v>0</v>
      </c>
      <c r="TH40" s="1447">
        <f t="shared" si="539"/>
        <v>0</v>
      </c>
      <c r="TI40" s="1447">
        <f t="shared" si="539"/>
        <v>0</v>
      </c>
      <c r="TJ40" s="1447">
        <f t="shared" si="539"/>
        <v>0</v>
      </c>
      <c r="TK40" s="1447">
        <f t="shared" si="539"/>
        <v>38255913.979999997</v>
      </c>
      <c r="TL40" s="1447">
        <f t="shared" si="539"/>
        <v>1912795.6400000001</v>
      </c>
      <c r="TM40" s="1447">
        <f t="shared" si="539"/>
        <v>36343118.340000004</v>
      </c>
      <c r="TN40" s="1447">
        <f t="shared" si="539"/>
        <v>0</v>
      </c>
      <c r="TO40" s="1447">
        <f t="shared" si="539"/>
        <v>0</v>
      </c>
      <c r="TP40" s="1447">
        <f t="shared" si="539"/>
        <v>0</v>
      </c>
      <c r="TQ40" s="1447">
        <f t="shared" si="539"/>
        <v>0</v>
      </c>
      <c r="TR40" s="1447">
        <f t="shared" ref="TR40:WC40" si="540">TR30-TR41</f>
        <v>71862719.739999995</v>
      </c>
      <c r="TS40" s="1447">
        <f t="shared" si="540"/>
        <v>3965023.74</v>
      </c>
      <c r="TT40" s="1447">
        <f t="shared" si="540"/>
        <v>75335450.269999996</v>
      </c>
      <c r="TU40" s="1447">
        <f t="shared" si="540"/>
        <v>-371887.70999999973</v>
      </c>
      <c r="TV40" s="1447">
        <f t="shared" si="540"/>
        <v>-7065866.5600000005</v>
      </c>
      <c r="TW40" s="1447">
        <f t="shared" si="540"/>
        <v>0</v>
      </c>
      <c r="TX40" s="1447">
        <f t="shared" si="540"/>
        <v>0</v>
      </c>
      <c r="TY40" s="1447">
        <f t="shared" si="540"/>
        <v>31630053.219999999</v>
      </c>
      <c r="TZ40" s="1447">
        <f t="shared" si="540"/>
        <v>1581502.6</v>
      </c>
      <c r="UA40" s="1447">
        <f t="shared" si="540"/>
        <v>30048550.620000001</v>
      </c>
      <c r="UB40" s="1447">
        <f t="shared" si="540"/>
        <v>0</v>
      </c>
      <c r="UC40" s="1447">
        <f t="shared" si="540"/>
        <v>0</v>
      </c>
      <c r="UD40" s="1447">
        <f t="shared" si="540"/>
        <v>0</v>
      </c>
      <c r="UE40" s="1447">
        <f t="shared" si="540"/>
        <v>0</v>
      </c>
      <c r="UF40" s="1447">
        <f t="shared" si="540"/>
        <v>27397429.490000002</v>
      </c>
      <c r="UG40" s="1447">
        <f t="shared" si="540"/>
        <v>997983.76</v>
      </c>
      <c r="UH40" s="1447">
        <f t="shared" si="540"/>
        <v>18961691.460000001</v>
      </c>
      <c r="UI40" s="1447">
        <f t="shared" si="540"/>
        <v>371887.70999999973</v>
      </c>
      <c r="UJ40" s="1447">
        <f t="shared" si="540"/>
        <v>7065866.5600000005</v>
      </c>
      <c r="UK40" s="1447">
        <f t="shared" si="540"/>
        <v>0</v>
      </c>
      <c r="UL40" s="1447">
        <f t="shared" si="540"/>
        <v>0</v>
      </c>
      <c r="UM40" s="1447">
        <f t="shared" si="540"/>
        <v>6625860.7599999998</v>
      </c>
      <c r="UN40" s="1447">
        <f t="shared" si="540"/>
        <v>331293.03999999998</v>
      </c>
      <c r="UO40" s="1447">
        <f t="shared" si="540"/>
        <v>6294567.7199999997</v>
      </c>
      <c r="UP40" s="1447">
        <f t="shared" si="540"/>
        <v>0</v>
      </c>
      <c r="UQ40" s="1447">
        <f t="shared" si="540"/>
        <v>0</v>
      </c>
      <c r="UR40" s="1447">
        <f t="shared" si="540"/>
        <v>0</v>
      </c>
      <c r="US40" s="1447">
        <f t="shared" si="540"/>
        <v>0</v>
      </c>
      <c r="UT40" s="1447">
        <f t="shared" si="540"/>
        <v>1628299737.8300002</v>
      </c>
      <c r="UU40" s="1447">
        <f t="shared" si="540"/>
        <v>949347074.38999999</v>
      </c>
      <c r="UV40" s="1447">
        <f t="shared" si="540"/>
        <v>192312357.73999998</v>
      </c>
      <c r="UW40" s="1447">
        <f t="shared" si="540"/>
        <v>135235834.89999998</v>
      </c>
      <c r="UX40" s="1447">
        <f t="shared" si="540"/>
        <v>24358920.560000002</v>
      </c>
      <c r="UY40" s="1447">
        <f t="shared" si="540"/>
        <v>16656444.719999999</v>
      </c>
      <c r="UZ40" s="1447">
        <f t="shared" si="540"/>
        <v>167953437.18000001</v>
      </c>
      <c r="VA40" s="1447">
        <f t="shared" si="540"/>
        <v>118579390.17999999</v>
      </c>
      <c r="VB40" s="1447">
        <f t="shared" si="540"/>
        <v>7160711883.21</v>
      </c>
      <c r="VC40" s="1447">
        <f t="shared" si="540"/>
        <v>6959170255.2599993</v>
      </c>
      <c r="VD40" s="1447">
        <f t="shared" si="540"/>
        <v>201541627.95000002</v>
      </c>
      <c r="VE40" s="1447">
        <f t="shared" si="540"/>
        <v>5563321279.6700001</v>
      </c>
      <c r="VF40" s="1447">
        <f t="shared" si="540"/>
        <v>5424296716.8699999</v>
      </c>
      <c r="VG40" s="1447">
        <f t="shared" si="540"/>
        <v>139024562.80000001</v>
      </c>
      <c r="VH40" s="1447">
        <f t="shared" si="540"/>
        <v>6655321407.4300003</v>
      </c>
      <c r="VI40" s="1447">
        <f t="shared" si="540"/>
        <v>5207721493.3299999</v>
      </c>
      <c r="VJ40" s="1447">
        <f t="shared" si="540"/>
        <v>223130685</v>
      </c>
      <c r="VK40" s="1447">
        <f t="shared" si="540"/>
        <v>159542271</v>
      </c>
      <c r="VL40" s="1447">
        <f t="shared" si="540"/>
        <v>0</v>
      </c>
      <c r="VM40" s="1447">
        <f t="shared" si="540"/>
        <v>0</v>
      </c>
      <c r="VN40" s="1447">
        <f t="shared" si="540"/>
        <v>36969300</v>
      </c>
      <c r="VO40" s="1447">
        <f t="shared" si="540"/>
        <v>22695174.790000003</v>
      </c>
      <c r="VP40" s="1447">
        <f t="shared" si="540"/>
        <v>0</v>
      </c>
      <c r="VQ40" s="1447">
        <f t="shared" si="540"/>
        <v>0</v>
      </c>
      <c r="VR40" s="1447">
        <f t="shared" si="540"/>
        <v>0</v>
      </c>
      <c r="VS40" s="1447">
        <f t="shared" si="540"/>
        <v>0</v>
      </c>
      <c r="VT40" s="1447">
        <f t="shared" si="540"/>
        <v>1553000</v>
      </c>
      <c r="VU40" s="1447">
        <f t="shared" si="540"/>
        <v>1553000</v>
      </c>
      <c r="VV40" s="1447">
        <f t="shared" si="540"/>
        <v>0</v>
      </c>
      <c r="VW40" s="1447">
        <f t="shared" si="540"/>
        <v>0</v>
      </c>
      <c r="VX40" s="1447">
        <f t="shared" si="540"/>
        <v>203619362.11000001</v>
      </c>
      <c r="VY40" s="1447">
        <f t="shared" si="540"/>
        <v>52941034.160000004</v>
      </c>
      <c r="VZ40" s="1447">
        <f t="shared" si="540"/>
        <v>150678327.95000002</v>
      </c>
      <c r="WA40" s="1447">
        <f t="shared" si="540"/>
        <v>141495971.35000002</v>
      </c>
      <c r="WB40" s="1447">
        <f t="shared" si="540"/>
        <v>36788952.539999999</v>
      </c>
      <c r="WC40" s="1447">
        <f t="shared" si="540"/>
        <v>104707018.81</v>
      </c>
      <c r="WD40" s="1447">
        <f t="shared" ref="WD40:YU40" si="541">WD30-WD41</f>
        <v>40118128.670000002</v>
      </c>
      <c r="WE40" s="1447">
        <f t="shared" si="541"/>
        <v>27777128.669999998</v>
      </c>
      <c r="WF40" s="1447">
        <f t="shared" si="541"/>
        <v>12341000</v>
      </c>
      <c r="WG40" s="1447">
        <f t="shared" si="541"/>
        <v>30313369.200000007</v>
      </c>
      <c r="WH40" s="1447">
        <f t="shared" si="541"/>
        <v>20244000</v>
      </c>
      <c r="WI40" s="1447">
        <f t="shared" si="541"/>
        <v>10069369.199999997</v>
      </c>
      <c r="WJ40" s="1447">
        <f t="shared" si="541"/>
        <v>2194772677.0599999</v>
      </c>
      <c r="WK40" s="1447">
        <f t="shared" si="541"/>
        <v>1042997625.5799999</v>
      </c>
      <c r="WL40" s="1447">
        <f t="shared" ref="WL40:WQ40" si="542">WL30-WL41</f>
        <v>0</v>
      </c>
      <c r="WM40" s="1447">
        <f t="shared" si="542"/>
        <v>0</v>
      </c>
      <c r="WN40" s="1447">
        <f t="shared" si="542"/>
        <v>0</v>
      </c>
      <c r="WO40" s="1447">
        <f t="shared" si="542"/>
        <v>0</v>
      </c>
      <c r="WP40" s="1447">
        <f t="shared" si="542"/>
        <v>0</v>
      </c>
      <c r="WQ40" s="1447">
        <f t="shared" si="542"/>
        <v>0</v>
      </c>
      <c r="WR40" s="1447">
        <f t="shared" si="541"/>
        <v>44791312.649999999</v>
      </c>
      <c r="WS40" s="1447">
        <f t="shared" si="541"/>
        <v>0</v>
      </c>
      <c r="WT40" s="1447">
        <f t="shared" si="541"/>
        <v>44791312.649999999</v>
      </c>
      <c r="WU40" s="1447">
        <f t="shared" si="541"/>
        <v>0</v>
      </c>
      <c r="WV40" s="1447">
        <f t="shared" si="541"/>
        <v>0</v>
      </c>
      <c r="WW40" s="1447">
        <f t="shared" si="541"/>
        <v>0</v>
      </c>
      <c r="WX40" s="1447">
        <f t="shared" si="541"/>
        <v>30466962.68</v>
      </c>
      <c r="WY40" s="1447">
        <f t="shared" si="541"/>
        <v>1523348.1300000004</v>
      </c>
      <c r="WZ40" s="1447">
        <f t="shared" si="541"/>
        <v>28943614.550000001</v>
      </c>
      <c r="XA40" s="1447">
        <f t="shared" si="541"/>
        <v>22876066.920000006</v>
      </c>
      <c r="XB40" s="1447">
        <f t="shared" si="541"/>
        <v>1143803.4099999999</v>
      </c>
      <c r="XC40" s="1447">
        <f t="shared" si="541"/>
        <v>21732263.509999998</v>
      </c>
      <c r="XD40" s="1447">
        <f t="shared" si="541"/>
        <v>480700590</v>
      </c>
      <c r="XE40" s="1447">
        <f t="shared" si="541"/>
        <v>221959545</v>
      </c>
      <c r="XF40" s="1447">
        <f t="shared" si="541"/>
        <v>258741045</v>
      </c>
      <c r="XG40" s="1447">
        <f t="shared" si="541"/>
        <v>254137296.31999999</v>
      </c>
      <c r="XH40" s="1447">
        <f t="shared" si="541"/>
        <v>0</v>
      </c>
      <c r="XI40" s="1447">
        <f t="shared" si="541"/>
        <v>254137296.31999999</v>
      </c>
      <c r="XJ40" s="1447">
        <f t="shared" si="541"/>
        <v>0</v>
      </c>
      <c r="XK40" s="1447">
        <f t="shared" si="541"/>
        <v>0</v>
      </c>
      <c r="XL40" s="1447">
        <f t="shared" si="541"/>
        <v>0</v>
      </c>
      <c r="XM40" s="1447">
        <f t="shared" si="541"/>
        <v>0</v>
      </c>
      <c r="XN40" s="1447">
        <f t="shared" si="541"/>
        <v>240950249.07999998</v>
      </c>
      <c r="XO40" s="1447">
        <f t="shared" si="541"/>
        <v>240950249.07999998</v>
      </c>
      <c r="XP40" s="1447">
        <f t="shared" si="541"/>
        <v>160058225.89999998</v>
      </c>
      <c r="XQ40" s="1447">
        <f t="shared" si="541"/>
        <v>160058225.89999998</v>
      </c>
      <c r="XR40" s="1447">
        <f t="shared" si="541"/>
        <v>0</v>
      </c>
      <c r="XS40" s="1447">
        <f t="shared" si="541"/>
        <v>0</v>
      </c>
      <c r="XT40" s="1447">
        <f t="shared" si="541"/>
        <v>240950249.07999998</v>
      </c>
      <c r="XU40" s="1447">
        <f t="shared" si="541"/>
        <v>160058225.89999998</v>
      </c>
      <c r="XV40" s="1447">
        <f t="shared" si="541"/>
        <v>922131729.53000009</v>
      </c>
      <c r="XW40" s="1447">
        <f t="shared" si="541"/>
        <v>0</v>
      </c>
      <c r="XX40" s="1447">
        <f t="shared" si="541"/>
        <v>325690518.18999994</v>
      </c>
      <c r="XY40" s="1447">
        <f t="shared" si="541"/>
        <v>0</v>
      </c>
      <c r="XZ40" s="1447">
        <f t="shared" si="541"/>
        <v>102552380</v>
      </c>
      <c r="YA40" s="1447">
        <f t="shared" si="541"/>
        <v>121471980</v>
      </c>
      <c r="YB40" s="1447">
        <f t="shared" si="541"/>
        <v>191837647.59999996</v>
      </c>
      <c r="YC40" s="1447">
        <f t="shared" si="541"/>
        <v>0</v>
      </c>
      <c r="YD40" s="1447">
        <f t="shared" si="541"/>
        <v>39018065.819999993</v>
      </c>
      <c r="YE40" s="1447">
        <f t="shared" si="541"/>
        <v>63618812.569999985</v>
      </c>
      <c r="YF40" s="1447">
        <f t="shared" si="541"/>
        <v>77942325.350000009</v>
      </c>
      <c r="YG40" s="1447">
        <f t="shared" si="541"/>
        <v>376745528.38</v>
      </c>
      <c r="YH40" s="1447">
        <f t="shared" si="541"/>
        <v>0</v>
      </c>
      <c r="YI40" s="1447">
        <f t="shared" si="541"/>
        <v>113869958.65000001</v>
      </c>
      <c r="YJ40" s="1447">
        <f t="shared" si="541"/>
        <v>0</v>
      </c>
      <c r="YK40" s="1447">
        <f t="shared" si="541"/>
        <v>0</v>
      </c>
      <c r="YL40" s="1447">
        <f t="shared" si="541"/>
        <v>121471980</v>
      </c>
      <c r="YM40" s="1447">
        <f t="shared" si="541"/>
        <v>63461264.380000018</v>
      </c>
      <c r="YN40" s="1447">
        <f t="shared" si="541"/>
        <v>0</v>
      </c>
      <c r="YO40" s="1447">
        <f t="shared" si="541"/>
        <v>0</v>
      </c>
      <c r="YP40" s="1447">
        <f t="shared" si="541"/>
        <v>0</v>
      </c>
      <c r="YQ40" s="1447">
        <f t="shared" si="541"/>
        <v>77942325.350000009</v>
      </c>
      <c r="YR40" s="1447">
        <f t="shared" si="541"/>
        <v>475731833.11999995</v>
      </c>
      <c r="YS40" s="1447">
        <f t="shared" si="541"/>
        <v>51888578.649999999</v>
      </c>
      <c r="YT40" s="1447">
        <f t="shared" si="541"/>
        <v>51225900</v>
      </c>
      <c r="YU40" s="1447">
        <f t="shared" si="541"/>
        <v>222461092.38</v>
      </c>
      <c r="YV40" s="1447">
        <f t="shared" ref="YV40:AAS40" si="543">YV30-YV41</f>
        <v>86537449.520000011</v>
      </c>
      <c r="YW40" s="1447">
        <f t="shared" si="543"/>
        <v>63618812.569999985</v>
      </c>
      <c r="YX40" s="1447">
        <f t="shared" si="543"/>
        <v>229180508.05999997</v>
      </c>
      <c r="YY40" s="1447">
        <f t="shared" si="543"/>
        <v>50221173.329999998</v>
      </c>
      <c r="YZ40" s="1447">
        <f t="shared" si="543"/>
        <v>51225900</v>
      </c>
      <c r="ZA40" s="1447">
        <f t="shared" si="543"/>
        <v>50820456.340000004</v>
      </c>
      <c r="ZB40" s="1447">
        <f t="shared" si="543"/>
        <v>13399655.76</v>
      </c>
      <c r="ZC40" s="1447">
        <f t="shared" si="543"/>
        <v>63513322.629999988</v>
      </c>
      <c r="ZD40" s="1447">
        <f t="shared" si="543"/>
        <v>390675974.35000002</v>
      </c>
      <c r="ZE40" s="1447">
        <f t="shared" si="543"/>
        <v>39589674.650000006</v>
      </c>
      <c r="ZF40" s="1447">
        <f t="shared" si="543"/>
        <v>0</v>
      </c>
      <c r="ZG40" s="1447">
        <f t="shared" si="543"/>
        <v>202547384.91</v>
      </c>
      <c r="ZH40" s="1447">
        <f t="shared" si="543"/>
        <v>86537449.520000011</v>
      </c>
      <c r="ZI40" s="1447">
        <f t="shared" si="543"/>
        <v>62001465.269999988</v>
      </c>
      <c r="ZJ40" s="1447">
        <f t="shared" si="543"/>
        <v>164874215.35999998</v>
      </c>
      <c r="ZK40" s="1447">
        <f t="shared" si="543"/>
        <v>38758127.929999992</v>
      </c>
      <c r="ZL40" s="1447">
        <f t="shared" si="543"/>
        <v>0</v>
      </c>
      <c r="ZM40" s="1447">
        <f t="shared" si="543"/>
        <v>50820456.340000004</v>
      </c>
      <c r="ZN40" s="1447">
        <f t="shared" si="543"/>
        <v>13399655.76</v>
      </c>
      <c r="ZO40" s="1447">
        <f t="shared" si="543"/>
        <v>61895975.329999991</v>
      </c>
      <c r="ZP40" s="1447">
        <f t="shared" si="543"/>
        <v>85055858.769999996</v>
      </c>
      <c r="ZQ40" s="1447">
        <f t="shared" si="543"/>
        <v>12298904</v>
      </c>
      <c r="ZR40" s="1447">
        <f t="shared" si="543"/>
        <v>51225900</v>
      </c>
      <c r="ZS40" s="1447">
        <f t="shared" si="543"/>
        <v>19913707.469999999</v>
      </c>
      <c r="ZT40" s="1447">
        <f t="shared" si="543"/>
        <v>0</v>
      </c>
      <c r="ZU40" s="1447">
        <f t="shared" si="543"/>
        <v>1617347.3000000003</v>
      </c>
      <c r="ZV40" s="1447">
        <f t="shared" si="543"/>
        <v>64306292.700000003</v>
      </c>
      <c r="ZW40" s="1447">
        <f t="shared" si="543"/>
        <v>11463045.4</v>
      </c>
      <c r="ZX40" s="1447">
        <f t="shared" si="543"/>
        <v>51225900</v>
      </c>
      <c r="ZY40" s="1447">
        <f t="shared" si="543"/>
        <v>0</v>
      </c>
      <c r="ZZ40" s="1447">
        <f t="shared" si="543"/>
        <v>0</v>
      </c>
      <c r="AAA40" s="1447">
        <f t="shared" si="543"/>
        <v>1617347.3000000003</v>
      </c>
      <c r="AAB40" s="1447">
        <f t="shared" si="543"/>
        <v>-37900000</v>
      </c>
      <c r="AAC40" s="1447">
        <f t="shared" si="543"/>
        <v>0</v>
      </c>
      <c r="AAD40" s="1447">
        <f t="shared" si="543"/>
        <v>0</v>
      </c>
      <c r="AAE40" s="1447">
        <f t="shared" si="543"/>
        <v>0</v>
      </c>
      <c r="AAF40" s="1447">
        <f t="shared" si="543"/>
        <v>0</v>
      </c>
      <c r="AAG40" s="1447">
        <f t="shared" si="543"/>
        <v>0</v>
      </c>
      <c r="AAH40" s="1447">
        <f t="shared" si="543"/>
        <v>0</v>
      </c>
      <c r="AAI40" s="1447">
        <f t="shared" si="543"/>
        <v>0</v>
      </c>
      <c r="AAJ40" s="1447">
        <f t="shared" si="543"/>
        <v>0</v>
      </c>
      <c r="AAK40" s="1447">
        <f t="shared" si="543"/>
        <v>0</v>
      </c>
      <c r="AAL40" s="1447">
        <f t="shared" si="543"/>
        <v>-36700000</v>
      </c>
      <c r="AAM40" s="1447">
        <f t="shared" si="543"/>
        <v>0</v>
      </c>
      <c r="AAN40" s="1447">
        <f t="shared" si="543"/>
        <v>-1200000</v>
      </c>
      <c r="AAO40" s="1447">
        <f t="shared" si="543"/>
        <v>0</v>
      </c>
      <c r="AAP40" s="1447">
        <f t="shared" si="543"/>
        <v>-550000</v>
      </c>
      <c r="AAQ40" s="1447">
        <f t="shared" si="543"/>
        <v>0</v>
      </c>
      <c r="AAR40" s="1447">
        <f t="shared" si="543"/>
        <v>-650000</v>
      </c>
      <c r="AAS40" s="1447">
        <f t="shared" si="543"/>
        <v>0</v>
      </c>
      <c r="AAT40" s="1086"/>
      <c r="AAU40" s="791"/>
    </row>
    <row r="41" spans="1:723" ht="16.5" x14ac:dyDescent="0.25">
      <c r="A41" s="1091" t="s">
        <v>749</v>
      </c>
      <c r="B41" s="1448">
        <f t="shared" ref="B41:BJ41" si="544">B12+B13+B14+B15</f>
        <v>4449454991.6600008</v>
      </c>
      <c r="C41" s="1448">
        <f t="shared" si="544"/>
        <v>2763204658.9200001</v>
      </c>
      <c r="D41" s="1448">
        <f t="shared" si="544"/>
        <v>864298752</v>
      </c>
      <c r="E41" s="1448">
        <f t="shared" si="544"/>
        <v>562968000</v>
      </c>
      <c r="F41" s="1448">
        <f t="shared" si="544"/>
        <v>671918752</v>
      </c>
      <c r="G41" s="1448">
        <f t="shared" si="544"/>
        <v>488168000</v>
      </c>
      <c r="H41" s="1448">
        <f t="shared" si="544"/>
        <v>0</v>
      </c>
      <c r="I41" s="1448">
        <f t="shared" si="544"/>
        <v>0</v>
      </c>
      <c r="J41" s="1448">
        <f t="shared" si="544"/>
        <v>0</v>
      </c>
      <c r="K41" s="1448">
        <f t="shared" si="544"/>
        <v>0</v>
      </c>
      <c r="L41" s="1448">
        <f t="shared" si="544"/>
        <v>0</v>
      </c>
      <c r="M41" s="1448">
        <f t="shared" si="544"/>
        <v>0</v>
      </c>
      <c r="N41" s="1448">
        <f t="shared" si="544"/>
        <v>189680000</v>
      </c>
      <c r="O41" s="1448">
        <f t="shared" si="544"/>
        <v>72100000</v>
      </c>
      <c r="P41" s="1448">
        <f t="shared" si="544"/>
        <v>0</v>
      </c>
      <c r="Q41" s="1448">
        <f t="shared" si="544"/>
        <v>0</v>
      </c>
      <c r="R41" s="1448">
        <f t="shared" si="544"/>
        <v>0</v>
      </c>
      <c r="S41" s="1448">
        <f t="shared" si="544"/>
        <v>0</v>
      </c>
      <c r="T41" s="1448">
        <f t="shared" si="544"/>
        <v>0</v>
      </c>
      <c r="U41" s="1448">
        <f t="shared" si="544"/>
        <v>0</v>
      </c>
      <c r="V41" s="1448">
        <f t="shared" si="544"/>
        <v>2700000</v>
      </c>
      <c r="W41" s="1448">
        <f t="shared" ref="W41:Y41" si="545">W12+W13+W14+W15</f>
        <v>600000</v>
      </c>
      <c r="X41" s="1448">
        <f t="shared" si="545"/>
        <v>2100000</v>
      </c>
      <c r="Y41" s="1448">
        <f t="shared" si="545"/>
        <v>0</v>
      </c>
      <c r="Z41" s="1448">
        <f t="shared" si="544"/>
        <v>2700000</v>
      </c>
      <c r="AA41" s="1448">
        <f t="shared" si="544"/>
        <v>600000</v>
      </c>
      <c r="AB41" s="1448">
        <f t="shared" si="544"/>
        <v>2100000</v>
      </c>
      <c r="AC41" s="1448">
        <f t="shared" si="544"/>
        <v>0</v>
      </c>
      <c r="AD41" s="1448">
        <f t="shared" si="544"/>
        <v>0</v>
      </c>
      <c r="AE41" s="1448">
        <f t="shared" ref="AE41:AF41" si="546">AE12+AE13+AE14+AE15</f>
        <v>0</v>
      </c>
      <c r="AF41" s="1448">
        <f t="shared" si="546"/>
        <v>0</v>
      </c>
      <c r="AG41" s="1448">
        <f t="shared" si="544"/>
        <v>0</v>
      </c>
      <c r="AH41" s="1448">
        <f t="shared" si="544"/>
        <v>0</v>
      </c>
      <c r="AI41" s="1448">
        <f t="shared" si="544"/>
        <v>0</v>
      </c>
      <c r="AJ41" s="1448">
        <f t="shared" si="544"/>
        <v>0</v>
      </c>
      <c r="AK41" s="1448">
        <f t="shared" si="544"/>
        <v>0</v>
      </c>
      <c r="AL41" s="1448">
        <f t="shared" si="544"/>
        <v>0</v>
      </c>
      <c r="AM41" s="1448">
        <f t="shared" si="544"/>
        <v>0</v>
      </c>
      <c r="AN41" s="1448">
        <f t="shared" si="544"/>
        <v>1901822779.3299999</v>
      </c>
      <c r="AO41" s="1448">
        <f t="shared" si="544"/>
        <v>1072737231.8099999</v>
      </c>
      <c r="AP41" s="1448">
        <f t="shared" si="544"/>
        <v>177055728.73999998</v>
      </c>
      <c r="AQ41" s="1448">
        <f t="shared" si="544"/>
        <v>177055728.73999998</v>
      </c>
      <c r="AR41" s="1448">
        <f t="shared" si="544"/>
        <v>0</v>
      </c>
      <c r="AS41" s="1448">
        <f t="shared" si="544"/>
        <v>39872766.530000001</v>
      </c>
      <c r="AT41" s="1448">
        <f t="shared" si="544"/>
        <v>39872766.530000001</v>
      </c>
      <c r="AU41" s="1448">
        <f t="shared" si="544"/>
        <v>0</v>
      </c>
      <c r="AV41" s="1448">
        <f t="shared" si="544"/>
        <v>0</v>
      </c>
      <c r="AW41" s="1448">
        <f t="shared" si="544"/>
        <v>0</v>
      </c>
      <c r="AX41" s="1448">
        <f t="shared" si="544"/>
        <v>0</v>
      </c>
      <c r="AY41" s="1448">
        <f t="shared" si="544"/>
        <v>0</v>
      </c>
      <c r="AZ41" s="1448">
        <f t="shared" si="544"/>
        <v>0</v>
      </c>
      <c r="BA41" s="1448">
        <f t="shared" si="544"/>
        <v>0</v>
      </c>
      <c r="BB41" s="1448">
        <f t="shared" si="544"/>
        <v>0</v>
      </c>
      <c r="BC41" s="1448">
        <f t="shared" si="544"/>
        <v>0</v>
      </c>
      <c r="BD41" s="1448">
        <f t="shared" si="544"/>
        <v>0</v>
      </c>
      <c r="BE41" s="1448">
        <f t="shared" si="544"/>
        <v>0</v>
      </c>
      <c r="BF41" s="1448">
        <f t="shared" si="544"/>
        <v>0</v>
      </c>
      <c r="BG41" s="1448">
        <f t="shared" si="544"/>
        <v>0</v>
      </c>
      <c r="BH41" s="1448">
        <f t="shared" si="544"/>
        <v>0</v>
      </c>
      <c r="BI41" s="1448">
        <f t="shared" si="544"/>
        <v>0</v>
      </c>
      <c r="BJ41" s="1448">
        <f t="shared" si="544"/>
        <v>0</v>
      </c>
      <c r="BK41" s="1448">
        <f t="shared" ref="BK41:DV41" si="547">BK12+BK13+BK14+BK15</f>
        <v>0</v>
      </c>
      <c r="BL41" s="1448">
        <f t="shared" si="547"/>
        <v>0</v>
      </c>
      <c r="BM41" s="1448">
        <f t="shared" si="547"/>
        <v>0</v>
      </c>
      <c r="BN41" s="1448">
        <f t="shared" si="547"/>
        <v>0</v>
      </c>
      <c r="BO41" s="1448">
        <f t="shared" si="547"/>
        <v>0</v>
      </c>
      <c r="BP41" s="1448">
        <f t="shared" si="547"/>
        <v>0</v>
      </c>
      <c r="BQ41" s="1448">
        <f t="shared" si="547"/>
        <v>0</v>
      </c>
      <c r="BR41" s="1448">
        <f t="shared" si="547"/>
        <v>0</v>
      </c>
      <c r="BS41" s="1448">
        <f t="shared" si="547"/>
        <v>0</v>
      </c>
      <c r="BT41" s="1448">
        <f t="shared" si="547"/>
        <v>208751660.94999999</v>
      </c>
      <c r="BU41" s="1448">
        <f t="shared" si="547"/>
        <v>143598660.94999999</v>
      </c>
      <c r="BV41" s="1448">
        <f t="shared" si="547"/>
        <v>65153000</v>
      </c>
      <c r="BW41" s="1448">
        <f t="shared" si="547"/>
        <v>9310000</v>
      </c>
      <c r="BX41" s="1448">
        <f t="shared" si="547"/>
        <v>0</v>
      </c>
      <c r="BY41" s="1448">
        <f t="shared" si="547"/>
        <v>9310000</v>
      </c>
      <c r="BZ41" s="1448">
        <f t="shared" si="547"/>
        <v>0</v>
      </c>
      <c r="CA41" s="1448">
        <f t="shared" si="547"/>
        <v>0</v>
      </c>
      <c r="CB41" s="1448">
        <f t="shared" si="547"/>
        <v>0</v>
      </c>
      <c r="CC41" s="1448">
        <f t="shared" si="547"/>
        <v>0</v>
      </c>
      <c r="CD41" s="1448">
        <f t="shared" si="547"/>
        <v>0</v>
      </c>
      <c r="CE41" s="1448">
        <f t="shared" si="547"/>
        <v>0</v>
      </c>
      <c r="CF41" s="1448">
        <f t="shared" si="547"/>
        <v>0</v>
      </c>
      <c r="CG41" s="1448">
        <f t="shared" si="547"/>
        <v>0</v>
      </c>
      <c r="CH41" s="1448">
        <f t="shared" si="547"/>
        <v>39374972.289999999</v>
      </c>
      <c r="CI41" s="1448">
        <f t="shared" si="547"/>
        <v>0</v>
      </c>
      <c r="CJ41" s="1448">
        <f t="shared" si="547"/>
        <v>39374972.289999999</v>
      </c>
      <c r="CK41" s="1448">
        <f t="shared" si="547"/>
        <v>5989722.3200000003</v>
      </c>
      <c r="CL41" s="1448">
        <f t="shared" si="547"/>
        <v>0</v>
      </c>
      <c r="CM41" s="1448">
        <f t="shared" si="547"/>
        <v>5989722.3200000003</v>
      </c>
      <c r="CN41" s="1448">
        <f t="shared" si="547"/>
        <v>6726687.7300000004</v>
      </c>
      <c r="CO41" s="1448">
        <f t="shared" si="547"/>
        <v>0</v>
      </c>
      <c r="CP41" s="1448">
        <f t="shared" si="547"/>
        <v>0</v>
      </c>
      <c r="CQ41" s="1448">
        <f t="shared" si="547"/>
        <v>0</v>
      </c>
      <c r="CR41" s="1448">
        <f t="shared" si="547"/>
        <v>0</v>
      </c>
      <c r="CS41" s="1448">
        <f t="shared" si="547"/>
        <v>6726687.7300000004</v>
      </c>
      <c r="CT41" s="1448">
        <f t="shared" si="547"/>
        <v>0</v>
      </c>
      <c r="CU41" s="1448">
        <f t="shared" si="547"/>
        <v>0</v>
      </c>
      <c r="CV41" s="1448">
        <f t="shared" si="547"/>
        <v>0</v>
      </c>
      <c r="CW41" s="1448">
        <f t="shared" si="547"/>
        <v>0</v>
      </c>
      <c r="CX41" s="1448">
        <f t="shared" si="547"/>
        <v>0</v>
      </c>
      <c r="CY41" s="1448">
        <f t="shared" si="547"/>
        <v>0</v>
      </c>
      <c r="CZ41" s="1448">
        <f t="shared" si="547"/>
        <v>0</v>
      </c>
      <c r="DA41" s="1448">
        <f t="shared" si="547"/>
        <v>0</v>
      </c>
      <c r="DB41" s="1448">
        <f t="shared" si="547"/>
        <v>0</v>
      </c>
      <c r="DC41" s="1448">
        <f t="shared" si="547"/>
        <v>0</v>
      </c>
      <c r="DD41" s="1448">
        <f t="shared" si="547"/>
        <v>0</v>
      </c>
      <c r="DE41" s="1448">
        <f t="shared" si="547"/>
        <v>0</v>
      </c>
      <c r="DF41" s="1448">
        <f t="shared" si="547"/>
        <v>0</v>
      </c>
      <c r="DG41" s="1448">
        <f t="shared" si="547"/>
        <v>0</v>
      </c>
      <c r="DH41" s="1448">
        <f t="shared" si="547"/>
        <v>0</v>
      </c>
      <c r="DI41" s="1448">
        <f t="shared" si="547"/>
        <v>0</v>
      </c>
      <c r="DJ41" s="1448">
        <f t="shared" si="547"/>
        <v>0</v>
      </c>
      <c r="DK41" s="1448">
        <f t="shared" si="547"/>
        <v>0</v>
      </c>
      <c r="DL41" s="1448">
        <f t="shared" si="547"/>
        <v>0</v>
      </c>
      <c r="DM41" s="1448">
        <f t="shared" si="547"/>
        <v>0</v>
      </c>
      <c r="DN41" s="1448">
        <f t="shared" si="547"/>
        <v>0</v>
      </c>
      <c r="DO41" s="1448">
        <f t="shared" si="547"/>
        <v>0</v>
      </c>
      <c r="DP41" s="1448">
        <f t="shared" si="547"/>
        <v>0</v>
      </c>
      <c r="DQ41" s="1448">
        <f t="shared" si="547"/>
        <v>0</v>
      </c>
      <c r="DR41" s="1448">
        <f t="shared" si="547"/>
        <v>0</v>
      </c>
      <c r="DS41" s="1448">
        <f t="shared" si="547"/>
        <v>0</v>
      </c>
      <c r="DT41" s="1448">
        <f t="shared" si="547"/>
        <v>0</v>
      </c>
      <c r="DU41" s="1448">
        <f t="shared" si="547"/>
        <v>0</v>
      </c>
      <c r="DV41" s="1448">
        <f t="shared" si="547"/>
        <v>0</v>
      </c>
      <c r="DW41" s="1448">
        <f t="shared" ref="DW41:GH41" si="548">DW12+DW13+DW14+DW15</f>
        <v>0</v>
      </c>
      <c r="DX41" s="1448">
        <f t="shared" si="548"/>
        <v>0</v>
      </c>
      <c r="DY41" s="1448">
        <f t="shared" si="548"/>
        <v>0</v>
      </c>
      <c r="DZ41" s="1448">
        <f t="shared" si="548"/>
        <v>0</v>
      </c>
      <c r="EA41" s="1448">
        <f t="shared" si="548"/>
        <v>0</v>
      </c>
      <c r="EB41" s="1448">
        <f t="shared" si="548"/>
        <v>0</v>
      </c>
      <c r="EC41" s="1448">
        <f t="shared" si="548"/>
        <v>0</v>
      </c>
      <c r="ED41" s="1448">
        <f t="shared" si="548"/>
        <v>0</v>
      </c>
      <c r="EE41" s="1448">
        <f t="shared" si="548"/>
        <v>0</v>
      </c>
      <c r="EF41" s="1448">
        <f t="shared" si="548"/>
        <v>0</v>
      </c>
      <c r="EG41" s="1448">
        <f t="shared" si="548"/>
        <v>0</v>
      </c>
      <c r="EH41" s="1448">
        <f t="shared" si="548"/>
        <v>0</v>
      </c>
      <c r="EI41" s="1448">
        <f t="shared" si="548"/>
        <v>0</v>
      </c>
      <c r="EJ41" s="1448">
        <f t="shared" si="548"/>
        <v>0</v>
      </c>
      <c r="EK41" s="1448">
        <f t="shared" si="548"/>
        <v>0</v>
      </c>
      <c r="EL41" s="1448">
        <f t="shared" si="548"/>
        <v>0</v>
      </c>
      <c r="EM41" s="1448">
        <f t="shared" si="548"/>
        <v>0</v>
      </c>
      <c r="EN41" s="1448">
        <f t="shared" si="548"/>
        <v>0</v>
      </c>
      <c r="EO41" s="1448">
        <f t="shared" si="548"/>
        <v>0</v>
      </c>
      <c r="EP41" s="1448">
        <f t="shared" si="548"/>
        <v>0</v>
      </c>
      <c r="EQ41" s="1448">
        <f t="shared" si="548"/>
        <v>0</v>
      </c>
      <c r="ER41" s="1448">
        <f t="shared" si="548"/>
        <v>0</v>
      </c>
      <c r="ES41" s="1448">
        <f t="shared" si="548"/>
        <v>0</v>
      </c>
      <c r="ET41" s="1448">
        <f t="shared" si="548"/>
        <v>2027026.14</v>
      </c>
      <c r="EU41" s="1448">
        <f t="shared" si="548"/>
        <v>529080.10999999987</v>
      </c>
      <c r="EV41" s="1448">
        <f t="shared" si="548"/>
        <v>1497946.03</v>
      </c>
      <c r="EW41" s="1448">
        <f t="shared" si="548"/>
        <v>0</v>
      </c>
      <c r="EX41" s="1448">
        <f t="shared" si="548"/>
        <v>0</v>
      </c>
      <c r="EY41" s="1448">
        <f t="shared" si="548"/>
        <v>0</v>
      </c>
      <c r="EZ41" s="1448">
        <f t="shared" si="548"/>
        <v>0</v>
      </c>
      <c r="FA41" s="1448">
        <f t="shared" si="548"/>
        <v>0</v>
      </c>
      <c r="FB41" s="1448">
        <f t="shared" si="548"/>
        <v>0</v>
      </c>
      <c r="FC41" s="1448">
        <f t="shared" si="548"/>
        <v>0</v>
      </c>
      <c r="FD41" s="1448">
        <f t="shared" si="548"/>
        <v>0</v>
      </c>
      <c r="FE41" s="1448">
        <f t="shared" si="548"/>
        <v>0</v>
      </c>
      <c r="FF41" s="1448">
        <f t="shared" si="548"/>
        <v>0</v>
      </c>
      <c r="FG41" s="1448">
        <f t="shared" si="548"/>
        <v>0</v>
      </c>
      <c r="FH41" s="1448">
        <f t="shared" si="548"/>
        <v>0</v>
      </c>
      <c r="FI41" s="1448">
        <f t="shared" si="548"/>
        <v>0</v>
      </c>
      <c r="FJ41" s="1448">
        <f t="shared" si="548"/>
        <v>0</v>
      </c>
      <c r="FK41" s="1448">
        <f t="shared" si="548"/>
        <v>0</v>
      </c>
      <c r="FL41" s="1448">
        <f t="shared" si="548"/>
        <v>0</v>
      </c>
      <c r="FM41" s="1448">
        <f t="shared" si="548"/>
        <v>0</v>
      </c>
      <c r="FN41" s="1448">
        <f t="shared" si="548"/>
        <v>0</v>
      </c>
      <c r="FO41" s="1448">
        <f t="shared" si="548"/>
        <v>0</v>
      </c>
      <c r="FP41" s="1448">
        <f t="shared" si="548"/>
        <v>0</v>
      </c>
      <c r="FQ41" s="1448">
        <f t="shared" si="548"/>
        <v>0</v>
      </c>
      <c r="FR41" s="1448">
        <f t="shared" si="548"/>
        <v>0</v>
      </c>
      <c r="FS41" s="1448">
        <f t="shared" si="548"/>
        <v>0</v>
      </c>
      <c r="FT41" s="1448">
        <f t="shared" si="548"/>
        <v>0</v>
      </c>
      <c r="FU41" s="1448">
        <f t="shared" si="548"/>
        <v>0</v>
      </c>
      <c r="FV41" s="1448">
        <f t="shared" si="548"/>
        <v>0</v>
      </c>
      <c r="FW41" s="1448">
        <f t="shared" si="548"/>
        <v>0</v>
      </c>
      <c r="FX41" s="1448">
        <f t="shared" si="548"/>
        <v>175996012.35999998</v>
      </c>
      <c r="FY41" s="1448">
        <f t="shared" si="548"/>
        <v>18908632.130000003</v>
      </c>
      <c r="FZ41" s="1448">
        <f t="shared" si="548"/>
        <v>157087380.22999999</v>
      </c>
      <c r="GA41" s="1448">
        <f t="shared" si="548"/>
        <v>165355175.5</v>
      </c>
      <c r="GB41" s="1448">
        <f t="shared" si="548"/>
        <v>8267795.2799999993</v>
      </c>
      <c r="GC41" s="1448">
        <f t="shared" si="548"/>
        <v>157087380.22</v>
      </c>
      <c r="GD41" s="1448">
        <f t="shared" si="548"/>
        <v>0</v>
      </c>
      <c r="GE41" s="1448">
        <f t="shared" si="548"/>
        <v>0</v>
      </c>
      <c r="GF41" s="1448">
        <f t="shared" si="548"/>
        <v>0</v>
      </c>
      <c r="GG41" s="1448">
        <f t="shared" si="548"/>
        <v>0</v>
      </c>
      <c r="GH41" s="1448">
        <f t="shared" si="548"/>
        <v>0</v>
      </c>
      <c r="GI41" s="1448">
        <f t="shared" ref="GI41:IT41" si="549">GI12+GI13+GI14+GI15</f>
        <v>0</v>
      </c>
      <c r="GJ41" s="1448">
        <f t="shared" si="549"/>
        <v>0</v>
      </c>
      <c r="GK41" s="1448">
        <f t="shared" si="549"/>
        <v>0</v>
      </c>
      <c r="GL41" s="1448">
        <f t="shared" si="549"/>
        <v>0</v>
      </c>
      <c r="GM41" s="1448">
        <f t="shared" si="549"/>
        <v>0</v>
      </c>
      <c r="GN41" s="1448">
        <f t="shared" si="549"/>
        <v>0</v>
      </c>
      <c r="GO41" s="1448">
        <f t="shared" si="549"/>
        <v>0</v>
      </c>
      <c r="GP41" s="1448">
        <f t="shared" si="549"/>
        <v>0</v>
      </c>
      <c r="GQ41" s="1448">
        <f t="shared" si="549"/>
        <v>0</v>
      </c>
      <c r="GR41" s="1448">
        <f t="shared" si="549"/>
        <v>0</v>
      </c>
      <c r="GS41" s="1448">
        <f t="shared" si="549"/>
        <v>0</v>
      </c>
      <c r="GT41" s="1448">
        <f t="shared" si="549"/>
        <v>0</v>
      </c>
      <c r="GU41" s="1448">
        <f t="shared" si="549"/>
        <v>0</v>
      </c>
      <c r="GV41" s="1448">
        <f t="shared" si="549"/>
        <v>0</v>
      </c>
      <c r="GW41" s="1448">
        <f t="shared" si="549"/>
        <v>0</v>
      </c>
      <c r="GX41" s="1448">
        <f t="shared" si="549"/>
        <v>0</v>
      </c>
      <c r="GY41" s="1448">
        <f t="shared" si="549"/>
        <v>0</v>
      </c>
      <c r="GZ41" s="1448">
        <f t="shared" si="549"/>
        <v>0</v>
      </c>
      <c r="HA41" s="1448">
        <f t="shared" si="549"/>
        <v>0</v>
      </c>
      <c r="HB41" s="1448">
        <f t="shared" si="549"/>
        <v>0</v>
      </c>
      <c r="HC41" s="1448">
        <f t="shared" si="549"/>
        <v>0</v>
      </c>
      <c r="HD41" s="1448">
        <f t="shared" si="549"/>
        <v>0</v>
      </c>
      <c r="HE41" s="1448">
        <f t="shared" si="549"/>
        <v>0</v>
      </c>
      <c r="HF41" s="1448">
        <f t="shared" si="549"/>
        <v>0</v>
      </c>
      <c r="HG41" s="1448">
        <f t="shared" si="549"/>
        <v>0</v>
      </c>
      <c r="HH41" s="1448">
        <f t="shared" si="549"/>
        <v>0</v>
      </c>
      <c r="HI41" s="1448">
        <f t="shared" si="549"/>
        <v>0</v>
      </c>
      <c r="HJ41" s="1448">
        <f t="shared" si="549"/>
        <v>0</v>
      </c>
      <c r="HK41" s="1448">
        <f t="shared" si="549"/>
        <v>0</v>
      </c>
      <c r="HL41" s="1448">
        <f t="shared" si="549"/>
        <v>0</v>
      </c>
      <c r="HM41" s="1448">
        <f t="shared" si="549"/>
        <v>0</v>
      </c>
      <c r="HN41" s="1448">
        <f t="shared" si="549"/>
        <v>0</v>
      </c>
      <c r="HO41" s="1448">
        <f t="shared" si="549"/>
        <v>0</v>
      </c>
      <c r="HP41" s="1448">
        <f t="shared" si="549"/>
        <v>0</v>
      </c>
      <c r="HQ41" s="1448">
        <f t="shared" si="549"/>
        <v>0</v>
      </c>
      <c r="HR41" s="1448">
        <f t="shared" si="549"/>
        <v>0</v>
      </c>
      <c r="HS41" s="1448">
        <f t="shared" si="549"/>
        <v>0</v>
      </c>
      <c r="HT41" s="1448">
        <f t="shared" si="549"/>
        <v>0</v>
      </c>
      <c r="HU41" s="1448">
        <f t="shared" si="549"/>
        <v>0</v>
      </c>
      <c r="HV41" s="1448">
        <f t="shared" si="549"/>
        <v>0</v>
      </c>
      <c r="HW41" s="1448">
        <f t="shared" si="549"/>
        <v>0</v>
      </c>
      <c r="HX41" s="1448">
        <f t="shared" si="549"/>
        <v>0</v>
      </c>
      <c r="HY41" s="1448">
        <f t="shared" si="549"/>
        <v>0</v>
      </c>
      <c r="HZ41" s="1448">
        <f t="shared" si="549"/>
        <v>0</v>
      </c>
      <c r="IA41" s="1448">
        <f t="shared" si="549"/>
        <v>0</v>
      </c>
      <c r="IB41" s="1448">
        <f t="shared" si="549"/>
        <v>0</v>
      </c>
      <c r="IC41" s="1448">
        <f t="shared" si="549"/>
        <v>0</v>
      </c>
      <c r="ID41" s="1448">
        <f t="shared" si="549"/>
        <v>0</v>
      </c>
      <c r="IE41" s="1448">
        <f t="shared" si="549"/>
        <v>0</v>
      </c>
      <c r="IF41" s="1448">
        <f t="shared" si="549"/>
        <v>0</v>
      </c>
      <c r="IG41" s="1448">
        <f t="shared" si="549"/>
        <v>0</v>
      </c>
      <c r="IH41" s="1448">
        <f t="shared" si="549"/>
        <v>0</v>
      </c>
      <c r="II41" s="1448">
        <f t="shared" si="549"/>
        <v>0</v>
      </c>
      <c r="IJ41" s="1448">
        <f t="shared" si="549"/>
        <v>0</v>
      </c>
      <c r="IK41" s="1448">
        <f t="shared" si="549"/>
        <v>0</v>
      </c>
      <c r="IL41" s="1448">
        <f t="shared" si="549"/>
        <v>0</v>
      </c>
      <c r="IM41" s="1448">
        <f t="shared" si="549"/>
        <v>0</v>
      </c>
      <c r="IN41" s="1448">
        <f t="shared" si="549"/>
        <v>0</v>
      </c>
      <c r="IO41" s="1448">
        <f t="shared" si="549"/>
        <v>0</v>
      </c>
      <c r="IP41" s="1448">
        <f t="shared" si="549"/>
        <v>0</v>
      </c>
      <c r="IQ41" s="1448">
        <f t="shared" si="549"/>
        <v>0</v>
      </c>
      <c r="IR41" s="1448">
        <f t="shared" si="549"/>
        <v>0</v>
      </c>
      <c r="IS41" s="1448">
        <f t="shared" si="549"/>
        <v>0</v>
      </c>
      <c r="IT41" s="1448">
        <f t="shared" si="549"/>
        <v>0</v>
      </c>
      <c r="IU41" s="1448">
        <f t="shared" ref="IU41:LF41" si="550">IU12+IU13+IU14+IU15</f>
        <v>0</v>
      </c>
      <c r="IV41" s="1448">
        <f t="shared" si="550"/>
        <v>0</v>
      </c>
      <c r="IW41" s="1448">
        <f t="shared" si="550"/>
        <v>0</v>
      </c>
      <c r="IX41" s="1448">
        <f t="shared" si="550"/>
        <v>0</v>
      </c>
      <c r="IY41" s="1448">
        <f t="shared" si="550"/>
        <v>0</v>
      </c>
      <c r="IZ41" s="1448">
        <f t="shared" si="550"/>
        <v>0</v>
      </c>
      <c r="JA41" s="1448">
        <f t="shared" si="550"/>
        <v>0</v>
      </c>
      <c r="JB41" s="1448">
        <f t="shared" si="550"/>
        <v>0</v>
      </c>
      <c r="JC41" s="1448">
        <f t="shared" si="550"/>
        <v>0</v>
      </c>
      <c r="JD41" s="1448">
        <f t="shared" si="550"/>
        <v>0</v>
      </c>
      <c r="JE41" s="1448">
        <f t="shared" si="550"/>
        <v>0</v>
      </c>
      <c r="JF41" s="1448">
        <f t="shared" si="550"/>
        <v>0</v>
      </c>
      <c r="JG41" s="1448">
        <f t="shared" si="550"/>
        <v>0</v>
      </c>
      <c r="JH41" s="1448">
        <f t="shared" si="550"/>
        <v>0</v>
      </c>
      <c r="JI41" s="1448">
        <f t="shared" si="550"/>
        <v>0</v>
      </c>
      <c r="JJ41" s="1448">
        <f t="shared" si="550"/>
        <v>0</v>
      </c>
      <c r="JK41" s="1448">
        <f t="shared" si="550"/>
        <v>0</v>
      </c>
      <c r="JL41" s="1448">
        <f t="shared" si="550"/>
        <v>0</v>
      </c>
      <c r="JM41" s="1448">
        <f t="shared" si="550"/>
        <v>0</v>
      </c>
      <c r="JN41" s="1448">
        <f t="shared" si="550"/>
        <v>0</v>
      </c>
      <c r="JO41" s="1448">
        <f t="shared" si="550"/>
        <v>0</v>
      </c>
      <c r="JP41" s="1448">
        <f t="shared" si="550"/>
        <v>0</v>
      </c>
      <c r="JQ41" s="1448">
        <f t="shared" si="550"/>
        <v>0</v>
      </c>
      <c r="JR41" s="1448">
        <f t="shared" si="550"/>
        <v>0</v>
      </c>
      <c r="JS41" s="1448">
        <f t="shared" si="550"/>
        <v>0</v>
      </c>
      <c r="JT41" s="1448">
        <f t="shared" si="550"/>
        <v>0</v>
      </c>
      <c r="JU41" s="1448">
        <f t="shared" si="550"/>
        <v>0</v>
      </c>
      <c r="JV41" s="1448">
        <f t="shared" si="550"/>
        <v>-789961.17999999993</v>
      </c>
      <c r="JW41" s="1448">
        <f t="shared" si="550"/>
        <v>-205389.90999999997</v>
      </c>
      <c r="JX41" s="1448">
        <f t="shared" si="550"/>
        <v>-584571.27</v>
      </c>
      <c r="JY41" s="1448">
        <f t="shared" si="550"/>
        <v>0</v>
      </c>
      <c r="JZ41" s="1448">
        <f t="shared" si="550"/>
        <v>0</v>
      </c>
      <c r="KA41" s="1448">
        <f t="shared" si="550"/>
        <v>0</v>
      </c>
      <c r="KB41" s="1448">
        <f t="shared" si="550"/>
        <v>789961.17999999993</v>
      </c>
      <c r="KC41" s="1448">
        <f t="shared" si="550"/>
        <v>205389.90999999997</v>
      </c>
      <c r="KD41" s="1448">
        <f t="shared" si="550"/>
        <v>584571.27</v>
      </c>
      <c r="KE41" s="1448">
        <f t="shared" si="550"/>
        <v>0</v>
      </c>
      <c r="KF41" s="1448">
        <f t="shared" si="550"/>
        <v>0</v>
      </c>
      <c r="KG41" s="1448">
        <f t="shared" si="550"/>
        <v>0</v>
      </c>
      <c r="KH41" s="1448">
        <f t="shared" si="550"/>
        <v>6439703.6000000006</v>
      </c>
      <c r="KI41" s="1448">
        <f t="shared" si="550"/>
        <v>3716550</v>
      </c>
      <c r="KJ41" s="1448">
        <f t="shared" si="550"/>
        <v>2123443.6</v>
      </c>
      <c r="KK41" s="1448">
        <f t="shared" si="550"/>
        <v>218023.18</v>
      </c>
      <c r="KL41" s="1448">
        <f t="shared" si="550"/>
        <v>381686.82</v>
      </c>
      <c r="KM41" s="1448">
        <f t="shared" si="550"/>
        <v>48420</v>
      </c>
      <c r="KN41" s="1448">
        <f t="shared" si="550"/>
        <v>0</v>
      </c>
      <c r="KO41" s="1448">
        <f t="shared" si="550"/>
        <v>0</v>
      </c>
      <c r="KP41" s="1448">
        <f>KP12+KP13+KP14+KP15</f>
        <v>17602.98</v>
      </c>
      <c r="KQ41" s="1448">
        <f>KQ12+KQ13+KQ14+KQ15</f>
        <v>30817.02</v>
      </c>
      <c r="KR41" s="1448">
        <f t="shared" si="550"/>
        <v>268970</v>
      </c>
      <c r="KS41" s="1448">
        <f t="shared" si="550"/>
        <v>268970</v>
      </c>
      <c r="KT41" s="1448">
        <f t="shared" si="550"/>
        <v>0</v>
      </c>
      <c r="KU41" s="1448">
        <f t="shared" si="550"/>
        <v>0</v>
      </c>
      <c r="KV41" s="1448">
        <f t="shared" si="550"/>
        <v>0</v>
      </c>
      <c r="KW41" s="1448">
        <f t="shared" si="550"/>
        <v>0</v>
      </c>
      <c r="KX41" s="1448">
        <f t="shared" si="550"/>
        <v>0</v>
      </c>
      <c r="KY41" s="1448">
        <f t="shared" si="550"/>
        <v>0</v>
      </c>
      <c r="KZ41" s="1448">
        <f t="shared" si="550"/>
        <v>0</v>
      </c>
      <c r="LA41" s="1448">
        <f t="shared" si="550"/>
        <v>0</v>
      </c>
      <c r="LB41" s="1448">
        <f t="shared" si="550"/>
        <v>-61770</v>
      </c>
      <c r="LC41" s="1448">
        <f t="shared" si="550"/>
        <v>-61770</v>
      </c>
      <c r="LD41" s="1448">
        <f t="shared" si="550"/>
        <v>0</v>
      </c>
      <c r="LE41" s="1448">
        <f t="shared" si="550"/>
        <v>0</v>
      </c>
      <c r="LF41" s="1448">
        <f t="shared" si="550"/>
        <v>0</v>
      </c>
      <c r="LG41" s="1448">
        <f t="shared" ref="LG41:NR41" si="551">LG12+LG13+LG14+LG15</f>
        <v>0</v>
      </c>
      <c r="LH41" s="1448">
        <f t="shared" si="551"/>
        <v>330740</v>
      </c>
      <c r="LI41" s="1448">
        <f t="shared" si="551"/>
        <v>330740</v>
      </c>
      <c r="LJ41" s="1448">
        <f t="shared" si="551"/>
        <v>0</v>
      </c>
      <c r="LK41" s="1448">
        <f t="shared" si="551"/>
        <v>0</v>
      </c>
      <c r="LL41" s="1448">
        <f t="shared" si="551"/>
        <v>0</v>
      </c>
      <c r="LM41" s="1448">
        <f t="shared" si="551"/>
        <v>0</v>
      </c>
      <c r="LN41" s="1448">
        <f t="shared" si="551"/>
        <v>7973513.5099999998</v>
      </c>
      <c r="LO41" s="1448">
        <f t="shared" si="551"/>
        <v>0</v>
      </c>
      <c r="LP41" s="1448">
        <f t="shared" si="551"/>
        <v>2073113.5099999998</v>
      </c>
      <c r="LQ41" s="1448">
        <f t="shared" si="551"/>
        <v>5900400</v>
      </c>
      <c r="LR41" s="1448">
        <f t="shared" si="551"/>
        <v>0</v>
      </c>
      <c r="LS41" s="1448">
        <f t="shared" si="551"/>
        <v>0</v>
      </c>
      <c r="LT41" s="1448">
        <f t="shared" si="551"/>
        <v>0</v>
      </c>
      <c r="LU41" s="1448">
        <f t="shared" si="551"/>
        <v>0</v>
      </c>
      <c r="LV41" s="1448">
        <f t="shared" si="551"/>
        <v>0</v>
      </c>
      <c r="LW41" s="1448">
        <f t="shared" si="551"/>
        <v>0</v>
      </c>
      <c r="LX41" s="1448">
        <f t="shared" si="551"/>
        <v>0</v>
      </c>
      <c r="LY41" s="1448">
        <f t="shared" si="551"/>
        <v>0</v>
      </c>
      <c r="LZ41" s="1448">
        <f t="shared" si="551"/>
        <v>0</v>
      </c>
      <c r="MA41" s="1448">
        <f t="shared" si="551"/>
        <v>0</v>
      </c>
      <c r="MB41" s="1448">
        <f t="shared" si="551"/>
        <v>0</v>
      </c>
      <c r="MC41" s="1448">
        <f t="shared" si="551"/>
        <v>0</v>
      </c>
      <c r="MD41" s="1448">
        <f t="shared" si="551"/>
        <v>0</v>
      </c>
      <c r="ME41" s="1448">
        <f t="shared" si="551"/>
        <v>0</v>
      </c>
      <c r="MF41" s="1448">
        <f t="shared" si="551"/>
        <v>0</v>
      </c>
      <c r="MG41" s="1448">
        <f t="shared" si="551"/>
        <v>0</v>
      </c>
      <c r="MH41" s="1448">
        <f t="shared" si="551"/>
        <v>0</v>
      </c>
      <c r="MI41" s="1448">
        <f t="shared" si="551"/>
        <v>0</v>
      </c>
      <c r="MJ41" s="1448">
        <f t="shared" si="551"/>
        <v>0</v>
      </c>
      <c r="MK41" s="1448">
        <f t="shared" si="551"/>
        <v>0</v>
      </c>
      <c r="ML41" s="1448">
        <f t="shared" si="551"/>
        <v>0</v>
      </c>
      <c r="MM41" s="1448">
        <f t="shared" si="551"/>
        <v>0</v>
      </c>
      <c r="MN41" s="1448">
        <f t="shared" si="551"/>
        <v>0</v>
      </c>
      <c r="MO41" s="1448">
        <f t="shared" si="551"/>
        <v>0</v>
      </c>
      <c r="MP41" s="1448">
        <f t="shared" si="551"/>
        <v>0</v>
      </c>
      <c r="MQ41" s="1448">
        <f t="shared" si="551"/>
        <v>0</v>
      </c>
      <c r="MR41" s="1448">
        <f t="shared" si="551"/>
        <v>0</v>
      </c>
      <c r="MS41" s="1448">
        <f t="shared" si="551"/>
        <v>0</v>
      </c>
      <c r="MT41" s="1448">
        <f t="shared" si="551"/>
        <v>789961.17999999993</v>
      </c>
      <c r="MU41" s="1448">
        <f t="shared" si="551"/>
        <v>0</v>
      </c>
      <c r="MV41" s="1448">
        <f t="shared" si="551"/>
        <v>0</v>
      </c>
      <c r="MW41" s="1448">
        <f t="shared" si="551"/>
        <v>0</v>
      </c>
      <c r="MX41" s="1448">
        <f t="shared" si="551"/>
        <v>0</v>
      </c>
      <c r="MY41" s="1448">
        <f t="shared" si="551"/>
        <v>0</v>
      </c>
      <c r="MZ41" s="1448">
        <f t="shared" si="551"/>
        <v>205389.90999999997</v>
      </c>
      <c r="NA41" s="1448">
        <f t="shared" si="551"/>
        <v>584571.27</v>
      </c>
      <c r="NB41" s="1448">
        <f t="shared" si="551"/>
        <v>789961.17999999993</v>
      </c>
      <c r="NC41" s="1448">
        <f t="shared" si="551"/>
        <v>0</v>
      </c>
      <c r="ND41" s="1448">
        <f t="shared" si="551"/>
        <v>0</v>
      </c>
      <c r="NE41" s="1448">
        <f t="shared" si="551"/>
        <v>0</v>
      </c>
      <c r="NF41" s="1448">
        <f t="shared" si="551"/>
        <v>0</v>
      </c>
      <c r="NG41" s="1448">
        <f t="shared" si="551"/>
        <v>0</v>
      </c>
      <c r="NH41" s="1448">
        <f t="shared" si="551"/>
        <v>205389.90999999997</v>
      </c>
      <c r="NI41" s="1448">
        <f t="shared" si="551"/>
        <v>584571.27</v>
      </c>
      <c r="NJ41" s="1448">
        <f t="shared" si="551"/>
        <v>0</v>
      </c>
      <c r="NK41" s="1448">
        <f t="shared" si="551"/>
        <v>0</v>
      </c>
      <c r="NL41" s="1448">
        <f t="shared" si="551"/>
        <v>0</v>
      </c>
      <c r="NM41" s="1448">
        <f t="shared" si="551"/>
        <v>0</v>
      </c>
      <c r="NN41" s="1448">
        <f t="shared" si="551"/>
        <v>0</v>
      </c>
      <c r="NO41" s="1448">
        <f t="shared" si="551"/>
        <v>0</v>
      </c>
      <c r="NP41" s="1448">
        <f t="shared" si="551"/>
        <v>0</v>
      </c>
      <c r="NQ41" s="1448">
        <f t="shared" si="551"/>
        <v>0</v>
      </c>
      <c r="NR41" s="1448">
        <f t="shared" si="551"/>
        <v>0</v>
      </c>
      <c r="NS41" s="1448">
        <f t="shared" ref="NS41:QH41" si="552">NS12+NS13+NS14+NS15</f>
        <v>0</v>
      </c>
      <c r="NT41" s="1448">
        <f t="shared" si="552"/>
        <v>0</v>
      </c>
      <c r="NU41" s="1448">
        <f t="shared" si="552"/>
        <v>0</v>
      </c>
      <c r="NV41" s="1448">
        <f t="shared" si="552"/>
        <v>0</v>
      </c>
      <c r="NW41" s="1448">
        <f t="shared" si="552"/>
        <v>0</v>
      </c>
      <c r="NX41" s="1448">
        <f t="shared" si="552"/>
        <v>0</v>
      </c>
      <c r="NY41" s="1448">
        <f t="shared" si="552"/>
        <v>0</v>
      </c>
      <c r="NZ41" s="1448">
        <f t="shared" si="552"/>
        <v>0</v>
      </c>
      <c r="OA41" s="1448">
        <f t="shared" si="552"/>
        <v>0</v>
      </c>
      <c r="OB41" s="1448">
        <f t="shared" si="552"/>
        <v>0</v>
      </c>
      <c r="OC41" s="1448">
        <f t="shared" si="552"/>
        <v>0</v>
      </c>
      <c r="OD41" s="1448">
        <f t="shared" si="552"/>
        <v>0</v>
      </c>
      <c r="OE41" s="1448">
        <f t="shared" si="552"/>
        <v>0</v>
      </c>
      <c r="OF41" s="1448">
        <f t="shared" si="552"/>
        <v>0</v>
      </c>
      <c r="OG41" s="1448">
        <f t="shared" si="552"/>
        <v>0</v>
      </c>
      <c r="OH41" s="1448">
        <f t="shared" si="552"/>
        <v>0</v>
      </c>
      <c r="OI41" s="1448">
        <f t="shared" si="552"/>
        <v>0</v>
      </c>
      <c r="OJ41" s="1448">
        <f t="shared" si="552"/>
        <v>20000000</v>
      </c>
      <c r="OK41" s="1448">
        <f t="shared" si="552"/>
        <v>0</v>
      </c>
      <c r="OL41" s="1448">
        <f t="shared" si="552"/>
        <v>0</v>
      </c>
      <c r="OM41" s="1448">
        <f t="shared" si="552"/>
        <v>20000000</v>
      </c>
      <c r="ON41" s="1448">
        <f t="shared" si="552"/>
        <v>18839605.869999997</v>
      </c>
      <c r="OO41" s="1448">
        <f t="shared" si="552"/>
        <v>0</v>
      </c>
      <c r="OP41" s="1448">
        <f t="shared" si="552"/>
        <v>0</v>
      </c>
      <c r="OQ41" s="1448">
        <f t="shared" si="552"/>
        <v>18839605.869999997</v>
      </c>
      <c r="OR41" s="1448">
        <f t="shared" si="552"/>
        <v>0</v>
      </c>
      <c r="OS41" s="1448">
        <f t="shared" si="552"/>
        <v>0</v>
      </c>
      <c r="OT41" s="1448">
        <f t="shared" si="552"/>
        <v>0</v>
      </c>
      <c r="OU41" s="1448">
        <f t="shared" si="552"/>
        <v>0</v>
      </c>
      <c r="OV41" s="1448">
        <f t="shared" si="552"/>
        <v>0</v>
      </c>
      <c r="OW41" s="1448">
        <f t="shared" si="552"/>
        <v>0</v>
      </c>
      <c r="OX41" s="1448">
        <f t="shared" si="552"/>
        <v>0</v>
      </c>
      <c r="OY41" s="1448">
        <f t="shared" si="552"/>
        <v>0</v>
      </c>
      <c r="OZ41" s="1448">
        <f t="shared" si="552"/>
        <v>-5000000</v>
      </c>
      <c r="PA41" s="1448">
        <f t="shared" si="552"/>
        <v>-5000000</v>
      </c>
      <c r="PB41" s="1448">
        <f t="shared" si="552"/>
        <v>0</v>
      </c>
      <c r="PC41" s="1448">
        <f t="shared" si="552"/>
        <v>0</v>
      </c>
      <c r="PD41" s="1448">
        <f t="shared" si="552"/>
        <v>0</v>
      </c>
      <c r="PE41" s="1448">
        <f t="shared" si="552"/>
        <v>0</v>
      </c>
      <c r="PF41" s="1448">
        <f t="shared" si="552"/>
        <v>0</v>
      </c>
      <c r="PG41" s="1448">
        <f t="shared" si="552"/>
        <v>0</v>
      </c>
      <c r="PH41" s="1448">
        <f t="shared" si="552"/>
        <v>5000000</v>
      </c>
      <c r="PI41" s="1448">
        <f t="shared" si="552"/>
        <v>5000000</v>
      </c>
      <c r="PJ41" s="1448">
        <f t="shared" si="552"/>
        <v>0</v>
      </c>
      <c r="PK41" s="1448">
        <f t="shared" si="552"/>
        <v>0</v>
      </c>
      <c r="PL41" s="1448">
        <f t="shared" si="552"/>
        <v>0</v>
      </c>
      <c r="PM41" s="1448">
        <f t="shared" si="552"/>
        <v>0</v>
      </c>
      <c r="PN41" s="1448">
        <f t="shared" si="552"/>
        <v>0</v>
      </c>
      <c r="PO41" s="1448">
        <f t="shared" si="552"/>
        <v>0</v>
      </c>
      <c r="PP41" s="1448">
        <f t="shared" si="552"/>
        <v>171852053.88</v>
      </c>
      <c r="PQ41" s="1448">
        <f t="shared" si="552"/>
        <v>152102.69</v>
      </c>
      <c r="PR41" s="1448">
        <f t="shared" si="552"/>
        <v>2889951.19</v>
      </c>
      <c r="PS41" s="1448">
        <f t="shared" ref="PS41:PY41" si="553">PS12+PS13+PS14+PS15</f>
        <v>8440500</v>
      </c>
      <c r="PT41" s="1448">
        <f t="shared" si="553"/>
        <v>160369500</v>
      </c>
      <c r="PU41" s="1448">
        <f t="shared" si="553"/>
        <v>94284805.600000009</v>
      </c>
      <c r="PV41" s="1448">
        <f t="shared" si="553"/>
        <v>70706.759999999995</v>
      </c>
      <c r="PW41" s="1448">
        <f t="shared" si="553"/>
        <v>1343428.44</v>
      </c>
      <c r="PX41" s="1448">
        <f t="shared" si="553"/>
        <v>4643533.53</v>
      </c>
      <c r="PY41" s="1448">
        <f t="shared" si="553"/>
        <v>88227136.870000005</v>
      </c>
      <c r="PZ41" s="1448">
        <f t="shared" si="552"/>
        <v>0</v>
      </c>
      <c r="QA41" s="1448">
        <f t="shared" si="552"/>
        <v>0</v>
      </c>
      <c r="QB41" s="1448">
        <f t="shared" si="552"/>
        <v>0</v>
      </c>
      <c r="QC41" s="1448">
        <f t="shared" si="552"/>
        <v>0</v>
      </c>
      <c r="QD41" s="1448">
        <f t="shared" si="552"/>
        <v>0</v>
      </c>
      <c r="QE41" s="1448">
        <f t="shared" si="552"/>
        <v>0</v>
      </c>
      <c r="QF41" s="1448">
        <f t="shared" si="552"/>
        <v>0</v>
      </c>
      <c r="QG41" s="1448">
        <f t="shared" si="552"/>
        <v>0</v>
      </c>
      <c r="QH41" s="1448">
        <f t="shared" si="552"/>
        <v>0</v>
      </c>
      <c r="QI41" s="1448">
        <f t="shared" ref="QI41:ST41" si="554">QI12+QI13+QI14+QI15</f>
        <v>0</v>
      </c>
      <c r="QJ41" s="1448">
        <f t="shared" si="554"/>
        <v>0</v>
      </c>
      <c r="QK41" s="1448">
        <f t="shared" si="554"/>
        <v>0</v>
      </c>
      <c r="QL41" s="1448">
        <f t="shared" si="554"/>
        <v>0</v>
      </c>
      <c r="QM41" s="1448">
        <f t="shared" si="554"/>
        <v>0</v>
      </c>
      <c r="QN41" s="1448">
        <f t="shared" si="554"/>
        <v>0</v>
      </c>
      <c r="QO41" s="1448">
        <f t="shared" si="554"/>
        <v>0</v>
      </c>
      <c r="QP41" s="1448">
        <f t="shared" si="554"/>
        <v>0</v>
      </c>
      <c r="QQ41" s="1448">
        <f t="shared" si="554"/>
        <v>0</v>
      </c>
      <c r="QR41" s="1448">
        <f t="shared" si="554"/>
        <v>0</v>
      </c>
      <c r="QS41" s="1448">
        <f t="shared" si="554"/>
        <v>0</v>
      </c>
      <c r="QT41" s="1448">
        <f t="shared" si="554"/>
        <v>0</v>
      </c>
      <c r="QU41" s="1448">
        <f t="shared" si="554"/>
        <v>0</v>
      </c>
      <c r="QV41" s="1448">
        <f t="shared" si="554"/>
        <v>0</v>
      </c>
      <c r="QW41" s="1448">
        <f t="shared" si="554"/>
        <v>0</v>
      </c>
      <c r="QX41" s="1448">
        <f t="shared" si="554"/>
        <v>0</v>
      </c>
      <c r="QY41" s="1448">
        <f t="shared" si="554"/>
        <v>0</v>
      </c>
      <c r="QZ41" s="1448">
        <f t="shared" si="554"/>
        <v>0</v>
      </c>
      <c r="RA41" s="1448">
        <f t="shared" si="554"/>
        <v>0</v>
      </c>
      <c r="RB41" s="1448">
        <f t="shared" si="554"/>
        <v>0</v>
      </c>
      <c r="RC41" s="1448">
        <f t="shared" si="554"/>
        <v>0</v>
      </c>
      <c r="RD41" s="1448">
        <f t="shared" si="554"/>
        <v>0</v>
      </c>
      <c r="RE41" s="1448">
        <f t="shared" si="554"/>
        <v>0</v>
      </c>
      <c r="RF41" s="1448">
        <f t="shared" si="554"/>
        <v>0</v>
      </c>
      <c r="RG41" s="1448">
        <f t="shared" si="554"/>
        <v>0</v>
      </c>
      <c r="RH41" s="1448">
        <f t="shared" si="554"/>
        <v>0</v>
      </c>
      <c r="RI41" s="1448">
        <f t="shared" si="554"/>
        <v>0</v>
      </c>
      <c r="RJ41" s="1448">
        <f t="shared" si="554"/>
        <v>0</v>
      </c>
      <c r="RK41" s="1448">
        <f t="shared" si="554"/>
        <v>0</v>
      </c>
      <c r="RL41" s="1448">
        <f t="shared" si="554"/>
        <v>0</v>
      </c>
      <c r="RM41" s="1448">
        <f t="shared" si="554"/>
        <v>0</v>
      </c>
      <c r="RN41" s="1448">
        <f t="shared" si="554"/>
        <v>0</v>
      </c>
      <c r="RO41" s="1448">
        <f t="shared" si="554"/>
        <v>0</v>
      </c>
      <c r="RP41" s="1448">
        <f t="shared" si="554"/>
        <v>0</v>
      </c>
      <c r="RQ41" s="1448">
        <f t="shared" si="554"/>
        <v>0</v>
      </c>
      <c r="RR41" s="1448">
        <f t="shared" si="554"/>
        <v>0</v>
      </c>
      <c r="RS41" s="1448">
        <f t="shared" si="554"/>
        <v>0</v>
      </c>
      <c r="RT41" s="1448">
        <f t="shared" si="554"/>
        <v>0</v>
      </c>
      <c r="RU41" s="1448">
        <f t="shared" si="554"/>
        <v>0</v>
      </c>
      <c r="RV41" s="1448">
        <f t="shared" si="554"/>
        <v>0</v>
      </c>
      <c r="RW41" s="1448">
        <f t="shared" si="554"/>
        <v>0</v>
      </c>
      <c r="RX41" s="1448">
        <f t="shared" si="554"/>
        <v>0</v>
      </c>
      <c r="RY41" s="1448">
        <f t="shared" si="554"/>
        <v>0</v>
      </c>
      <c r="RZ41" s="1448">
        <f t="shared" si="554"/>
        <v>0</v>
      </c>
      <c r="SA41" s="1448">
        <f t="shared" si="554"/>
        <v>0</v>
      </c>
      <c r="SB41" s="1448">
        <f t="shared" si="554"/>
        <v>0</v>
      </c>
      <c r="SC41" s="1448">
        <f t="shared" si="554"/>
        <v>0</v>
      </c>
      <c r="SD41" s="1448">
        <f t="shared" si="554"/>
        <v>0</v>
      </c>
      <c r="SE41" s="1448">
        <f t="shared" si="554"/>
        <v>0</v>
      </c>
      <c r="SF41" s="1448">
        <f t="shared" si="554"/>
        <v>0</v>
      </c>
      <c r="SG41" s="1448">
        <f t="shared" si="554"/>
        <v>0</v>
      </c>
      <c r="SH41" s="1448">
        <f t="shared" si="554"/>
        <v>0</v>
      </c>
      <c r="SI41" s="1448">
        <f t="shared" si="554"/>
        <v>0</v>
      </c>
      <c r="SJ41" s="1448">
        <f t="shared" si="554"/>
        <v>0</v>
      </c>
      <c r="SK41" s="1448">
        <f t="shared" si="554"/>
        <v>0</v>
      </c>
      <c r="SL41" s="1448">
        <f t="shared" si="554"/>
        <v>0</v>
      </c>
      <c r="SM41" s="1448">
        <f t="shared" si="554"/>
        <v>0</v>
      </c>
      <c r="SN41" s="1448">
        <f t="shared" si="554"/>
        <v>0</v>
      </c>
      <c r="SO41" s="1448">
        <f t="shared" si="554"/>
        <v>0</v>
      </c>
      <c r="SP41" s="1448">
        <f t="shared" si="554"/>
        <v>816536271.82000005</v>
      </c>
      <c r="SQ41" s="1448">
        <f t="shared" si="554"/>
        <v>6193124.0799999936</v>
      </c>
      <c r="SR41" s="1448">
        <f t="shared" si="554"/>
        <v>117669358.27000001</v>
      </c>
      <c r="SS41" s="1448">
        <f t="shared" si="554"/>
        <v>0</v>
      </c>
      <c r="ST41" s="1448">
        <f t="shared" si="554"/>
        <v>0</v>
      </c>
      <c r="SU41" s="1448">
        <f t="shared" ref="SU41:VF41" si="555">SU12+SU13+SU14+SU15</f>
        <v>34633689.469999999</v>
      </c>
      <c r="SV41" s="1448">
        <f t="shared" si="555"/>
        <v>658040100</v>
      </c>
      <c r="SW41" s="1448">
        <f t="shared" si="555"/>
        <v>565047691.14999998</v>
      </c>
      <c r="SX41" s="1448">
        <f t="shared" si="555"/>
        <v>3843230.81</v>
      </c>
      <c r="SY41" s="1448">
        <f t="shared" si="555"/>
        <v>73021384.909999996</v>
      </c>
      <c r="SZ41" s="1448">
        <f t="shared" si="555"/>
        <v>0</v>
      </c>
      <c r="TA41" s="1448">
        <f t="shared" si="555"/>
        <v>0</v>
      </c>
      <c r="TB41" s="1448">
        <f t="shared" si="555"/>
        <v>24409153.759999998</v>
      </c>
      <c r="TC41" s="1448">
        <f t="shared" si="555"/>
        <v>463773921.66999996</v>
      </c>
      <c r="TD41" s="1448">
        <f t="shared" si="555"/>
        <v>3414035.2</v>
      </c>
      <c r="TE41" s="1448">
        <f t="shared" si="555"/>
        <v>0</v>
      </c>
      <c r="TF41" s="1448">
        <f t="shared" si="555"/>
        <v>0</v>
      </c>
      <c r="TG41" s="1448">
        <f t="shared" si="555"/>
        <v>170701.76000000024</v>
      </c>
      <c r="TH41" s="1448">
        <f t="shared" si="555"/>
        <v>3243333.44</v>
      </c>
      <c r="TI41" s="1448">
        <f t="shared" si="555"/>
        <v>0</v>
      </c>
      <c r="TJ41" s="1448">
        <f t="shared" si="555"/>
        <v>0</v>
      </c>
      <c r="TK41" s="1448">
        <f t="shared" si="555"/>
        <v>0</v>
      </c>
      <c r="TL41" s="1448">
        <f t="shared" si="555"/>
        <v>0</v>
      </c>
      <c r="TM41" s="1448">
        <f t="shared" si="555"/>
        <v>0</v>
      </c>
      <c r="TN41" s="1448">
        <f t="shared" si="555"/>
        <v>0</v>
      </c>
      <c r="TO41" s="1448">
        <f t="shared" si="555"/>
        <v>0</v>
      </c>
      <c r="TP41" s="1448">
        <f t="shared" si="555"/>
        <v>0</v>
      </c>
      <c r="TQ41" s="1448">
        <f t="shared" si="555"/>
        <v>0</v>
      </c>
      <c r="TR41" s="1448">
        <f t="shared" si="555"/>
        <v>3414035.2</v>
      </c>
      <c r="TS41" s="1448">
        <f t="shared" si="555"/>
        <v>0</v>
      </c>
      <c r="TT41" s="1448">
        <f t="shared" si="555"/>
        <v>0</v>
      </c>
      <c r="TU41" s="1448">
        <f t="shared" si="555"/>
        <v>170701.76000000024</v>
      </c>
      <c r="TV41" s="1448">
        <f t="shared" si="555"/>
        <v>3243333.44</v>
      </c>
      <c r="TW41" s="1448">
        <f t="shared" si="555"/>
        <v>0</v>
      </c>
      <c r="TX41" s="1448">
        <f t="shared" si="555"/>
        <v>0</v>
      </c>
      <c r="TY41" s="1448">
        <f t="shared" si="555"/>
        <v>0</v>
      </c>
      <c r="TZ41" s="1448">
        <f t="shared" si="555"/>
        <v>0</v>
      </c>
      <c r="UA41" s="1448">
        <f t="shared" si="555"/>
        <v>0</v>
      </c>
      <c r="UB41" s="1448">
        <f t="shared" si="555"/>
        <v>0</v>
      </c>
      <c r="UC41" s="1448">
        <f t="shared" si="555"/>
        <v>0</v>
      </c>
      <c r="UD41" s="1448">
        <f t="shared" si="555"/>
        <v>0</v>
      </c>
      <c r="UE41" s="1448">
        <f t="shared" si="555"/>
        <v>0</v>
      </c>
      <c r="UF41" s="1448">
        <f t="shared" si="555"/>
        <v>0</v>
      </c>
      <c r="UG41" s="1448">
        <f t="shared" si="555"/>
        <v>0</v>
      </c>
      <c r="UH41" s="1448">
        <f t="shared" si="555"/>
        <v>0</v>
      </c>
      <c r="UI41" s="1448">
        <f t="shared" si="555"/>
        <v>0</v>
      </c>
      <c r="UJ41" s="1448">
        <f t="shared" si="555"/>
        <v>0</v>
      </c>
      <c r="UK41" s="1448">
        <f t="shared" si="555"/>
        <v>0</v>
      </c>
      <c r="UL41" s="1448">
        <f t="shared" si="555"/>
        <v>0</v>
      </c>
      <c r="UM41" s="1448">
        <f t="shared" si="555"/>
        <v>0</v>
      </c>
      <c r="UN41" s="1448">
        <f t="shared" si="555"/>
        <v>0</v>
      </c>
      <c r="UO41" s="1448">
        <f t="shared" si="555"/>
        <v>0</v>
      </c>
      <c r="UP41" s="1448">
        <f t="shared" si="555"/>
        <v>0</v>
      </c>
      <c r="UQ41" s="1448">
        <f t="shared" si="555"/>
        <v>0</v>
      </c>
      <c r="UR41" s="1448">
        <f t="shared" si="555"/>
        <v>0</v>
      </c>
      <c r="US41" s="1448">
        <f t="shared" si="555"/>
        <v>0</v>
      </c>
      <c r="UT41" s="1448">
        <f t="shared" si="555"/>
        <v>264616181.93000001</v>
      </c>
      <c r="UU41" s="1448">
        <f t="shared" si="555"/>
        <v>173199083.66</v>
      </c>
      <c r="UV41" s="1448">
        <f t="shared" si="555"/>
        <v>0</v>
      </c>
      <c r="UW41" s="1448">
        <f t="shared" si="555"/>
        <v>0</v>
      </c>
      <c r="UX41" s="1448">
        <f t="shared" si="555"/>
        <v>0</v>
      </c>
      <c r="UY41" s="1448">
        <f t="shared" si="555"/>
        <v>0</v>
      </c>
      <c r="UZ41" s="1448">
        <f t="shared" si="555"/>
        <v>0</v>
      </c>
      <c r="VA41" s="1448">
        <f t="shared" si="555"/>
        <v>0</v>
      </c>
      <c r="VB41" s="1448">
        <f t="shared" si="555"/>
        <v>1283305196.96</v>
      </c>
      <c r="VC41" s="1448">
        <f t="shared" si="555"/>
        <v>1249907184.4300001</v>
      </c>
      <c r="VD41" s="1448">
        <f t="shared" si="555"/>
        <v>33398012.530000001</v>
      </c>
      <c r="VE41" s="1448">
        <f t="shared" si="555"/>
        <v>962388022.44000006</v>
      </c>
      <c r="VF41" s="1448">
        <f t="shared" si="555"/>
        <v>944002537.87</v>
      </c>
      <c r="VG41" s="1448">
        <f t="shared" ref="VG41:XX41" si="556">VG12+VG13+VG14+VG15</f>
        <v>18385484.57</v>
      </c>
      <c r="VH41" s="1448">
        <f t="shared" si="556"/>
        <v>1197449647.05</v>
      </c>
      <c r="VI41" s="1448">
        <f t="shared" si="556"/>
        <v>908691006.58999991</v>
      </c>
      <c r="VJ41" s="1448">
        <f t="shared" si="556"/>
        <v>38299442</v>
      </c>
      <c r="VK41" s="1448">
        <f t="shared" si="556"/>
        <v>25909826.43</v>
      </c>
      <c r="VL41" s="1448">
        <f t="shared" si="556"/>
        <v>9483500</v>
      </c>
      <c r="VM41" s="1448">
        <f t="shared" si="556"/>
        <v>1490158.56</v>
      </c>
      <c r="VN41" s="1448">
        <f t="shared" si="556"/>
        <v>0</v>
      </c>
      <c r="VO41" s="1448">
        <f t="shared" si="556"/>
        <v>0</v>
      </c>
      <c r="VP41" s="1448">
        <f t="shared" si="556"/>
        <v>0</v>
      </c>
      <c r="VQ41" s="1448">
        <f t="shared" si="556"/>
        <v>0</v>
      </c>
      <c r="VR41" s="1448">
        <f t="shared" si="556"/>
        <v>0</v>
      </c>
      <c r="VS41" s="1448">
        <f t="shared" si="556"/>
        <v>0</v>
      </c>
      <c r="VT41" s="1448">
        <f t="shared" si="556"/>
        <v>0</v>
      </c>
      <c r="VU41" s="1448">
        <f t="shared" si="556"/>
        <v>0</v>
      </c>
      <c r="VV41" s="1448">
        <f t="shared" si="556"/>
        <v>0</v>
      </c>
      <c r="VW41" s="1448">
        <f t="shared" si="556"/>
        <v>0</v>
      </c>
      <c r="VX41" s="1448">
        <f t="shared" si="556"/>
        <v>27925016.93</v>
      </c>
      <c r="VY41" s="1448">
        <f t="shared" si="556"/>
        <v>7260504.4000000004</v>
      </c>
      <c r="VZ41" s="1448">
        <f t="shared" si="556"/>
        <v>20664512.530000001</v>
      </c>
      <c r="WA41" s="1448">
        <f t="shared" si="556"/>
        <v>18964249.379999999</v>
      </c>
      <c r="WB41" s="1448">
        <f t="shared" si="556"/>
        <v>4930704.8499999996</v>
      </c>
      <c r="WC41" s="1448">
        <f t="shared" si="556"/>
        <v>14033544.530000001</v>
      </c>
      <c r="WD41" s="1448">
        <f t="shared" si="556"/>
        <v>10147590.979999999</v>
      </c>
      <c r="WE41" s="1448">
        <f t="shared" si="556"/>
        <v>6897590.9799999995</v>
      </c>
      <c r="WF41" s="1448">
        <f t="shared" si="556"/>
        <v>3250000</v>
      </c>
      <c r="WG41" s="1448">
        <f t="shared" si="556"/>
        <v>7332781.4800000004</v>
      </c>
      <c r="WH41" s="1448">
        <f t="shared" si="556"/>
        <v>4471000</v>
      </c>
      <c r="WI41" s="1448">
        <f t="shared" si="556"/>
        <v>2861781.48</v>
      </c>
      <c r="WJ41" s="1448">
        <f t="shared" si="556"/>
        <v>400028263.37</v>
      </c>
      <c r="WK41" s="1448">
        <f t="shared" si="556"/>
        <v>165111404.67000002</v>
      </c>
      <c r="WL41" s="1448">
        <f t="shared" ref="WL41:WQ41" si="557">WL12+WL13+WL14+WL15</f>
        <v>0</v>
      </c>
      <c r="WM41" s="1448">
        <f t="shared" si="557"/>
        <v>0</v>
      </c>
      <c r="WN41" s="1448">
        <f t="shared" si="557"/>
        <v>0</v>
      </c>
      <c r="WO41" s="1448">
        <f t="shared" si="557"/>
        <v>0</v>
      </c>
      <c r="WP41" s="1448">
        <f t="shared" si="557"/>
        <v>0</v>
      </c>
      <c r="WQ41" s="1448">
        <f t="shared" si="557"/>
        <v>0</v>
      </c>
      <c r="WR41" s="1448">
        <f t="shared" si="556"/>
        <v>8058869.6000000006</v>
      </c>
      <c r="WS41" s="1448">
        <f t="shared" si="556"/>
        <v>8058869.6000000006</v>
      </c>
      <c r="WT41" s="1448">
        <f t="shared" si="556"/>
        <v>0</v>
      </c>
      <c r="WU41" s="1448">
        <f t="shared" si="556"/>
        <v>0</v>
      </c>
      <c r="WV41" s="1448">
        <f t="shared" si="556"/>
        <v>0</v>
      </c>
      <c r="WW41" s="1448">
        <f t="shared" si="556"/>
        <v>0</v>
      </c>
      <c r="WX41" s="1448">
        <f t="shared" si="556"/>
        <v>8088574.1599999983</v>
      </c>
      <c r="WY41" s="1448">
        <f t="shared" si="556"/>
        <v>404428.71000000008</v>
      </c>
      <c r="WZ41" s="1448">
        <f t="shared" si="556"/>
        <v>7684145.4500000002</v>
      </c>
      <c r="XA41" s="1448">
        <f t="shared" si="556"/>
        <v>6178958.2199999997</v>
      </c>
      <c r="XB41" s="1448">
        <f t="shared" si="556"/>
        <v>308947.95</v>
      </c>
      <c r="XC41" s="1448">
        <f t="shared" si="556"/>
        <v>5870010.2699999996</v>
      </c>
      <c r="XD41" s="1448">
        <f t="shared" si="556"/>
        <v>96832948</v>
      </c>
      <c r="XE41" s="1448">
        <f t="shared" si="556"/>
        <v>44634164</v>
      </c>
      <c r="XF41" s="1448">
        <f t="shared" si="556"/>
        <v>52198784</v>
      </c>
      <c r="XG41" s="1448">
        <f t="shared" si="556"/>
        <v>52050574.189999998</v>
      </c>
      <c r="XH41" s="1448">
        <f t="shared" si="556"/>
        <v>0</v>
      </c>
      <c r="XI41" s="1448">
        <f t="shared" si="556"/>
        <v>52050574.189999998</v>
      </c>
      <c r="XJ41" s="1448">
        <f t="shared" si="556"/>
        <v>0</v>
      </c>
      <c r="XK41" s="1448">
        <f t="shared" si="556"/>
        <v>0</v>
      </c>
      <c r="XL41" s="1448">
        <f t="shared" si="556"/>
        <v>0</v>
      </c>
      <c r="XM41" s="1448">
        <f t="shared" si="556"/>
        <v>0</v>
      </c>
      <c r="XN41" s="1448">
        <f t="shared" si="556"/>
        <v>0</v>
      </c>
      <c r="XO41" s="1448">
        <f t="shared" si="556"/>
        <v>0</v>
      </c>
      <c r="XP41" s="1448">
        <f t="shared" si="556"/>
        <v>0</v>
      </c>
      <c r="XQ41" s="1448">
        <f t="shared" si="556"/>
        <v>0</v>
      </c>
      <c r="XR41" s="1448">
        <f t="shared" si="556"/>
        <v>0</v>
      </c>
      <c r="XS41" s="1448">
        <f t="shared" si="556"/>
        <v>0</v>
      </c>
      <c r="XT41" s="1448">
        <f t="shared" si="556"/>
        <v>0</v>
      </c>
      <c r="XU41" s="1448">
        <f t="shared" si="556"/>
        <v>0</v>
      </c>
      <c r="XV41" s="1448">
        <f t="shared" si="556"/>
        <v>286643442.89999998</v>
      </c>
      <c r="XW41" s="1448">
        <f t="shared" si="556"/>
        <v>0</v>
      </c>
      <c r="XX41" s="1448">
        <f t="shared" si="556"/>
        <v>27174991.600000001</v>
      </c>
      <c r="XY41" s="1448">
        <f t="shared" ref="XY41:AAJ41" si="558">XY12+XY13+XY14+XY15</f>
        <v>8379862.2999999998</v>
      </c>
      <c r="XZ41" s="1448">
        <f t="shared" si="558"/>
        <v>12831280</v>
      </c>
      <c r="YA41" s="1448">
        <f t="shared" si="558"/>
        <v>12831280</v>
      </c>
      <c r="YB41" s="1448">
        <f t="shared" si="558"/>
        <v>159425819</v>
      </c>
      <c r="YC41" s="1448">
        <f t="shared" si="558"/>
        <v>17325883.600000001</v>
      </c>
      <c r="YD41" s="1448">
        <f t="shared" si="558"/>
        <v>13532119.919999998</v>
      </c>
      <c r="YE41" s="1448">
        <f t="shared" si="558"/>
        <v>0</v>
      </c>
      <c r="YF41" s="1448">
        <f t="shared" si="558"/>
        <v>35142206.480000004</v>
      </c>
      <c r="YG41" s="1448">
        <f t="shared" si="558"/>
        <v>106881872.26000001</v>
      </c>
      <c r="YH41" s="1448">
        <f t="shared" si="558"/>
        <v>0</v>
      </c>
      <c r="YI41" s="1448">
        <f t="shared" si="558"/>
        <v>14575638.689999999</v>
      </c>
      <c r="YJ41" s="1448">
        <f t="shared" si="558"/>
        <v>8339862.2999999998</v>
      </c>
      <c r="YK41" s="1448">
        <f t="shared" si="558"/>
        <v>0</v>
      </c>
      <c r="YL41" s="1448">
        <f t="shared" si="558"/>
        <v>12831280</v>
      </c>
      <c r="YM41" s="1448">
        <f t="shared" si="558"/>
        <v>35992884.789999999</v>
      </c>
      <c r="YN41" s="1448">
        <f t="shared" si="558"/>
        <v>0</v>
      </c>
      <c r="YO41" s="1448">
        <f t="shared" si="558"/>
        <v>0</v>
      </c>
      <c r="YP41" s="1448">
        <f t="shared" si="558"/>
        <v>0</v>
      </c>
      <c r="YQ41" s="1448">
        <f t="shared" si="558"/>
        <v>35142206.480000004</v>
      </c>
      <c r="YR41" s="1448">
        <f t="shared" si="558"/>
        <v>404428.71000000008</v>
      </c>
      <c r="YS41" s="1448">
        <f t="shared" si="558"/>
        <v>0</v>
      </c>
      <c r="YT41" s="1448">
        <f t="shared" si="558"/>
        <v>0</v>
      </c>
      <c r="YU41" s="1448">
        <f t="shared" si="558"/>
        <v>404428.71000000008</v>
      </c>
      <c r="YV41" s="1448">
        <f t="shared" si="558"/>
        <v>0</v>
      </c>
      <c r="YW41" s="1448">
        <f t="shared" si="558"/>
        <v>0</v>
      </c>
      <c r="YX41" s="1448">
        <f t="shared" si="558"/>
        <v>0</v>
      </c>
      <c r="YY41" s="1448">
        <f t="shared" si="558"/>
        <v>0</v>
      </c>
      <c r="YZ41" s="1448">
        <f t="shared" si="558"/>
        <v>0</v>
      </c>
      <c r="ZA41" s="1448">
        <f t="shared" si="558"/>
        <v>0</v>
      </c>
      <c r="ZB41" s="1448">
        <f t="shared" si="558"/>
        <v>0</v>
      </c>
      <c r="ZC41" s="1448">
        <f t="shared" si="558"/>
        <v>0</v>
      </c>
      <c r="ZD41" s="1448">
        <f t="shared" si="558"/>
        <v>404428.71000000008</v>
      </c>
      <c r="ZE41" s="1448">
        <f t="shared" si="558"/>
        <v>0</v>
      </c>
      <c r="ZF41" s="1448">
        <f t="shared" si="558"/>
        <v>0</v>
      </c>
      <c r="ZG41" s="1448">
        <f t="shared" si="558"/>
        <v>404428.71000000008</v>
      </c>
      <c r="ZH41" s="1448">
        <f t="shared" si="558"/>
        <v>0</v>
      </c>
      <c r="ZI41" s="1448">
        <f t="shared" si="558"/>
        <v>0</v>
      </c>
      <c r="ZJ41" s="1448">
        <f t="shared" si="558"/>
        <v>0</v>
      </c>
      <c r="ZK41" s="1448">
        <f t="shared" si="558"/>
        <v>0</v>
      </c>
      <c r="ZL41" s="1448">
        <f t="shared" si="558"/>
        <v>0</v>
      </c>
      <c r="ZM41" s="1448">
        <f t="shared" si="558"/>
        <v>0</v>
      </c>
      <c r="ZN41" s="1448">
        <f t="shared" si="558"/>
        <v>0</v>
      </c>
      <c r="ZO41" s="1448">
        <f t="shared" si="558"/>
        <v>0</v>
      </c>
      <c r="ZP41" s="1448">
        <f t="shared" si="558"/>
        <v>0</v>
      </c>
      <c r="ZQ41" s="1448">
        <f t="shared" si="558"/>
        <v>0</v>
      </c>
      <c r="ZR41" s="1448">
        <f t="shared" si="558"/>
        <v>0</v>
      </c>
      <c r="ZS41" s="1448">
        <f t="shared" si="558"/>
        <v>0</v>
      </c>
      <c r="ZT41" s="1448">
        <f t="shared" si="558"/>
        <v>0</v>
      </c>
      <c r="ZU41" s="1448">
        <f t="shared" si="558"/>
        <v>0</v>
      </c>
      <c r="ZV41" s="1448">
        <f t="shared" si="558"/>
        <v>0</v>
      </c>
      <c r="ZW41" s="1448">
        <f t="shared" si="558"/>
        <v>0</v>
      </c>
      <c r="ZX41" s="1448">
        <f t="shared" si="558"/>
        <v>0</v>
      </c>
      <c r="ZY41" s="1448">
        <f t="shared" si="558"/>
        <v>0</v>
      </c>
      <c r="ZZ41" s="1448">
        <f t="shared" si="558"/>
        <v>0</v>
      </c>
      <c r="AAA41" s="1448">
        <f t="shared" si="558"/>
        <v>0</v>
      </c>
      <c r="AAB41" s="1448">
        <f t="shared" si="558"/>
        <v>0</v>
      </c>
      <c r="AAC41" s="1448">
        <f t="shared" si="558"/>
        <v>0</v>
      </c>
      <c r="AAD41" s="1448">
        <f t="shared" si="558"/>
        <v>0</v>
      </c>
      <c r="AAE41" s="1448">
        <f t="shared" si="558"/>
        <v>0</v>
      </c>
      <c r="AAF41" s="1448">
        <f t="shared" si="558"/>
        <v>0</v>
      </c>
      <c r="AAG41" s="1448">
        <f t="shared" si="558"/>
        <v>0</v>
      </c>
      <c r="AAH41" s="1448">
        <f t="shared" si="558"/>
        <v>0</v>
      </c>
      <c r="AAI41" s="1448">
        <f t="shared" si="558"/>
        <v>0</v>
      </c>
      <c r="AAJ41" s="1448">
        <f t="shared" si="558"/>
        <v>0</v>
      </c>
      <c r="AAK41" s="1448">
        <f t="shared" ref="AAK41:AAS41" si="559">AAK12+AAK13+AAK14+AAK15</f>
        <v>0</v>
      </c>
      <c r="AAL41" s="1448">
        <f t="shared" si="559"/>
        <v>0</v>
      </c>
      <c r="AAM41" s="1448">
        <f t="shared" si="559"/>
        <v>0</v>
      </c>
      <c r="AAN41" s="1448">
        <f t="shared" si="559"/>
        <v>0</v>
      </c>
      <c r="AAO41" s="1448">
        <f t="shared" si="559"/>
        <v>0</v>
      </c>
      <c r="AAP41" s="1448">
        <f t="shared" si="559"/>
        <v>0</v>
      </c>
      <c r="AAQ41" s="1448">
        <f t="shared" si="559"/>
        <v>0</v>
      </c>
      <c r="AAR41" s="1448">
        <f t="shared" si="559"/>
        <v>0</v>
      </c>
      <c r="AAS41" s="1448">
        <f t="shared" si="559"/>
        <v>0</v>
      </c>
      <c r="AAT41" s="1086"/>
      <c r="AAU41" s="791"/>
    </row>
    <row r="42" spans="1:723" ht="16.5" x14ac:dyDescent="0.25">
      <c r="A42" s="1090" t="s">
        <v>750</v>
      </c>
      <c r="B42" s="1449">
        <f t="shared" ref="B42:BJ42" si="560">B34</f>
        <v>23688219434.939999</v>
      </c>
      <c r="C42" s="1449">
        <f t="shared" si="560"/>
        <v>15362136104.339998</v>
      </c>
      <c r="D42" s="1449">
        <f t="shared" si="560"/>
        <v>4763210443.3000002</v>
      </c>
      <c r="E42" s="1449">
        <f t="shared" si="560"/>
        <v>3063082895.73</v>
      </c>
      <c r="F42" s="1449">
        <f t="shared" si="560"/>
        <v>1335521129.3</v>
      </c>
      <c r="G42" s="1449">
        <f t="shared" si="560"/>
        <v>871332895.73000002</v>
      </c>
      <c r="H42" s="1449">
        <f t="shared" si="560"/>
        <v>0</v>
      </c>
      <c r="I42" s="1449">
        <f t="shared" si="560"/>
        <v>0</v>
      </c>
      <c r="J42" s="1449">
        <f t="shared" si="560"/>
        <v>0</v>
      </c>
      <c r="K42" s="1449">
        <f t="shared" si="560"/>
        <v>0</v>
      </c>
      <c r="L42" s="1449">
        <f t="shared" si="560"/>
        <v>0</v>
      </c>
      <c r="M42" s="1449">
        <f t="shared" si="560"/>
        <v>0</v>
      </c>
      <c r="N42" s="1449">
        <f t="shared" si="560"/>
        <v>3424989314.0000005</v>
      </c>
      <c r="O42" s="1449">
        <f t="shared" si="560"/>
        <v>2191750000</v>
      </c>
      <c r="P42" s="1449">
        <f t="shared" si="560"/>
        <v>0</v>
      </c>
      <c r="Q42" s="1449">
        <f t="shared" si="560"/>
        <v>0</v>
      </c>
      <c r="R42" s="1449">
        <f t="shared" si="560"/>
        <v>0</v>
      </c>
      <c r="S42" s="1449">
        <f t="shared" si="560"/>
        <v>0</v>
      </c>
      <c r="T42" s="1449">
        <f t="shared" si="560"/>
        <v>0</v>
      </c>
      <c r="U42" s="1449">
        <f t="shared" si="560"/>
        <v>0</v>
      </c>
      <c r="V42" s="1449">
        <f t="shared" si="560"/>
        <v>2700000</v>
      </c>
      <c r="W42" s="1449">
        <f t="shared" ref="W42:Y42" si="561">W34</f>
        <v>0</v>
      </c>
      <c r="X42" s="1449">
        <f t="shared" si="561"/>
        <v>1800000</v>
      </c>
      <c r="Y42" s="1449">
        <f t="shared" si="561"/>
        <v>900000</v>
      </c>
      <c r="Z42" s="1449">
        <f t="shared" si="560"/>
        <v>0</v>
      </c>
      <c r="AA42" s="1449">
        <f t="shared" si="560"/>
        <v>0</v>
      </c>
      <c r="AB42" s="1449">
        <f t="shared" si="560"/>
        <v>0</v>
      </c>
      <c r="AC42" s="1449">
        <f t="shared" si="560"/>
        <v>0</v>
      </c>
      <c r="AD42" s="1449">
        <f t="shared" si="560"/>
        <v>0</v>
      </c>
      <c r="AE42" s="1449">
        <f t="shared" ref="AE42:AF42" si="562">AE34</f>
        <v>0</v>
      </c>
      <c r="AF42" s="1449">
        <f t="shared" si="562"/>
        <v>0</v>
      </c>
      <c r="AG42" s="1449">
        <f t="shared" si="560"/>
        <v>0</v>
      </c>
      <c r="AH42" s="1449">
        <f t="shared" si="560"/>
        <v>0</v>
      </c>
      <c r="AI42" s="1449">
        <f t="shared" si="560"/>
        <v>0</v>
      </c>
      <c r="AJ42" s="1449">
        <f t="shared" si="560"/>
        <v>0</v>
      </c>
      <c r="AK42" s="1449">
        <f t="shared" si="560"/>
        <v>0</v>
      </c>
      <c r="AL42" s="1449">
        <f t="shared" si="560"/>
        <v>0</v>
      </c>
      <c r="AM42" s="1449">
        <f t="shared" si="560"/>
        <v>0</v>
      </c>
      <c r="AN42" s="1449">
        <f t="shared" si="560"/>
        <v>8713453072.8499985</v>
      </c>
      <c r="AO42" s="1449">
        <f t="shared" si="560"/>
        <v>5154198535.789999</v>
      </c>
      <c r="AP42" s="1449">
        <f t="shared" si="560"/>
        <v>18900000</v>
      </c>
      <c r="AQ42" s="1449">
        <f t="shared" si="560"/>
        <v>0</v>
      </c>
      <c r="AR42" s="1449">
        <f t="shared" si="560"/>
        <v>18900000</v>
      </c>
      <c r="AS42" s="1449">
        <f t="shared" si="560"/>
        <v>0</v>
      </c>
      <c r="AT42" s="1449">
        <f t="shared" si="560"/>
        <v>0</v>
      </c>
      <c r="AU42" s="1449">
        <f t="shared" si="560"/>
        <v>0</v>
      </c>
      <c r="AV42" s="1449">
        <f t="shared" si="560"/>
        <v>0</v>
      </c>
      <c r="AW42" s="1449">
        <f t="shared" si="560"/>
        <v>0</v>
      </c>
      <c r="AX42" s="1449">
        <f t="shared" si="560"/>
        <v>0</v>
      </c>
      <c r="AY42" s="1449">
        <f t="shared" si="560"/>
        <v>0</v>
      </c>
      <c r="AZ42" s="1449">
        <f t="shared" si="560"/>
        <v>52859325.390000001</v>
      </c>
      <c r="BA42" s="1449">
        <f t="shared" si="560"/>
        <v>52859325.390000001</v>
      </c>
      <c r="BB42" s="1449">
        <f t="shared" si="560"/>
        <v>0</v>
      </c>
      <c r="BC42" s="1449">
        <f t="shared" si="560"/>
        <v>0</v>
      </c>
      <c r="BD42" s="1449">
        <f t="shared" si="560"/>
        <v>0</v>
      </c>
      <c r="BE42" s="1449">
        <f t="shared" si="560"/>
        <v>0</v>
      </c>
      <c r="BF42" s="1449">
        <f t="shared" si="560"/>
        <v>0</v>
      </c>
      <c r="BG42" s="1449">
        <f t="shared" si="560"/>
        <v>0</v>
      </c>
      <c r="BH42" s="1449">
        <f t="shared" si="560"/>
        <v>0</v>
      </c>
      <c r="BI42" s="1449">
        <f t="shared" si="560"/>
        <v>0</v>
      </c>
      <c r="BJ42" s="1449">
        <f t="shared" si="560"/>
        <v>0</v>
      </c>
      <c r="BK42" s="1449">
        <f t="shared" ref="BK42:DZ42" si="563">BK34</f>
        <v>0</v>
      </c>
      <c r="BL42" s="1449">
        <f t="shared" si="563"/>
        <v>0</v>
      </c>
      <c r="BM42" s="1449">
        <f t="shared" si="563"/>
        <v>0</v>
      </c>
      <c r="BN42" s="1449">
        <f t="shared" si="563"/>
        <v>0</v>
      </c>
      <c r="BO42" s="1449">
        <f t="shared" si="563"/>
        <v>0</v>
      </c>
      <c r="BP42" s="1449">
        <f t="shared" si="563"/>
        <v>0</v>
      </c>
      <c r="BQ42" s="1449">
        <f t="shared" si="563"/>
        <v>0</v>
      </c>
      <c r="BR42" s="1449">
        <f t="shared" si="563"/>
        <v>0</v>
      </c>
      <c r="BS42" s="1449">
        <f t="shared" si="563"/>
        <v>0</v>
      </c>
      <c r="BT42" s="1449">
        <f t="shared" si="563"/>
        <v>37759000</v>
      </c>
      <c r="BU42" s="1449">
        <f t="shared" ref="BU42:BY42" si="564">BU34</f>
        <v>37759000</v>
      </c>
      <c r="BV42" s="1449">
        <f t="shared" si="564"/>
        <v>0</v>
      </c>
      <c r="BW42" s="1449">
        <f t="shared" si="564"/>
        <v>0</v>
      </c>
      <c r="BX42" s="1449">
        <f t="shared" si="564"/>
        <v>0</v>
      </c>
      <c r="BY42" s="1449">
        <f t="shared" si="564"/>
        <v>0</v>
      </c>
      <c r="BZ42" s="1449">
        <f t="shared" si="563"/>
        <v>115116800</v>
      </c>
      <c r="CA42" s="1449">
        <f t="shared" si="563"/>
        <v>0</v>
      </c>
      <c r="CB42" s="1449">
        <f t="shared" si="563"/>
        <v>0</v>
      </c>
      <c r="CC42" s="1449">
        <f t="shared" si="563"/>
        <v>0</v>
      </c>
      <c r="CD42" s="1449">
        <f t="shared" si="563"/>
        <v>0</v>
      </c>
      <c r="CE42" s="1449">
        <f t="shared" si="563"/>
        <v>0</v>
      </c>
      <c r="CF42" s="1449">
        <f t="shared" si="563"/>
        <v>0</v>
      </c>
      <c r="CG42" s="1449">
        <f t="shared" si="563"/>
        <v>0</v>
      </c>
      <c r="CH42" s="1449">
        <f t="shared" si="563"/>
        <v>25590065.600000001</v>
      </c>
      <c r="CI42" s="1449">
        <f t="shared" si="563"/>
        <v>25590065.600000001</v>
      </c>
      <c r="CJ42" s="1449">
        <f t="shared" si="563"/>
        <v>0</v>
      </c>
      <c r="CK42" s="1449">
        <f t="shared" si="563"/>
        <v>0</v>
      </c>
      <c r="CL42" s="1449">
        <f t="shared" si="563"/>
        <v>0</v>
      </c>
      <c r="CM42" s="1449">
        <f t="shared" si="563"/>
        <v>0</v>
      </c>
      <c r="CN42" s="1449">
        <f t="shared" si="563"/>
        <v>860245068.48000002</v>
      </c>
      <c r="CO42" s="1449">
        <f t="shared" si="563"/>
        <v>1145900</v>
      </c>
      <c r="CP42" s="1449">
        <f t="shared" si="563"/>
        <v>21770300</v>
      </c>
      <c r="CQ42" s="1449">
        <f t="shared" si="563"/>
        <v>37815349</v>
      </c>
      <c r="CR42" s="1449">
        <f t="shared" si="563"/>
        <v>720202200</v>
      </c>
      <c r="CS42" s="1449">
        <f t="shared" si="563"/>
        <v>3965576.2799999993</v>
      </c>
      <c r="CT42" s="1449">
        <f t="shared" si="563"/>
        <v>75345743.200000003</v>
      </c>
      <c r="CU42" s="1449">
        <f t="shared" si="563"/>
        <v>322655436.38</v>
      </c>
      <c r="CV42" s="1449">
        <f t="shared" si="563"/>
        <v>333023.57999999996</v>
      </c>
      <c r="CW42" s="1449">
        <f t="shared" si="563"/>
        <v>6326925.6400000006</v>
      </c>
      <c r="CX42" s="1449">
        <f t="shared" si="563"/>
        <v>12293952.280000001</v>
      </c>
      <c r="CY42" s="1449">
        <f t="shared" si="563"/>
        <v>233933281.38</v>
      </c>
      <c r="CZ42" s="1449">
        <f t="shared" si="563"/>
        <v>3488418.57</v>
      </c>
      <c r="DA42" s="1449">
        <f t="shared" si="563"/>
        <v>66279834.93</v>
      </c>
      <c r="DB42" s="1449">
        <f t="shared" si="563"/>
        <v>0</v>
      </c>
      <c r="DC42" s="1449">
        <f t="shared" si="563"/>
        <v>0</v>
      </c>
      <c r="DD42" s="1449">
        <f t="shared" si="563"/>
        <v>0</v>
      </c>
      <c r="DE42" s="1449">
        <f t="shared" si="563"/>
        <v>0</v>
      </c>
      <c r="DF42" s="1449">
        <f t="shared" si="563"/>
        <v>0</v>
      </c>
      <c r="DG42" s="1449">
        <f t="shared" si="563"/>
        <v>0</v>
      </c>
      <c r="DH42" s="1449">
        <f t="shared" si="563"/>
        <v>0</v>
      </c>
      <c r="DI42" s="1449">
        <f t="shared" si="563"/>
        <v>0</v>
      </c>
      <c r="DJ42" s="1449">
        <f t="shared" si="563"/>
        <v>0</v>
      </c>
      <c r="DK42" s="1449">
        <f t="shared" si="563"/>
        <v>0</v>
      </c>
      <c r="DL42" s="1449">
        <f t="shared" si="563"/>
        <v>5400000</v>
      </c>
      <c r="DM42" s="1449">
        <f t="shared" si="563"/>
        <v>2700000</v>
      </c>
      <c r="DN42" s="1449">
        <f t="shared" si="563"/>
        <v>2700000</v>
      </c>
      <c r="DO42" s="1449">
        <f t="shared" si="563"/>
        <v>0</v>
      </c>
      <c r="DP42" s="1449">
        <f t="shared" si="563"/>
        <v>3960000</v>
      </c>
      <c r="DQ42" s="1449">
        <f t="shared" si="563"/>
        <v>1260000</v>
      </c>
      <c r="DR42" s="1449">
        <f t="shared" si="563"/>
        <v>2700000</v>
      </c>
      <c r="DS42" s="1449">
        <f t="shared" si="563"/>
        <v>0</v>
      </c>
      <c r="DT42" s="1449">
        <f t="shared" si="563"/>
        <v>0</v>
      </c>
      <c r="DU42" s="1449">
        <f t="shared" si="563"/>
        <v>0</v>
      </c>
      <c r="DV42" s="1449">
        <f t="shared" si="563"/>
        <v>0</v>
      </c>
      <c r="DW42" s="1449">
        <f t="shared" si="563"/>
        <v>0</v>
      </c>
      <c r="DX42" s="1449">
        <f t="shared" si="563"/>
        <v>0</v>
      </c>
      <c r="DY42" s="1449">
        <f t="shared" si="563"/>
        <v>0</v>
      </c>
      <c r="DZ42" s="1449">
        <f t="shared" si="563"/>
        <v>0</v>
      </c>
      <c r="EA42" s="1449">
        <f t="shared" ref="EA42:HF42" si="565">EA34</f>
        <v>0</v>
      </c>
      <c r="EB42" s="1449">
        <f t="shared" si="565"/>
        <v>0</v>
      </c>
      <c r="EC42" s="1449">
        <f t="shared" si="565"/>
        <v>0</v>
      </c>
      <c r="ED42" s="1449">
        <f t="shared" si="565"/>
        <v>0</v>
      </c>
      <c r="EE42" s="1449">
        <f t="shared" si="565"/>
        <v>0</v>
      </c>
      <c r="EF42" s="1449">
        <f t="shared" si="565"/>
        <v>1207687968.96</v>
      </c>
      <c r="EG42" s="1449">
        <f t="shared" si="565"/>
        <v>319132705.80000001</v>
      </c>
      <c r="EH42" s="1449">
        <f t="shared" si="565"/>
        <v>44427763.159999996</v>
      </c>
      <c r="EI42" s="1449">
        <f t="shared" si="565"/>
        <v>844127500</v>
      </c>
      <c r="EJ42" s="1449">
        <f t="shared" si="565"/>
        <v>759395774.06000006</v>
      </c>
      <c r="EK42" s="1449">
        <f t="shared" si="565"/>
        <v>121024.36</v>
      </c>
      <c r="EL42" s="1449">
        <f t="shared" si="565"/>
        <v>37963737.479999997</v>
      </c>
      <c r="EM42" s="1449">
        <f t="shared" si="565"/>
        <v>721311012.22000003</v>
      </c>
      <c r="EN42" s="1449">
        <f t="shared" si="565"/>
        <v>121175580</v>
      </c>
      <c r="EO42" s="1449">
        <f t="shared" si="565"/>
        <v>6058780</v>
      </c>
      <c r="EP42" s="1449">
        <f t="shared" si="565"/>
        <v>115116800</v>
      </c>
      <c r="EQ42" s="1449">
        <f t="shared" si="565"/>
        <v>109618863.97</v>
      </c>
      <c r="ER42" s="1449">
        <f t="shared" ref="ER42:ES42" si="566">ER34</f>
        <v>5480944.0999999996</v>
      </c>
      <c r="ES42" s="1449">
        <f t="shared" si="566"/>
        <v>104137919.87</v>
      </c>
      <c r="ET42" s="1449">
        <f t="shared" si="565"/>
        <v>19378391.170000002</v>
      </c>
      <c r="EU42" s="1449">
        <f t="shared" si="565"/>
        <v>5058011.3800000027</v>
      </c>
      <c r="EV42" s="1449">
        <f t="shared" si="565"/>
        <v>14320379.789999999</v>
      </c>
      <c r="EW42" s="1449">
        <f t="shared" si="565"/>
        <v>0</v>
      </c>
      <c r="EX42" s="1449">
        <f t="shared" si="565"/>
        <v>0</v>
      </c>
      <c r="EY42" s="1449">
        <f t="shared" si="565"/>
        <v>0</v>
      </c>
      <c r="EZ42" s="1449">
        <f t="shared" si="565"/>
        <v>0</v>
      </c>
      <c r="FA42" s="1449">
        <f t="shared" si="565"/>
        <v>0</v>
      </c>
      <c r="FB42" s="1449">
        <f t="shared" si="565"/>
        <v>0</v>
      </c>
      <c r="FC42" s="1449">
        <f t="shared" si="565"/>
        <v>0</v>
      </c>
      <c r="FD42" s="1449">
        <f t="shared" si="565"/>
        <v>0</v>
      </c>
      <c r="FE42" s="1449">
        <f t="shared" si="565"/>
        <v>0</v>
      </c>
      <c r="FF42" s="1449">
        <f t="shared" si="565"/>
        <v>0</v>
      </c>
      <c r="FG42" s="1449">
        <f t="shared" si="565"/>
        <v>0</v>
      </c>
      <c r="FH42" s="1449">
        <f t="shared" si="565"/>
        <v>0</v>
      </c>
      <c r="FI42" s="1449">
        <f t="shared" si="565"/>
        <v>0</v>
      </c>
      <c r="FJ42" s="1449">
        <f t="shared" si="565"/>
        <v>0</v>
      </c>
      <c r="FK42" s="1449">
        <f t="shared" si="565"/>
        <v>0</v>
      </c>
      <c r="FL42" s="1449">
        <f t="shared" si="565"/>
        <v>0</v>
      </c>
      <c r="FM42" s="1449">
        <f t="shared" si="565"/>
        <v>0</v>
      </c>
      <c r="FN42" s="1449">
        <f t="shared" si="565"/>
        <v>0</v>
      </c>
      <c r="FO42" s="1449">
        <f t="shared" si="565"/>
        <v>0</v>
      </c>
      <c r="FP42" s="1449">
        <f t="shared" si="565"/>
        <v>0</v>
      </c>
      <c r="FQ42" s="1449">
        <f t="shared" si="565"/>
        <v>0</v>
      </c>
      <c r="FR42" s="1449">
        <f t="shared" si="565"/>
        <v>0</v>
      </c>
      <c r="FS42" s="1449">
        <f t="shared" si="565"/>
        <v>0</v>
      </c>
      <c r="FT42" s="1449">
        <f t="shared" si="565"/>
        <v>0</v>
      </c>
      <c r="FU42" s="1449">
        <f t="shared" si="565"/>
        <v>0</v>
      </c>
      <c r="FV42" s="1449">
        <f t="shared" si="565"/>
        <v>0</v>
      </c>
      <c r="FW42" s="1449">
        <f t="shared" si="565"/>
        <v>0</v>
      </c>
      <c r="FX42" s="1449">
        <f t="shared" si="565"/>
        <v>0</v>
      </c>
      <c r="FY42" s="1449">
        <f t="shared" si="565"/>
        <v>0</v>
      </c>
      <c r="FZ42" s="1449">
        <f t="shared" si="565"/>
        <v>0</v>
      </c>
      <c r="GA42" s="1449">
        <f t="shared" si="565"/>
        <v>0</v>
      </c>
      <c r="GB42" s="1449">
        <f t="shared" si="565"/>
        <v>0</v>
      </c>
      <c r="GC42" s="1449">
        <f t="shared" si="565"/>
        <v>0</v>
      </c>
      <c r="GD42" s="1449">
        <f t="shared" ref="GD42:GM42" si="567">GD34</f>
        <v>0</v>
      </c>
      <c r="GE42" s="1449">
        <f t="shared" si="567"/>
        <v>0</v>
      </c>
      <c r="GF42" s="1449">
        <f t="shared" si="567"/>
        <v>0</v>
      </c>
      <c r="GG42" s="1449">
        <f t="shared" si="567"/>
        <v>0</v>
      </c>
      <c r="GH42" s="1449">
        <f t="shared" si="567"/>
        <v>0</v>
      </c>
      <c r="GI42" s="1449">
        <f t="shared" si="567"/>
        <v>0</v>
      </c>
      <c r="GJ42" s="1449">
        <f t="shared" si="567"/>
        <v>0</v>
      </c>
      <c r="GK42" s="1449">
        <f t="shared" si="567"/>
        <v>0</v>
      </c>
      <c r="GL42" s="1449">
        <f t="shared" si="567"/>
        <v>0</v>
      </c>
      <c r="GM42" s="1449">
        <f t="shared" si="567"/>
        <v>0</v>
      </c>
      <c r="GN42" s="1449">
        <f t="shared" si="565"/>
        <v>1758989935.8899999</v>
      </c>
      <c r="GO42" s="1449">
        <f t="shared" si="565"/>
        <v>13685959.390000001</v>
      </c>
      <c r="GP42" s="1449">
        <f t="shared" si="565"/>
        <v>260033228.37</v>
      </c>
      <c r="GQ42" s="1449">
        <f>GQ34</f>
        <v>1485270748.1300001</v>
      </c>
      <c r="GR42" s="1449">
        <f t="shared" si="565"/>
        <v>1193374572.73</v>
      </c>
      <c r="GS42" s="1449">
        <f t="shared" si="565"/>
        <v>9553788.7300000004</v>
      </c>
      <c r="GT42" s="1449">
        <f t="shared" si="565"/>
        <v>181521985.75</v>
      </c>
      <c r="GU42" s="1449">
        <f>GU34</f>
        <v>1002298798.2499999</v>
      </c>
      <c r="GV42" s="1449">
        <f t="shared" ref="GV42:HC42" si="568">GV34</f>
        <v>0</v>
      </c>
      <c r="GW42" s="1449">
        <f t="shared" si="568"/>
        <v>0</v>
      </c>
      <c r="GX42" s="1449">
        <f t="shared" si="568"/>
        <v>0</v>
      </c>
      <c r="GY42" s="1449">
        <f t="shared" si="568"/>
        <v>0</v>
      </c>
      <c r="GZ42" s="1449">
        <f t="shared" si="568"/>
        <v>0</v>
      </c>
      <c r="HA42" s="1449">
        <f t="shared" si="568"/>
        <v>0</v>
      </c>
      <c r="HB42" s="1449">
        <f t="shared" si="568"/>
        <v>0</v>
      </c>
      <c r="HC42" s="1449">
        <f t="shared" si="568"/>
        <v>0</v>
      </c>
      <c r="HD42" s="1449">
        <f t="shared" si="565"/>
        <v>1478672773.1399999</v>
      </c>
      <c r="HE42" s="1449">
        <f t="shared" si="565"/>
        <v>73933652.629999995</v>
      </c>
      <c r="HF42" s="1449">
        <f t="shared" si="565"/>
        <v>1404739120.51</v>
      </c>
      <c r="HG42" s="1449">
        <f t="shared" ref="HG42:KN42" si="569">HG34</f>
        <v>753671645.66999996</v>
      </c>
      <c r="HH42" s="1449">
        <f t="shared" si="569"/>
        <v>37683589.409999996</v>
      </c>
      <c r="HI42" s="1449">
        <f t="shared" si="569"/>
        <v>715988056.25999999</v>
      </c>
      <c r="HJ42" s="1449">
        <f t="shared" si="569"/>
        <v>8862344.3799999878</v>
      </c>
      <c r="HK42" s="1449">
        <f t="shared" si="569"/>
        <v>8862344.3799999878</v>
      </c>
      <c r="HL42" s="1449">
        <f t="shared" si="569"/>
        <v>0</v>
      </c>
      <c r="HM42" s="1449">
        <f t="shared" si="569"/>
        <v>0</v>
      </c>
      <c r="HN42" s="1449">
        <f t="shared" si="569"/>
        <v>0</v>
      </c>
      <c r="HO42" s="1449">
        <f t="shared" si="569"/>
        <v>0</v>
      </c>
      <c r="HP42" s="1449">
        <f t="shared" si="569"/>
        <v>0</v>
      </c>
      <c r="HQ42" s="1449">
        <f t="shared" si="569"/>
        <v>0</v>
      </c>
      <c r="HR42" s="1449">
        <f t="shared" si="569"/>
        <v>0</v>
      </c>
      <c r="HS42" s="1449">
        <f t="shared" si="569"/>
        <v>0</v>
      </c>
      <c r="HT42" s="1449">
        <f t="shared" si="569"/>
        <v>0</v>
      </c>
      <c r="HU42" s="1449">
        <f t="shared" si="569"/>
        <v>0</v>
      </c>
      <c r="HV42" s="1449">
        <f t="shared" si="569"/>
        <v>0</v>
      </c>
      <c r="HW42" s="1449">
        <f t="shared" si="569"/>
        <v>0</v>
      </c>
      <c r="HX42" s="1449">
        <f t="shared" si="569"/>
        <v>0</v>
      </c>
      <c r="HY42" s="1449">
        <f t="shared" si="569"/>
        <v>0</v>
      </c>
      <c r="HZ42" s="1449">
        <f t="shared" si="569"/>
        <v>0</v>
      </c>
      <c r="IA42" s="1449">
        <f t="shared" si="569"/>
        <v>0</v>
      </c>
      <c r="IB42" s="1449">
        <f t="shared" si="569"/>
        <v>0</v>
      </c>
      <c r="IC42" s="1449">
        <f t="shared" si="569"/>
        <v>0</v>
      </c>
      <c r="ID42" s="1449">
        <f t="shared" si="569"/>
        <v>0</v>
      </c>
      <c r="IE42" s="1449">
        <f t="shared" si="569"/>
        <v>0</v>
      </c>
      <c r="IF42" s="1449">
        <f t="shared" si="569"/>
        <v>0</v>
      </c>
      <c r="IG42" s="1449">
        <f t="shared" si="569"/>
        <v>0</v>
      </c>
      <c r="IH42" s="1449">
        <f t="shared" si="569"/>
        <v>0</v>
      </c>
      <c r="II42" s="1449">
        <f t="shared" si="569"/>
        <v>0</v>
      </c>
      <c r="IJ42" s="1449">
        <f t="shared" si="569"/>
        <v>0</v>
      </c>
      <c r="IK42" s="1449">
        <f t="shared" si="569"/>
        <v>0</v>
      </c>
      <c r="IL42" s="1449">
        <f t="shared" si="569"/>
        <v>0</v>
      </c>
      <c r="IM42" s="1449">
        <f t="shared" si="569"/>
        <v>0</v>
      </c>
      <c r="IN42" s="1449">
        <f t="shared" ref="IN42:IS42" si="570">IN34</f>
        <v>0</v>
      </c>
      <c r="IO42" s="1449">
        <f t="shared" si="570"/>
        <v>0</v>
      </c>
      <c r="IP42" s="1449">
        <f t="shared" si="570"/>
        <v>0</v>
      </c>
      <c r="IQ42" s="1449">
        <f t="shared" si="570"/>
        <v>0</v>
      </c>
      <c r="IR42" s="1449">
        <f t="shared" si="570"/>
        <v>0</v>
      </c>
      <c r="IS42" s="1449">
        <f t="shared" si="570"/>
        <v>0</v>
      </c>
      <c r="IT42" s="1449">
        <f t="shared" ref="IT42:IW42" si="571">IT34</f>
        <v>0</v>
      </c>
      <c r="IU42" s="1449">
        <f t="shared" si="571"/>
        <v>0</v>
      </c>
      <c r="IV42" s="1449">
        <f t="shared" si="571"/>
        <v>0</v>
      </c>
      <c r="IW42" s="1449">
        <f t="shared" si="571"/>
        <v>0</v>
      </c>
      <c r="IX42" s="1449">
        <f t="shared" si="569"/>
        <v>0</v>
      </c>
      <c r="IY42" s="1449">
        <f t="shared" si="569"/>
        <v>0</v>
      </c>
      <c r="IZ42" s="1449">
        <f t="shared" si="569"/>
        <v>0</v>
      </c>
      <c r="JA42" s="1449">
        <f t="shared" si="569"/>
        <v>0</v>
      </c>
      <c r="JB42" s="1449">
        <f t="shared" si="569"/>
        <v>0</v>
      </c>
      <c r="JC42" s="1449">
        <f t="shared" si="569"/>
        <v>0</v>
      </c>
      <c r="JD42" s="1449">
        <f t="shared" si="569"/>
        <v>3362567.57</v>
      </c>
      <c r="JE42" s="1449">
        <f t="shared" si="569"/>
        <v>874267.56999999983</v>
      </c>
      <c r="JF42" s="1449">
        <f t="shared" si="569"/>
        <v>2488300</v>
      </c>
      <c r="JG42" s="1449">
        <f t="shared" si="569"/>
        <v>3362567.57</v>
      </c>
      <c r="JH42" s="1449">
        <f t="shared" si="569"/>
        <v>874267.57</v>
      </c>
      <c r="JI42" s="1449">
        <f t="shared" si="569"/>
        <v>2488300</v>
      </c>
      <c r="JJ42" s="1449">
        <f t="shared" si="569"/>
        <v>0</v>
      </c>
      <c r="JK42" s="1449">
        <f t="shared" si="569"/>
        <v>0</v>
      </c>
      <c r="JL42" s="1449">
        <f t="shared" si="569"/>
        <v>0</v>
      </c>
      <c r="JM42" s="1449">
        <f t="shared" si="569"/>
        <v>0</v>
      </c>
      <c r="JN42" s="1449">
        <f t="shared" si="569"/>
        <v>0</v>
      </c>
      <c r="JO42" s="1449">
        <f t="shared" si="569"/>
        <v>0</v>
      </c>
      <c r="JP42" s="1449">
        <f t="shared" si="569"/>
        <v>0</v>
      </c>
      <c r="JQ42" s="1449">
        <f t="shared" si="569"/>
        <v>0</v>
      </c>
      <c r="JR42" s="1449">
        <f t="shared" si="569"/>
        <v>0</v>
      </c>
      <c r="JS42" s="1449">
        <f t="shared" si="569"/>
        <v>0</v>
      </c>
      <c r="JT42" s="1449">
        <f t="shared" si="569"/>
        <v>0</v>
      </c>
      <c r="JU42" s="1449">
        <f t="shared" si="569"/>
        <v>0</v>
      </c>
      <c r="JV42" s="1449">
        <f t="shared" si="569"/>
        <v>0</v>
      </c>
      <c r="JW42" s="1449">
        <f t="shared" si="569"/>
        <v>0</v>
      </c>
      <c r="JX42" s="1449">
        <f t="shared" si="569"/>
        <v>0</v>
      </c>
      <c r="JY42" s="1449">
        <f t="shared" si="569"/>
        <v>0</v>
      </c>
      <c r="JZ42" s="1449">
        <f t="shared" si="569"/>
        <v>0</v>
      </c>
      <c r="KA42" s="1449">
        <f t="shared" si="569"/>
        <v>0</v>
      </c>
      <c r="KB42" s="1449">
        <f t="shared" si="569"/>
        <v>0</v>
      </c>
      <c r="KC42" s="1449">
        <f t="shared" si="569"/>
        <v>0</v>
      </c>
      <c r="KD42" s="1449">
        <f t="shared" si="569"/>
        <v>0</v>
      </c>
      <c r="KE42" s="1449">
        <f t="shared" si="569"/>
        <v>0</v>
      </c>
      <c r="KF42" s="1449">
        <f t="shared" si="569"/>
        <v>0</v>
      </c>
      <c r="KG42" s="1449">
        <f t="shared" si="569"/>
        <v>0</v>
      </c>
      <c r="KH42" s="1449">
        <f t="shared" si="569"/>
        <v>10673306.01</v>
      </c>
      <c r="KI42" s="1449">
        <f t="shared" si="569"/>
        <v>4592520</v>
      </c>
      <c r="KJ42" s="1449">
        <f t="shared" si="569"/>
        <v>2714716.01</v>
      </c>
      <c r="KK42" s="1449">
        <f t="shared" si="569"/>
        <v>1223726.9400000002</v>
      </c>
      <c r="KL42" s="1449">
        <f t="shared" si="569"/>
        <v>2142343.06</v>
      </c>
      <c r="KM42" s="1449">
        <f t="shared" si="569"/>
        <v>0</v>
      </c>
      <c r="KN42" s="1449">
        <f t="shared" si="569"/>
        <v>0</v>
      </c>
      <c r="KO42" s="1449">
        <f t="shared" ref="KO42:MZ42" si="572">KO34</f>
        <v>0</v>
      </c>
      <c r="KP42" s="1449">
        <f t="shared" si="572"/>
        <v>0</v>
      </c>
      <c r="KQ42" s="1449">
        <f t="shared" si="572"/>
        <v>0</v>
      </c>
      <c r="KR42" s="1449">
        <f t="shared" si="572"/>
        <v>0</v>
      </c>
      <c r="KS42" s="1449">
        <f t="shared" si="572"/>
        <v>0</v>
      </c>
      <c r="KT42" s="1449">
        <f t="shared" si="572"/>
        <v>0</v>
      </c>
      <c r="KU42" s="1449">
        <f t="shared" si="572"/>
        <v>0</v>
      </c>
      <c r="KV42" s="1449">
        <f t="shared" si="572"/>
        <v>0</v>
      </c>
      <c r="KW42" s="1449">
        <f t="shared" si="572"/>
        <v>0</v>
      </c>
      <c r="KX42" s="1449">
        <f t="shared" si="572"/>
        <v>0</v>
      </c>
      <c r="KY42" s="1449">
        <f t="shared" si="572"/>
        <v>0</v>
      </c>
      <c r="KZ42" s="1449">
        <f t="shared" si="572"/>
        <v>0</v>
      </c>
      <c r="LA42" s="1449">
        <f t="shared" si="572"/>
        <v>0</v>
      </c>
      <c r="LB42" s="1449">
        <f t="shared" si="572"/>
        <v>0</v>
      </c>
      <c r="LC42" s="1449">
        <f t="shared" si="572"/>
        <v>0</v>
      </c>
      <c r="LD42" s="1449">
        <f t="shared" si="572"/>
        <v>0</v>
      </c>
      <c r="LE42" s="1449">
        <f t="shared" si="572"/>
        <v>0</v>
      </c>
      <c r="LF42" s="1449">
        <f t="shared" si="572"/>
        <v>0</v>
      </c>
      <c r="LG42" s="1449">
        <f t="shared" si="572"/>
        <v>0</v>
      </c>
      <c r="LH42" s="1449">
        <f t="shared" si="572"/>
        <v>0</v>
      </c>
      <c r="LI42" s="1449">
        <f t="shared" si="572"/>
        <v>0</v>
      </c>
      <c r="LJ42" s="1449">
        <f t="shared" si="572"/>
        <v>0</v>
      </c>
      <c r="LK42" s="1449">
        <f t="shared" si="572"/>
        <v>0</v>
      </c>
      <c r="LL42" s="1449">
        <f t="shared" si="572"/>
        <v>0</v>
      </c>
      <c r="LM42" s="1449">
        <f t="shared" si="572"/>
        <v>0</v>
      </c>
      <c r="LN42" s="1449">
        <f t="shared" si="572"/>
        <v>0</v>
      </c>
      <c r="LO42" s="1449">
        <f t="shared" si="572"/>
        <v>0</v>
      </c>
      <c r="LP42" s="1449">
        <f t="shared" si="572"/>
        <v>0</v>
      </c>
      <c r="LQ42" s="1449">
        <f t="shared" si="572"/>
        <v>0</v>
      </c>
      <c r="LR42" s="1449">
        <f t="shared" si="572"/>
        <v>0</v>
      </c>
      <c r="LS42" s="1449">
        <f t="shared" si="572"/>
        <v>0</v>
      </c>
      <c r="LT42" s="1449">
        <f t="shared" si="572"/>
        <v>0</v>
      </c>
      <c r="LU42" s="1449">
        <f t="shared" si="572"/>
        <v>0</v>
      </c>
      <c r="LV42" s="1449">
        <f t="shared" si="572"/>
        <v>0</v>
      </c>
      <c r="LW42" s="1449">
        <f t="shared" si="572"/>
        <v>0</v>
      </c>
      <c r="LX42" s="1449">
        <f t="shared" si="572"/>
        <v>0</v>
      </c>
      <c r="LY42" s="1449">
        <f t="shared" si="572"/>
        <v>0</v>
      </c>
      <c r="LZ42" s="1449">
        <f t="shared" si="572"/>
        <v>0</v>
      </c>
      <c r="MA42" s="1449">
        <f t="shared" si="572"/>
        <v>0</v>
      </c>
      <c r="MB42" s="1449">
        <f t="shared" si="572"/>
        <v>0</v>
      </c>
      <c r="MC42" s="1449">
        <f t="shared" si="572"/>
        <v>0</v>
      </c>
      <c r="MD42" s="1449">
        <f t="shared" si="572"/>
        <v>0</v>
      </c>
      <c r="ME42" s="1449">
        <f t="shared" si="572"/>
        <v>0</v>
      </c>
      <c r="MF42" s="1449">
        <f t="shared" si="572"/>
        <v>0</v>
      </c>
      <c r="MG42" s="1449">
        <f t="shared" si="572"/>
        <v>0</v>
      </c>
      <c r="MH42" s="1449">
        <f t="shared" si="572"/>
        <v>0</v>
      </c>
      <c r="MI42" s="1449">
        <f t="shared" si="572"/>
        <v>0</v>
      </c>
      <c r="MJ42" s="1449">
        <f t="shared" si="572"/>
        <v>0</v>
      </c>
      <c r="MK42" s="1449">
        <f t="shared" si="572"/>
        <v>0</v>
      </c>
      <c r="ML42" s="1449">
        <f t="shared" si="572"/>
        <v>0</v>
      </c>
      <c r="MM42" s="1449">
        <f t="shared" si="572"/>
        <v>0</v>
      </c>
      <c r="MN42" s="1449">
        <f t="shared" si="572"/>
        <v>0</v>
      </c>
      <c r="MO42" s="1449">
        <f t="shared" si="572"/>
        <v>0</v>
      </c>
      <c r="MP42" s="1449">
        <f t="shared" si="572"/>
        <v>0</v>
      </c>
      <c r="MQ42" s="1449">
        <f t="shared" si="572"/>
        <v>0</v>
      </c>
      <c r="MR42" s="1449">
        <f t="shared" si="572"/>
        <v>0</v>
      </c>
      <c r="MS42" s="1449">
        <f t="shared" si="572"/>
        <v>0</v>
      </c>
      <c r="MT42" s="1449">
        <f t="shared" si="572"/>
        <v>1650785.01</v>
      </c>
      <c r="MU42" s="1449">
        <f t="shared" si="572"/>
        <v>0</v>
      </c>
      <c r="MV42" s="1449">
        <f t="shared" si="572"/>
        <v>0</v>
      </c>
      <c r="MW42" s="1449">
        <f t="shared" si="572"/>
        <v>0</v>
      </c>
      <c r="MX42" s="1449">
        <f t="shared" si="572"/>
        <v>0</v>
      </c>
      <c r="MY42" s="1449">
        <f t="shared" si="572"/>
        <v>0</v>
      </c>
      <c r="MZ42" s="1449">
        <f t="shared" si="572"/>
        <v>429204.1</v>
      </c>
      <c r="NA42" s="1449">
        <f t="shared" ref="NA42:PL42" si="573">NA34</f>
        <v>1221580.9100000001</v>
      </c>
      <c r="NB42" s="1449">
        <f t="shared" si="573"/>
        <v>1650785.01</v>
      </c>
      <c r="NC42" s="1449">
        <f t="shared" si="573"/>
        <v>0</v>
      </c>
      <c r="ND42" s="1449">
        <f t="shared" si="573"/>
        <v>0</v>
      </c>
      <c r="NE42" s="1449">
        <f t="shared" si="573"/>
        <v>0</v>
      </c>
      <c r="NF42" s="1449">
        <f t="shared" si="573"/>
        <v>0</v>
      </c>
      <c r="NG42" s="1449">
        <f t="shared" si="573"/>
        <v>0</v>
      </c>
      <c r="NH42" s="1449">
        <f t="shared" si="573"/>
        <v>429204.11</v>
      </c>
      <c r="NI42" s="1449">
        <f t="shared" si="573"/>
        <v>1221580.8999999999</v>
      </c>
      <c r="NJ42" s="1449">
        <f t="shared" si="573"/>
        <v>0</v>
      </c>
      <c r="NK42" s="1449">
        <f t="shared" si="573"/>
        <v>0</v>
      </c>
      <c r="NL42" s="1449">
        <f t="shared" si="573"/>
        <v>0</v>
      </c>
      <c r="NM42" s="1449">
        <f t="shared" si="573"/>
        <v>0</v>
      </c>
      <c r="NN42" s="1449">
        <f t="shared" si="573"/>
        <v>0</v>
      </c>
      <c r="NO42" s="1449">
        <f t="shared" si="573"/>
        <v>0</v>
      </c>
      <c r="NP42" s="1449">
        <f t="shared" si="573"/>
        <v>0</v>
      </c>
      <c r="NQ42" s="1449">
        <f t="shared" si="573"/>
        <v>0</v>
      </c>
      <c r="NR42" s="1449">
        <f t="shared" si="573"/>
        <v>0</v>
      </c>
      <c r="NS42" s="1449">
        <f t="shared" si="573"/>
        <v>0</v>
      </c>
      <c r="NT42" s="1449">
        <f t="shared" si="573"/>
        <v>0</v>
      </c>
      <c r="NU42" s="1449">
        <f t="shared" si="573"/>
        <v>0</v>
      </c>
      <c r="NV42" s="1449">
        <f t="shared" si="573"/>
        <v>0</v>
      </c>
      <c r="NW42" s="1449">
        <f t="shared" si="573"/>
        <v>0</v>
      </c>
      <c r="NX42" s="1449">
        <f t="shared" si="573"/>
        <v>0</v>
      </c>
      <c r="NY42" s="1449">
        <f t="shared" si="573"/>
        <v>0</v>
      </c>
      <c r="NZ42" s="1449">
        <f t="shared" si="573"/>
        <v>0</v>
      </c>
      <c r="OA42" s="1449">
        <f t="shared" si="573"/>
        <v>0</v>
      </c>
      <c r="OB42" s="1449">
        <f t="shared" si="573"/>
        <v>0</v>
      </c>
      <c r="OC42" s="1449">
        <f t="shared" si="573"/>
        <v>0</v>
      </c>
      <c r="OD42" s="1449">
        <f t="shared" si="573"/>
        <v>0</v>
      </c>
      <c r="OE42" s="1449">
        <f t="shared" si="573"/>
        <v>0</v>
      </c>
      <c r="OF42" s="1449">
        <f t="shared" si="573"/>
        <v>0</v>
      </c>
      <c r="OG42" s="1449">
        <f t="shared" si="573"/>
        <v>0</v>
      </c>
      <c r="OH42" s="1449">
        <f t="shared" si="573"/>
        <v>0</v>
      </c>
      <c r="OI42" s="1449">
        <f t="shared" si="573"/>
        <v>0</v>
      </c>
      <c r="OJ42" s="1449">
        <f t="shared" si="573"/>
        <v>368867921.07999998</v>
      </c>
      <c r="OK42" s="1449">
        <f t="shared" si="573"/>
        <v>8862344.3799999878</v>
      </c>
      <c r="OL42" s="1449">
        <f t="shared" si="573"/>
        <v>168384500</v>
      </c>
      <c r="OM42" s="1449">
        <f t="shared" si="573"/>
        <v>191621076.69999999</v>
      </c>
      <c r="ON42" s="1449">
        <f t="shared" si="573"/>
        <v>240966539.10000002</v>
      </c>
      <c r="OO42" s="1449">
        <f t="shared" si="573"/>
        <v>6267207.3700000001</v>
      </c>
      <c r="OP42" s="1449">
        <f t="shared" si="573"/>
        <v>119076909.65000001</v>
      </c>
      <c r="OQ42" s="1449">
        <f t="shared" si="573"/>
        <v>115622422.08</v>
      </c>
      <c r="OR42" s="1449">
        <f t="shared" si="573"/>
        <v>0</v>
      </c>
      <c r="OS42" s="1449">
        <f t="shared" si="573"/>
        <v>0</v>
      </c>
      <c r="OT42" s="1449">
        <f t="shared" si="573"/>
        <v>0</v>
      </c>
      <c r="OU42" s="1449">
        <f t="shared" si="573"/>
        <v>0</v>
      </c>
      <c r="OV42" s="1449">
        <f t="shared" si="573"/>
        <v>0</v>
      </c>
      <c r="OW42" s="1449">
        <f t="shared" si="573"/>
        <v>0</v>
      </c>
      <c r="OX42" s="1449">
        <f t="shared" si="573"/>
        <v>0</v>
      </c>
      <c r="OY42" s="1449">
        <f t="shared" si="573"/>
        <v>0</v>
      </c>
      <c r="OZ42" s="1449">
        <f t="shared" si="573"/>
        <v>0</v>
      </c>
      <c r="PA42" s="1449">
        <f t="shared" si="573"/>
        <v>0</v>
      </c>
      <c r="PB42" s="1449">
        <f t="shared" si="573"/>
        <v>0</v>
      </c>
      <c r="PC42" s="1449">
        <f t="shared" si="573"/>
        <v>0</v>
      </c>
      <c r="PD42" s="1449">
        <f t="shared" si="573"/>
        <v>0</v>
      </c>
      <c r="PE42" s="1449">
        <f t="shared" si="573"/>
        <v>0</v>
      </c>
      <c r="PF42" s="1449">
        <f t="shared" si="573"/>
        <v>0</v>
      </c>
      <c r="PG42" s="1449">
        <f t="shared" si="573"/>
        <v>0</v>
      </c>
      <c r="PH42" s="1449">
        <f t="shared" si="573"/>
        <v>0</v>
      </c>
      <c r="PI42" s="1449">
        <f t="shared" si="573"/>
        <v>0</v>
      </c>
      <c r="PJ42" s="1449">
        <f t="shared" si="573"/>
        <v>0</v>
      </c>
      <c r="PK42" s="1449">
        <f t="shared" si="573"/>
        <v>0</v>
      </c>
      <c r="PL42" s="1449">
        <f t="shared" si="573"/>
        <v>0</v>
      </c>
      <c r="PM42" s="1449">
        <f t="shared" ref="PM42:SB42" si="574">PM34</f>
        <v>0</v>
      </c>
      <c r="PN42" s="1449">
        <f t="shared" si="574"/>
        <v>0</v>
      </c>
      <c r="PO42" s="1449">
        <f t="shared" si="574"/>
        <v>0</v>
      </c>
      <c r="PP42" s="1449">
        <f t="shared" si="574"/>
        <v>0</v>
      </c>
      <c r="PQ42" s="1449">
        <f t="shared" si="574"/>
        <v>0</v>
      </c>
      <c r="PR42" s="1449">
        <f t="shared" si="574"/>
        <v>0</v>
      </c>
      <c r="PS42" s="1449">
        <f t="shared" ref="PS42:PY42" si="575">PS34</f>
        <v>0</v>
      </c>
      <c r="PT42" s="1449">
        <f t="shared" si="575"/>
        <v>0</v>
      </c>
      <c r="PU42" s="1449">
        <f t="shared" si="575"/>
        <v>0</v>
      </c>
      <c r="PV42" s="1449">
        <f t="shared" si="575"/>
        <v>0</v>
      </c>
      <c r="PW42" s="1449">
        <f t="shared" si="575"/>
        <v>0</v>
      </c>
      <c r="PX42" s="1449">
        <f t="shared" si="575"/>
        <v>0</v>
      </c>
      <c r="PY42" s="1449">
        <f t="shared" si="575"/>
        <v>0</v>
      </c>
      <c r="PZ42" s="1449">
        <f t="shared" si="574"/>
        <v>0</v>
      </c>
      <c r="QA42" s="1449">
        <f t="shared" si="574"/>
        <v>0</v>
      </c>
      <c r="QB42" s="1449">
        <f t="shared" si="574"/>
        <v>0</v>
      </c>
      <c r="QC42" s="1449">
        <f t="shared" si="574"/>
        <v>0</v>
      </c>
      <c r="QD42" s="1449">
        <f t="shared" si="574"/>
        <v>0</v>
      </c>
      <c r="QE42" s="1449">
        <f t="shared" si="574"/>
        <v>0</v>
      </c>
      <c r="QF42" s="1449">
        <f t="shared" si="574"/>
        <v>0</v>
      </c>
      <c r="QG42" s="1449">
        <f t="shared" si="574"/>
        <v>0</v>
      </c>
      <c r="QH42" s="1449">
        <f t="shared" si="574"/>
        <v>0</v>
      </c>
      <c r="QI42" s="1449">
        <f t="shared" si="574"/>
        <v>0</v>
      </c>
      <c r="QJ42" s="1449">
        <f t="shared" si="574"/>
        <v>0</v>
      </c>
      <c r="QK42" s="1449">
        <f t="shared" si="574"/>
        <v>0</v>
      </c>
      <c r="QL42" s="1449">
        <f t="shared" si="574"/>
        <v>0</v>
      </c>
      <c r="QM42" s="1449">
        <f t="shared" si="574"/>
        <v>0</v>
      </c>
      <c r="QN42" s="1449">
        <f t="shared" si="574"/>
        <v>0</v>
      </c>
      <c r="QO42" s="1449">
        <f t="shared" si="574"/>
        <v>0</v>
      </c>
      <c r="QP42" s="1449">
        <f t="shared" si="574"/>
        <v>0</v>
      </c>
      <c r="QQ42" s="1449">
        <f t="shared" si="574"/>
        <v>0</v>
      </c>
      <c r="QR42" s="1449">
        <f t="shared" si="574"/>
        <v>6974526.3200000003</v>
      </c>
      <c r="QS42" s="1449">
        <f t="shared" si="574"/>
        <v>348726.3200000003</v>
      </c>
      <c r="QT42" s="1449">
        <f t="shared" si="574"/>
        <v>6625800</v>
      </c>
      <c r="QU42" s="1449">
        <f t="shared" si="574"/>
        <v>3281918.96</v>
      </c>
      <c r="QV42" s="1449">
        <f t="shared" si="574"/>
        <v>164095.95000000001</v>
      </c>
      <c r="QW42" s="1449">
        <f t="shared" si="574"/>
        <v>3117823.01</v>
      </c>
      <c r="QX42" s="1449">
        <f t="shared" si="574"/>
        <v>0</v>
      </c>
      <c r="QY42" s="1449">
        <f t="shared" si="574"/>
        <v>0</v>
      </c>
      <c r="QZ42" s="1449">
        <f t="shared" si="574"/>
        <v>0</v>
      </c>
      <c r="RA42" s="1449">
        <f t="shared" si="574"/>
        <v>0</v>
      </c>
      <c r="RB42" s="1449">
        <f t="shared" si="574"/>
        <v>0</v>
      </c>
      <c r="RC42" s="1449">
        <f t="shared" si="574"/>
        <v>0</v>
      </c>
      <c r="RD42" s="1449">
        <f t="shared" si="574"/>
        <v>0</v>
      </c>
      <c r="RE42" s="1449">
        <f t="shared" si="574"/>
        <v>0</v>
      </c>
      <c r="RF42" s="1449">
        <f t="shared" si="574"/>
        <v>0</v>
      </c>
      <c r="RG42" s="1449">
        <f t="shared" si="574"/>
        <v>0</v>
      </c>
      <c r="RH42" s="1449">
        <f t="shared" si="574"/>
        <v>0</v>
      </c>
      <c r="RI42" s="1449">
        <f t="shared" si="574"/>
        <v>0</v>
      </c>
      <c r="RJ42" s="1449">
        <f t="shared" si="574"/>
        <v>0</v>
      </c>
      <c r="RK42" s="1449">
        <f t="shared" si="574"/>
        <v>0</v>
      </c>
      <c r="RL42" s="1449">
        <f t="shared" si="574"/>
        <v>0</v>
      </c>
      <c r="RM42" s="1449">
        <f t="shared" si="574"/>
        <v>0</v>
      </c>
      <c r="RN42" s="1449">
        <f t="shared" si="574"/>
        <v>0</v>
      </c>
      <c r="RO42" s="1449">
        <f t="shared" si="574"/>
        <v>0</v>
      </c>
      <c r="RP42" s="1449">
        <f t="shared" si="574"/>
        <v>0</v>
      </c>
      <c r="RQ42" s="1449">
        <f t="shared" si="574"/>
        <v>0</v>
      </c>
      <c r="RR42" s="1449">
        <f t="shared" si="574"/>
        <v>0</v>
      </c>
      <c r="RS42" s="1449">
        <f t="shared" si="574"/>
        <v>0</v>
      </c>
      <c r="RT42" s="1449">
        <f t="shared" si="574"/>
        <v>0</v>
      </c>
      <c r="RU42" s="1449">
        <f t="shared" si="574"/>
        <v>0</v>
      </c>
      <c r="RV42" s="1449">
        <f t="shared" si="574"/>
        <v>0</v>
      </c>
      <c r="RW42" s="1449">
        <f t="shared" si="574"/>
        <v>0</v>
      </c>
      <c r="RX42" s="1449">
        <f t="shared" si="574"/>
        <v>0</v>
      </c>
      <c r="RY42" s="1449">
        <f t="shared" si="574"/>
        <v>0</v>
      </c>
      <c r="RZ42" s="1449">
        <f t="shared" si="574"/>
        <v>0</v>
      </c>
      <c r="SA42" s="1449">
        <f t="shared" si="574"/>
        <v>0</v>
      </c>
      <c r="SB42" s="1449">
        <f t="shared" si="574"/>
        <v>836325530.1400001</v>
      </c>
      <c r="SC42" s="1449">
        <f t="shared" ref="SC42:UN42" si="576">SC34</f>
        <v>291846070.68000001</v>
      </c>
      <c r="SD42" s="1449">
        <f t="shared" si="576"/>
        <v>141564659.46000004</v>
      </c>
      <c r="SE42" s="1449">
        <f t="shared" si="576"/>
        <v>402914800</v>
      </c>
      <c r="SF42" s="1449">
        <f t="shared" si="576"/>
        <v>706216261.29999995</v>
      </c>
      <c r="SG42" s="1449">
        <f t="shared" si="576"/>
        <v>193907064.15000001</v>
      </c>
      <c r="SH42" s="1449">
        <f t="shared" si="576"/>
        <v>133200391.26000001</v>
      </c>
      <c r="SI42" s="1449">
        <f t="shared" si="576"/>
        <v>379108805.88999999</v>
      </c>
      <c r="SJ42" s="1449">
        <f t="shared" si="576"/>
        <v>0</v>
      </c>
      <c r="SK42" s="1449">
        <f t="shared" si="576"/>
        <v>0</v>
      </c>
      <c r="SL42" s="1449">
        <f t="shared" si="576"/>
        <v>0</v>
      </c>
      <c r="SM42" s="1449">
        <f t="shared" si="576"/>
        <v>0</v>
      </c>
      <c r="SN42" s="1449">
        <f t="shared" si="576"/>
        <v>0</v>
      </c>
      <c r="SO42" s="1449">
        <f t="shared" si="576"/>
        <v>0</v>
      </c>
      <c r="SP42" s="1449">
        <f t="shared" si="576"/>
        <v>13685959.390000001</v>
      </c>
      <c r="SQ42" s="1449">
        <f t="shared" si="576"/>
        <v>0</v>
      </c>
      <c r="SR42" s="1449">
        <f t="shared" si="576"/>
        <v>0</v>
      </c>
      <c r="SS42" s="1449">
        <f t="shared" si="576"/>
        <v>0</v>
      </c>
      <c r="ST42" s="1449">
        <f t="shared" si="576"/>
        <v>0</v>
      </c>
      <c r="SU42" s="1449">
        <f t="shared" si="576"/>
        <v>13685959.390000001</v>
      </c>
      <c r="SV42" s="1449">
        <f t="shared" si="576"/>
        <v>0</v>
      </c>
      <c r="SW42" s="1449">
        <f t="shared" si="576"/>
        <v>0</v>
      </c>
      <c r="SX42" s="1449">
        <f t="shared" si="576"/>
        <v>0</v>
      </c>
      <c r="SY42" s="1449">
        <f t="shared" si="576"/>
        <v>0</v>
      </c>
      <c r="SZ42" s="1449">
        <f t="shared" si="576"/>
        <v>0</v>
      </c>
      <c r="TA42" s="1449">
        <f t="shared" si="576"/>
        <v>0</v>
      </c>
      <c r="TB42" s="1449">
        <f t="shared" si="576"/>
        <v>0</v>
      </c>
      <c r="TC42" s="1449">
        <f t="shared" si="576"/>
        <v>0</v>
      </c>
      <c r="TD42" s="1449">
        <f t="shared" si="576"/>
        <v>0</v>
      </c>
      <c r="TE42" s="1449">
        <f t="shared" si="576"/>
        <v>0</v>
      </c>
      <c r="TF42" s="1449">
        <f t="shared" si="576"/>
        <v>0</v>
      </c>
      <c r="TG42" s="1449">
        <f t="shared" si="576"/>
        <v>0</v>
      </c>
      <c r="TH42" s="1449">
        <f t="shared" si="576"/>
        <v>0</v>
      </c>
      <c r="TI42" s="1449">
        <f t="shared" si="576"/>
        <v>0</v>
      </c>
      <c r="TJ42" s="1449">
        <f t="shared" si="576"/>
        <v>0</v>
      </c>
      <c r="TK42" s="1449">
        <f t="shared" si="576"/>
        <v>0</v>
      </c>
      <c r="TL42" s="1449">
        <f t="shared" si="576"/>
        <v>0</v>
      </c>
      <c r="TM42" s="1449">
        <f t="shared" si="576"/>
        <v>0</v>
      </c>
      <c r="TN42" s="1449">
        <f t="shared" si="576"/>
        <v>0</v>
      </c>
      <c r="TO42" s="1449">
        <f t="shared" si="576"/>
        <v>0</v>
      </c>
      <c r="TP42" s="1449">
        <f t="shared" si="576"/>
        <v>0</v>
      </c>
      <c r="TQ42" s="1449">
        <f t="shared" si="576"/>
        <v>0</v>
      </c>
      <c r="TR42" s="1449">
        <f t="shared" si="576"/>
        <v>0</v>
      </c>
      <c r="TS42" s="1449">
        <f t="shared" si="576"/>
        <v>0</v>
      </c>
      <c r="TT42" s="1449">
        <f t="shared" si="576"/>
        <v>0</v>
      </c>
      <c r="TU42" s="1449">
        <f t="shared" si="576"/>
        <v>0</v>
      </c>
      <c r="TV42" s="1449">
        <f t="shared" si="576"/>
        <v>0</v>
      </c>
      <c r="TW42" s="1449">
        <f t="shared" si="576"/>
        <v>0</v>
      </c>
      <c r="TX42" s="1449">
        <f t="shared" si="576"/>
        <v>0</v>
      </c>
      <c r="TY42" s="1449">
        <f t="shared" si="576"/>
        <v>0</v>
      </c>
      <c r="TZ42" s="1449">
        <f t="shared" si="576"/>
        <v>0</v>
      </c>
      <c r="UA42" s="1449">
        <f t="shared" si="576"/>
        <v>0</v>
      </c>
      <c r="UB42" s="1449">
        <f t="shared" si="576"/>
        <v>0</v>
      </c>
      <c r="UC42" s="1449">
        <f t="shared" si="576"/>
        <v>0</v>
      </c>
      <c r="UD42" s="1449">
        <f t="shared" si="576"/>
        <v>0</v>
      </c>
      <c r="UE42" s="1449">
        <f t="shared" si="576"/>
        <v>0</v>
      </c>
      <c r="UF42" s="1449">
        <f t="shared" si="576"/>
        <v>0</v>
      </c>
      <c r="UG42" s="1449">
        <f t="shared" si="576"/>
        <v>0</v>
      </c>
      <c r="UH42" s="1449">
        <f t="shared" si="576"/>
        <v>0</v>
      </c>
      <c r="UI42" s="1449">
        <f t="shared" si="576"/>
        <v>0</v>
      </c>
      <c r="UJ42" s="1449">
        <f t="shared" si="576"/>
        <v>0</v>
      </c>
      <c r="UK42" s="1449">
        <f t="shared" si="576"/>
        <v>0</v>
      </c>
      <c r="UL42" s="1449">
        <f t="shared" si="576"/>
        <v>0</v>
      </c>
      <c r="UM42" s="1449">
        <f t="shared" si="576"/>
        <v>0</v>
      </c>
      <c r="UN42" s="1449">
        <f t="shared" si="576"/>
        <v>0</v>
      </c>
      <c r="UO42" s="1449">
        <f t="shared" ref="UO42:XF42" si="577">UO34</f>
        <v>0</v>
      </c>
      <c r="UP42" s="1449">
        <f t="shared" si="577"/>
        <v>0</v>
      </c>
      <c r="UQ42" s="1449">
        <f t="shared" si="577"/>
        <v>0</v>
      </c>
      <c r="UR42" s="1449">
        <f t="shared" si="577"/>
        <v>0</v>
      </c>
      <c r="US42" s="1449">
        <f t="shared" si="577"/>
        <v>0</v>
      </c>
      <c r="UT42" s="1449">
        <f t="shared" si="577"/>
        <v>1761275224.3200002</v>
      </c>
      <c r="UU42" s="1449">
        <f t="shared" si="577"/>
        <v>1056044171.04</v>
      </c>
      <c r="UV42" s="1449">
        <f t="shared" si="577"/>
        <v>0</v>
      </c>
      <c r="UW42" s="1449">
        <f t="shared" si="577"/>
        <v>0</v>
      </c>
      <c r="UX42" s="1449">
        <f t="shared" si="577"/>
        <v>0</v>
      </c>
      <c r="UY42" s="1449">
        <f t="shared" si="577"/>
        <v>0</v>
      </c>
      <c r="UZ42" s="1449">
        <f t="shared" si="577"/>
        <v>0</v>
      </c>
      <c r="VA42" s="1449">
        <f t="shared" si="577"/>
        <v>0</v>
      </c>
      <c r="VB42" s="1449">
        <f t="shared" si="577"/>
        <v>8706116796.8400021</v>
      </c>
      <c r="VC42" s="1449">
        <f t="shared" si="577"/>
        <v>8445793037.3200006</v>
      </c>
      <c r="VD42" s="1449">
        <f t="shared" si="577"/>
        <v>260323759.52000001</v>
      </c>
      <c r="VE42" s="1449">
        <f t="shared" si="577"/>
        <v>6440121009.8699999</v>
      </c>
      <c r="VF42" s="1449">
        <f t="shared" si="577"/>
        <v>6269997343.5900002</v>
      </c>
      <c r="VG42" s="1449">
        <f t="shared" si="577"/>
        <v>170123666.28</v>
      </c>
      <c r="VH42" s="1449">
        <f t="shared" si="577"/>
        <v>8204168515.0800009</v>
      </c>
      <c r="VI42" s="1449">
        <f t="shared" si="577"/>
        <v>6092191302.6700001</v>
      </c>
      <c r="VJ42" s="1449">
        <f t="shared" si="577"/>
        <v>149755245</v>
      </c>
      <c r="VK42" s="1449">
        <f t="shared" si="577"/>
        <v>118000000</v>
      </c>
      <c r="VL42" s="1449">
        <f t="shared" si="577"/>
        <v>0</v>
      </c>
      <c r="VM42" s="1449">
        <f t="shared" si="577"/>
        <v>0</v>
      </c>
      <c r="VN42" s="1449">
        <f t="shared" si="577"/>
        <v>0</v>
      </c>
      <c r="VO42" s="1449">
        <f t="shared" si="577"/>
        <v>0</v>
      </c>
      <c r="VP42" s="1449">
        <f t="shared" si="577"/>
        <v>63100</v>
      </c>
      <c r="VQ42" s="1449">
        <f t="shared" si="577"/>
        <v>0</v>
      </c>
      <c r="VR42" s="1449">
        <f t="shared" si="577"/>
        <v>0</v>
      </c>
      <c r="VS42" s="1449">
        <f t="shared" si="577"/>
        <v>0</v>
      </c>
      <c r="VT42" s="1449">
        <f t="shared" si="577"/>
        <v>0</v>
      </c>
      <c r="VU42" s="1449">
        <f t="shared" si="577"/>
        <v>0</v>
      </c>
      <c r="VV42" s="1449">
        <f t="shared" si="577"/>
        <v>7674600</v>
      </c>
      <c r="VW42" s="1449">
        <f t="shared" si="577"/>
        <v>7674600</v>
      </c>
      <c r="VX42" s="1449">
        <f t="shared" si="577"/>
        <v>339825756.09999996</v>
      </c>
      <c r="VY42" s="1449">
        <f t="shared" si="577"/>
        <v>88354696.579999983</v>
      </c>
      <c r="VZ42" s="1449">
        <f t="shared" si="577"/>
        <v>251471059.52000001</v>
      </c>
      <c r="WA42" s="1449">
        <f t="shared" si="577"/>
        <v>218288618.92000002</v>
      </c>
      <c r="WB42" s="1449">
        <f t="shared" si="577"/>
        <v>56755040.920000002</v>
      </c>
      <c r="WC42" s="1449">
        <f t="shared" si="577"/>
        <v>161533578</v>
      </c>
      <c r="WD42" s="1449">
        <f t="shared" si="577"/>
        <v>4629580.66</v>
      </c>
      <c r="WE42" s="1449">
        <f t="shared" si="577"/>
        <v>3514580.66</v>
      </c>
      <c r="WF42" s="1449">
        <f t="shared" si="577"/>
        <v>1115000</v>
      </c>
      <c r="WG42" s="1449">
        <f t="shared" si="577"/>
        <v>3966488.2800000003</v>
      </c>
      <c r="WH42" s="1449">
        <f t="shared" si="577"/>
        <v>3051000</v>
      </c>
      <c r="WI42" s="1449">
        <f t="shared" si="577"/>
        <v>915488.28</v>
      </c>
      <c r="WJ42" s="1449">
        <f t="shared" si="577"/>
        <v>1505439121.9500003</v>
      </c>
      <c r="WK42" s="1449">
        <f t="shared" si="577"/>
        <v>704733662.95000005</v>
      </c>
      <c r="WL42" s="1449">
        <f t="shared" ref="WL42:WQ42" si="578">WL34</f>
        <v>0</v>
      </c>
      <c r="WM42" s="1449">
        <f t="shared" si="578"/>
        <v>0</v>
      </c>
      <c r="WN42" s="1449">
        <f t="shared" si="578"/>
        <v>0</v>
      </c>
      <c r="WO42" s="1449">
        <f t="shared" si="578"/>
        <v>0</v>
      </c>
      <c r="WP42" s="1449">
        <f t="shared" si="578"/>
        <v>0</v>
      </c>
      <c r="WQ42" s="1449">
        <f t="shared" si="578"/>
        <v>0</v>
      </c>
      <c r="WR42" s="1449">
        <f t="shared" si="577"/>
        <v>96014740</v>
      </c>
      <c r="WS42" s="1449">
        <f t="shared" si="577"/>
        <v>4800739.34</v>
      </c>
      <c r="WT42" s="1449">
        <f t="shared" si="577"/>
        <v>91214000.659999996</v>
      </c>
      <c r="WU42" s="1449">
        <f t="shared" si="577"/>
        <v>15963290.640000001</v>
      </c>
      <c r="WV42" s="1449">
        <f t="shared" si="577"/>
        <v>798164.93</v>
      </c>
      <c r="WW42" s="1449">
        <f t="shared" si="577"/>
        <v>15165125.710000001</v>
      </c>
      <c r="WX42" s="1449">
        <f t="shared" si="577"/>
        <v>20591666.829999998</v>
      </c>
      <c r="WY42" s="1449">
        <f t="shared" si="577"/>
        <v>1029583.3400000001</v>
      </c>
      <c r="WZ42" s="1449">
        <f t="shared" si="577"/>
        <v>19562083.490000002</v>
      </c>
      <c r="XA42" s="1449">
        <f t="shared" si="577"/>
        <v>15660234.380000001</v>
      </c>
      <c r="XB42" s="1449">
        <f t="shared" si="577"/>
        <v>783011.72</v>
      </c>
      <c r="XC42" s="1449">
        <f t="shared" si="577"/>
        <v>14877222.66</v>
      </c>
      <c r="XD42" s="1449">
        <f t="shared" si="577"/>
        <v>439627862</v>
      </c>
      <c r="XE42" s="1449">
        <f t="shared" si="577"/>
        <v>217125291</v>
      </c>
      <c r="XF42" s="1449">
        <f t="shared" si="577"/>
        <v>222502571</v>
      </c>
      <c r="XG42" s="1449">
        <f t="shared" ref="XG42:ZR42" si="579">XG34</f>
        <v>175390240</v>
      </c>
      <c r="XH42" s="1449">
        <f t="shared" si="579"/>
        <v>0</v>
      </c>
      <c r="XI42" s="1449">
        <f t="shared" si="579"/>
        <v>175390240</v>
      </c>
      <c r="XJ42" s="1449">
        <f t="shared" si="579"/>
        <v>0</v>
      </c>
      <c r="XK42" s="1449">
        <f t="shared" si="579"/>
        <v>0</v>
      </c>
      <c r="XL42" s="1449">
        <f t="shared" si="579"/>
        <v>0</v>
      </c>
      <c r="XM42" s="1449">
        <f t="shared" si="579"/>
        <v>0</v>
      </c>
      <c r="XN42" s="1449">
        <f t="shared" si="579"/>
        <v>0</v>
      </c>
      <c r="XO42" s="1449">
        <f t="shared" si="579"/>
        <v>0</v>
      </c>
      <c r="XP42" s="1449">
        <f t="shared" si="579"/>
        <v>0</v>
      </c>
      <c r="XQ42" s="1449">
        <f t="shared" si="579"/>
        <v>0</v>
      </c>
      <c r="XR42" s="1449">
        <f t="shared" si="579"/>
        <v>0</v>
      </c>
      <c r="XS42" s="1449">
        <f t="shared" si="579"/>
        <v>0</v>
      </c>
      <c r="XT42" s="1449">
        <f t="shared" si="579"/>
        <v>0</v>
      </c>
      <c r="XU42" s="1449">
        <f t="shared" si="579"/>
        <v>0</v>
      </c>
      <c r="XV42" s="1449">
        <f t="shared" si="579"/>
        <v>949204853.12000012</v>
      </c>
      <c r="XW42" s="1449">
        <f t="shared" si="579"/>
        <v>335640263.04000002</v>
      </c>
      <c r="XX42" s="1449">
        <f t="shared" si="579"/>
        <v>123634488</v>
      </c>
      <c r="XY42" s="1449">
        <f t="shared" si="579"/>
        <v>0</v>
      </c>
      <c r="XZ42" s="1449">
        <f t="shared" si="579"/>
        <v>355374797.69</v>
      </c>
      <c r="YA42" s="1449">
        <f t="shared" si="579"/>
        <v>0</v>
      </c>
      <c r="YB42" s="1449">
        <f t="shared" si="579"/>
        <v>95774236.409999996</v>
      </c>
      <c r="YC42" s="1449">
        <f t="shared" si="579"/>
        <v>4968497.47</v>
      </c>
      <c r="YD42" s="1449">
        <f t="shared" si="579"/>
        <v>15239585.040000001</v>
      </c>
      <c r="YE42" s="1449">
        <f t="shared" si="579"/>
        <v>0</v>
      </c>
      <c r="YF42" s="1449">
        <f t="shared" si="579"/>
        <v>18572985.469999999</v>
      </c>
      <c r="YG42" s="1449">
        <f t="shared" si="579"/>
        <v>497719897.93000001</v>
      </c>
      <c r="YH42" s="1449">
        <f t="shared" si="579"/>
        <v>176246821.08000001</v>
      </c>
      <c r="YI42" s="1449">
        <f t="shared" si="579"/>
        <v>16577703.73</v>
      </c>
      <c r="YJ42" s="1449">
        <f t="shared" si="579"/>
        <v>0</v>
      </c>
      <c r="YK42" s="1449">
        <f t="shared" si="579"/>
        <v>248408155.34999999</v>
      </c>
      <c r="YL42" s="1449">
        <f t="shared" si="579"/>
        <v>0</v>
      </c>
      <c r="YM42" s="1449">
        <f t="shared" si="579"/>
        <v>37914232.299999997</v>
      </c>
      <c r="YN42" s="1449">
        <f t="shared" si="579"/>
        <v>0</v>
      </c>
      <c r="YO42" s="1449">
        <f t="shared" si="579"/>
        <v>0</v>
      </c>
      <c r="YP42" s="1449">
        <f t="shared" si="579"/>
        <v>0</v>
      </c>
      <c r="YQ42" s="1449">
        <f t="shared" si="579"/>
        <v>18572985.469999999</v>
      </c>
      <c r="YR42" s="1449">
        <f t="shared" si="579"/>
        <v>0</v>
      </c>
      <c r="YS42" s="1449">
        <f t="shared" si="579"/>
        <v>0</v>
      </c>
      <c r="YT42" s="1449">
        <f t="shared" si="579"/>
        <v>0</v>
      </c>
      <c r="YU42" s="1449">
        <f t="shared" si="579"/>
        <v>0</v>
      </c>
      <c r="YV42" s="1449">
        <f t="shared" si="579"/>
        <v>0</v>
      </c>
      <c r="YW42" s="1449">
        <f t="shared" si="579"/>
        <v>0</v>
      </c>
      <c r="YX42" s="1449">
        <f t="shared" si="579"/>
        <v>0</v>
      </c>
      <c r="YY42" s="1449">
        <f t="shared" si="579"/>
        <v>0</v>
      </c>
      <c r="YZ42" s="1449">
        <f t="shared" si="579"/>
        <v>0</v>
      </c>
      <c r="ZA42" s="1449">
        <f t="shared" si="579"/>
        <v>0</v>
      </c>
      <c r="ZB42" s="1449">
        <f t="shared" si="579"/>
        <v>0</v>
      </c>
      <c r="ZC42" s="1449">
        <f t="shared" si="579"/>
        <v>0</v>
      </c>
      <c r="ZD42" s="1449">
        <f t="shared" si="579"/>
        <v>0</v>
      </c>
      <c r="ZE42" s="1449">
        <f t="shared" si="579"/>
        <v>0</v>
      </c>
      <c r="ZF42" s="1449">
        <f t="shared" si="579"/>
        <v>0</v>
      </c>
      <c r="ZG42" s="1449">
        <f t="shared" si="579"/>
        <v>0</v>
      </c>
      <c r="ZH42" s="1449">
        <f t="shared" si="579"/>
        <v>0</v>
      </c>
      <c r="ZI42" s="1449">
        <f t="shared" si="579"/>
        <v>0</v>
      </c>
      <c r="ZJ42" s="1449">
        <f t="shared" si="579"/>
        <v>0</v>
      </c>
      <c r="ZK42" s="1449">
        <f t="shared" si="579"/>
        <v>0</v>
      </c>
      <c r="ZL42" s="1449">
        <f t="shared" si="579"/>
        <v>0</v>
      </c>
      <c r="ZM42" s="1449">
        <f t="shared" si="579"/>
        <v>0</v>
      </c>
      <c r="ZN42" s="1449">
        <f t="shared" si="579"/>
        <v>0</v>
      </c>
      <c r="ZO42" s="1449">
        <f t="shared" si="579"/>
        <v>0</v>
      </c>
      <c r="ZP42" s="1449">
        <f t="shared" si="579"/>
        <v>0</v>
      </c>
      <c r="ZQ42" s="1449">
        <f t="shared" si="579"/>
        <v>0</v>
      </c>
      <c r="ZR42" s="1449">
        <f t="shared" si="579"/>
        <v>0</v>
      </c>
      <c r="ZS42" s="1449">
        <f t="shared" ref="ZS42:AAS42" si="580">ZS34</f>
        <v>0</v>
      </c>
      <c r="ZT42" s="1449">
        <f t="shared" si="580"/>
        <v>0</v>
      </c>
      <c r="ZU42" s="1449">
        <f t="shared" si="580"/>
        <v>0</v>
      </c>
      <c r="ZV42" s="1449">
        <f t="shared" si="580"/>
        <v>0</v>
      </c>
      <c r="ZW42" s="1449">
        <f t="shared" si="580"/>
        <v>0</v>
      </c>
      <c r="ZX42" s="1449">
        <f t="shared" si="580"/>
        <v>0</v>
      </c>
      <c r="ZY42" s="1449">
        <f t="shared" si="580"/>
        <v>0</v>
      </c>
      <c r="ZZ42" s="1449">
        <f t="shared" si="580"/>
        <v>0</v>
      </c>
      <c r="AAA42" s="1449">
        <f t="shared" si="580"/>
        <v>0</v>
      </c>
      <c r="AAB42" s="1449">
        <f t="shared" si="580"/>
        <v>-1600900000.1600001</v>
      </c>
      <c r="AAC42" s="1449">
        <f t="shared" si="580"/>
        <v>-30000000</v>
      </c>
      <c r="AAD42" s="1449">
        <f t="shared" si="580"/>
        <v>0</v>
      </c>
      <c r="AAE42" s="1449">
        <f t="shared" si="580"/>
        <v>0</v>
      </c>
      <c r="AAF42" s="1449">
        <f t="shared" si="580"/>
        <v>0</v>
      </c>
      <c r="AAG42" s="1449">
        <f t="shared" si="580"/>
        <v>0</v>
      </c>
      <c r="AAH42" s="1449">
        <f t="shared" si="580"/>
        <v>0</v>
      </c>
      <c r="AAI42" s="1449">
        <f t="shared" si="580"/>
        <v>0</v>
      </c>
      <c r="AAJ42" s="1449">
        <f t="shared" si="580"/>
        <v>0</v>
      </c>
      <c r="AAK42" s="1449">
        <f t="shared" si="580"/>
        <v>0</v>
      </c>
      <c r="AAL42" s="1449">
        <f t="shared" si="580"/>
        <v>-1600900000.1600001</v>
      </c>
      <c r="AAM42" s="1449">
        <f t="shared" si="580"/>
        <v>-30000000</v>
      </c>
      <c r="AAN42" s="1449">
        <f t="shared" si="580"/>
        <v>0</v>
      </c>
      <c r="AAO42" s="1449">
        <f t="shared" si="580"/>
        <v>0</v>
      </c>
      <c r="AAP42" s="1449">
        <f t="shared" si="580"/>
        <v>0</v>
      </c>
      <c r="AAQ42" s="1449">
        <f t="shared" si="580"/>
        <v>0</v>
      </c>
      <c r="AAR42" s="1449">
        <f t="shared" si="580"/>
        <v>0</v>
      </c>
      <c r="AAS42" s="1449">
        <f t="shared" si="580"/>
        <v>0</v>
      </c>
      <c r="AAT42" s="1086"/>
      <c r="AAU42" s="791"/>
    </row>
    <row r="43" spans="1:723" ht="16.5" x14ac:dyDescent="0.25">
      <c r="A43" s="1092"/>
      <c r="B43" s="1450"/>
      <c r="C43" s="1086"/>
      <c r="D43" s="1086"/>
      <c r="E43" s="1086"/>
      <c r="F43" s="1086"/>
      <c r="G43" s="1086"/>
      <c r="H43" s="791"/>
      <c r="I43" s="791"/>
      <c r="J43" s="791"/>
      <c r="K43" s="791"/>
      <c r="L43" s="791"/>
      <c r="M43" s="791"/>
      <c r="N43" s="1086"/>
      <c r="O43" s="1086"/>
      <c r="P43" s="791"/>
      <c r="Q43" s="791"/>
      <c r="R43" s="791"/>
      <c r="S43" s="791"/>
      <c r="T43" s="791"/>
      <c r="U43" s="791"/>
      <c r="V43" s="791"/>
      <c r="W43" s="791"/>
      <c r="X43" s="791"/>
      <c r="Y43" s="791"/>
      <c r="Z43" s="791"/>
      <c r="AA43" s="791"/>
      <c r="AB43" s="791"/>
      <c r="AC43" s="791"/>
      <c r="AD43" s="791"/>
      <c r="AE43" s="791"/>
      <c r="AF43" s="791"/>
      <c r="AG43" s="791"/>
      <c r="AH43" s="791"/>
      <c r="AI43" s="791"/>
      <c r="AJ43" s="791"/>
      <c r="AK43" s="791"/>
      <c r="AL43" s="791"/>
      <c r="AM43" s="791"/>
      <c r="AN43" s="1086"/>
      <c r="AO43" s="791"/>
      <c r="AP43" s="791"/>
      <c r="AQ43" s="1086"/>
      <c r="AR43" s="1086"/>
      <c r="AS43" s="791"/>
      <c r="AT43" s="1086"/>
      <c r="AU43" s="1086"/>
      <c r="AV43" s="791"/>
      <c r="AW43" s="1086"/>
      <c r="AX43" s="791"/>
      <c r="AY43" s="1086"/>
      <c r="AZ43" s="1086"/>
      <c r="BA43" s="1086"/>
      <c r="BB43" s="1086"/>
      <c r="BC43" s="1086"/>
      <c r="BD43" s="791"/>
      <c r="BE43" s="791"/>
      <c r="BF43" s="791"/>
      <c r="BG43" s="791"/>
      <c r="BH43" s="791"/>
      <c r="BI43" s="791"/>
      <c r="BJ43" s="791"/>
      <c r="BK43" s="791"/>
      <c r="BL43" s="1086"/>
      <c r="BM43" s="1086"/>
      <c r="BN43" s="791"/>
      <c r="BO43" s="791"/>
      <c r="BP43" s="791"/>
      <c r="BQ43" s="791"/>
      <c r="BR43" s="791"/>
      <c r="BS43" s="791"/>
      <c r="BT43" s="1293"/>
      <c r="BU43" s="1293"/>
      <c r="BV43" s="1293"/>
      <c r="BW43" s="1293"/>
      <c r="BX43" s="1293"/>
      <c r="BY43" s="1293"/>
      <c r="BZ43" s="1086"/>
      <c r="CA43" s="1086"/>
      <c r="CB43" s="791"/>
      <c r="CC43" s="791"/>
      <c r="CD43" s="791"/>
      <c r="CE43" s="791"/>
      <c r="CF43" s="791"/>
      <c r="CG43" s="791"/>
      <c r="CH43" s="1089"/>
      <c r="CI43" s="1089"/>
      <c r="CJ43" s="1089"/>
      <c r="CK43" s="1089"/>
      <c r="CL43" s="1089"/>
      <c r="CM43" s="1089"/>
      <c r="CN43" s="1089"/>
      <c r="CO43" s="1089"/>
      <c r="CP43" s="1089"/>
      <c r="CQ43" s="1089"/>
      <c r="CR43" s="1089"/>
      <c r="CS43" s="1089"/>
      <c r="CT43" s="1089"/>
      <c r="CU43" s="1089"/>
      <c r="CV43" s="1089"/>
      <c r="CW43" s="1089"/>
      <c r="CX43" s="1089"/>
      <c r="CY43" s="1089"/>
      <c r="CZ43" s="1089"/>
      <c r="DA43" s="1089"/>
      <c r="DB43" s="1089"/>
      <c r="DC43" s="1089"/>
      <c r="DD43" s="1089"/>
      <c r="DE43" s="1089"/>
      <c r="DF43" s="1089"/>
      <c r="DG43" s="1089"/>
      <c r="DH43" s="1089"/>
      <c r="DI43" s="1089"/>
      <c r="DJ43" s="1089"/>
      <c r="DK43" s="1089"/>
      <c r="DL43" s="1089"/>
      <c r="DM43" s="1089"/>
      <c r="DN43" s="1089"/>
      <c r="DO43" s="1089"/>
      <c r="DP43" s="1089"/>
      <c r="DQ43" s="1089"/>
      <c r="DR43" s="1089"/>
      <c r="DS43" s="1089"/>
      <c r="DT43" s="1089"/>
      <c r="DU43" s="1089"/>
      <c r="DV43" s="1089"/>
      <c r="DW43" s="1089"/>
      <c r="DX43" s="1089"/>
      <c r="DY43" s="1089"/>
      <c r="DZ43" s="791"/>
      <c r="EA43" s="791"/>
      <c r="EB43" s="791"/>
      <c r="EC43" s="791"/>
      <c r="ED43" s="791"/>
      <c r="EE43" s="791"/>
      <c r="EF43" s="1089"/>
      <c r="EG43" s="1089"/>
      <c r="EH43" s="1089"/>
      <c r="EI43" s="1089"/>
      <c r="EJ43" s="1089"/>
      <c r="EK43" s="1089"/>
      <c r="EL43" s="1089"/>
      <c r="EM43" s="1089"/>
      <c r="EN43" s="1089"/>
      <c r="EO43" s="1089"/>
      <c r="EP43" s="1089"/>
      <c r="EQ43" s="1089"/>
      <c r="ER43" s="1445"/>
      <c r="ES43" s="1445"/>
      <c r="ET43" s="1089"/>
      <c r="EU43" s="1089"/>
      <c r="EV43" s="1089"/>
      <c r="EW43" s="1089"/>
      <c r="EX43" s="1089"/>
      <c r="EY43" s="1089"/>
      <c r="EZ43" s="1089"/>
      <c r="FA43" s="1089"/>
      <c r="FB43" s="1089"/>
      <c r="FC43" s="1089"/>
      <c r="FD43" s="1089"/>
      <c r="FE43" s="1089"/>
      <c r="FF43" s="1089"/>
      <c r="FG43" s="1089"/>
      <c r="FH43" s="1089"/>
      <c r="FI43" s="1089"/>
      <c r="FJ43" s="1089"/>
      <c r="FK43" s="1089"/>
      <c r="FL43" s="1089"/>
      <c r="FM43" s="1089"/>
      <c r="FN43" s="1089"/>
      <c r="FO43" s="1089"/>
      <c r="FP43" s="1089"/>
      <c r="FQ43" s="1089"/>
      <c r="FR43" s="1089"/>
      <c r="FS43" s="1089"/>
      <c r="FT43" s="1089"/>
      <c r="FU43" s="1089"/>
      <c r="FV43" s="1089"/>
      <c r="FW43" s="1089"/>
      <c r="FX43" s="1089"/>
      <c r="FY43" s="1089"/>
      <c r="FZ43" s="1089"/>
      <c r="GA43" s="1089"/>
      <c r="GB43" s="1089"/>
      <c r="GC43" s="1089"/>
      <c r="GD43" s="1089"/>
      <c r="GE43" s="1089"/>
      <c r="GF43" s="1089"/>
      <c r="GG43" s="1089"/>
      <c r="GH43" s="1089"/>
      <c r="GI43" s="1089"/>
      <c r="GJ43" s="1089"/>
      <c r="GK43" s="1089"/>
      <c r="GL43" s="1089"/>
      <c r="GM43" s="1089"/>
      <c r="GN43" s="1089"/>
      <c r="GO43" s="1089"/>
      <c r="GP43" s="1089"/>
      <c r="GQ43" s="1086"/>
      <c r="GR43" s="1089"/>
      <c r="GS43" s="1089"/>
      <c r="GT43" s="1089"/>
      <c r="GU43" s="1384"/>
      <c r="GV43" s="1384"/>
      <c r="GW43" s="1085"/>
      <c r="GX43" s="1384"/>
      <c r="GY43" s="1085"/>
      <c r="GZ43" s="1384"/>
      <c r="HA43" s="1384"/>
      <c r="HB43" s="1384"/>
      <c r="HC43" s="1384"/>
      <c r="HD43" s="1089"/>
      <c r="HE43" s="1089"/>
      <c r="HF43" s="1089"/>
      <c r="HG43" s="1089"/>
      <c r="HH43" s="1089"/>
      <c r="HI43" s="1089"/>
      <c r="HJ43" s="1089"/>
      <c r="HK43" s="1089"/>
      <c r="HL43" s="1089"/>
      <c r="HM43" s="1089"/>
      <c r="HN43" s="1089"/>
      <c r="HO43" s="1089"/>
      <c r="HP43" s="1089"/>
      <c r="HQ43" s="1089"/>
      <c r="HR43" s="1089"/>
      <c r="HS43" s="1089"/>
      <c r="HT43" s="1089"/>
      <c r="HU43" s="1089"/>
      <c r="HV43" s="1089"/>
      <c r="HW43" s="1089"/>
      <c r="HX43" s="1089"/>
      <c r="HY43" s="1089"/>
      <c r="HZ43" s="1089"/>
      <c r="IA43" s="1089"/>
      <c r="IB43" s="1089"/>
      <c r="IC43" s="1089"/>
      <c r="ID43" s="1089"/>
      <c r="IE43" s="1089"/>
      <c r="IF43" s="1089"/>
      <c r="IG43" s="1089"/>
      <c r="IH43" s="1089"/>
      <c r="II43" s="1089"/>
      <c r="IJ43" s="1089"/>
      <c r="IK43" s="1089"/>
      <c r="IL43" s="1089"/>
      <c r="IM43" s="1089"/>
      <c r="IN43" s="1089"/>
      <c r="IO43" s="1089"/>
      <c r="IP43" s="1089"/>
      <c r="IQ43" s="1089"/>
      <c r="IR43" s="1089"/>
      <c r="IS43" s="1089"/>
      <c r="IT43" s="1089"/>
      <c r="IU43" s="1089"/>
      <c r="IV43" s="1089"/>
      <c r="IW43" s="1089"/>
      <c r="IX43" s="1089"/>
      <c r="IY43" s="1089"/>
      <c r="IZ43" s="1089"/>
      <c r="JA43" s="1089"/>
      <c r="JB43" s="1089"/>
      <c r="JC43" s="1089"/>
      <c r="JD43" s="1089"/>
      <c r="JE43" s="1089"/>
      <c r="JF43" s="1089"/>
      <c r="JG43" s="1089"/>
      <c r="JH43" s="1089"/>
      <c r="JI43" s="1089"/>
      <c r="JJ43" s="1086"/>
      <c r="JK43" s="1086"/>
      <c r="JL43" s="1086"/>
      <c r="JM43" s="1086"/>
      <c r="JN43" s="1086"/>
      <c r="JO43" s="1086"/>
      <c r="JP43" s="791"/>
      <c r="JQ43" s="791"/>
      <c r="JR43" s="791"/>
      <c r="JS43" s="791"/>
      <c r="JT43" s="791"/>
      <c r="JU43" s="791"/>
      <c r="JV43" s="1085"/>
      <c r="JW43" s="1085"/>
      <c r="JX43" s="1085"/>
      <c r="JY43" s="1085"/>
      <c r="JZ43" s="1085"/>
      <c r="KA43" s="1085"/>
      <c r="KB43" s="1085"/>
      <c r="KC43" s="1085"/>
      <c r="KD43" s="1085"/>
      <c r="KE43" s="1085"/>
      <c r="KF43" s="1085"/>
      <c r="KG43" s="1085"/>
      <c r="KH43" s="1085"/>
      <c r="KI43" s="1384"/>
      <c r="KJ43" s="1384"/>
      <c r="KK43" s="1384"/>
      <c r="KL43" s="1384"/>
      <c r="KM43" s="1085"/>
      <c r="KN43" s="1384"/>
      <c r="KO43" s="1384"/>
      <c r="KP43" s="1384"/>
      <c r="KQ43" s="1384"/>
      <c r="KR43" s="1085"/>
      <c r="KS43" s="1085"/>
      <c r="KT43" s="1085"/>
      <c r="KU43" s="1085"/>
      <c r="KV43" s="1085"/>
      <c r="KW43" s="1085"/>
      <c r="KX43" s="1085"/>
      <c r="KY43" s="1085"/>
      <c r="KZ43" s="1085"/>
      <c r="LA43" s="1085"/>
      <c r="LB43" s="1085"/>
      <c r="LC43" s="1085"/>
      <c r="LD43" s="1085"/>
      <c r="LE43" s="1085"/>
      <c r="LF43" s="1085"/>
      <c r="LG43" s="1085"/>
      <c r="LH43" s="1085"/>
      <c r="LI43" s="1085"/>
      <c r="LJ43" s="1085"/>
      <c r="LK43" s="1085"/>
      <c r="LL43" s="1085"/>
      <c r="LM43" s="1085"/>
      <c r="LN43" s="1085"/>
      <c r="LO43" s="1089"/>
      <c r="LP43" s="1089"/>
      <c r="LQ43" s="1089"/>
      <c r="LR43" s="1085"/>
      <c r="LS43" s="1089"/>
      <c r="LT43" s="1089"/>
      <c r="LU43" s="1089"/>
      <c r="LV43" s="1089"/>
      <c r="LW43" s="1089"/>
      <c r="LX43" s="1085"/>
      <c r="LY43" s="1085"/>
      <c r="LZ43" s="1089"/>
      <c r="MA43" s="1089"/>
      <c r="MB43" s="1089"/>
      <c r="MC43" s="1089"/>
      <c r="MD43" s="1089"/>
      <c r="ME43" s="1089"/>
      <c r="MF43" s="1089"/>
      <c r="MG43" s="1089"/>
      <c r="MH43" s="1089"/>
      <c r="MI43" s="1089"/>
      <c r="MJ43" s="1089"/>
      <c r="MK43" s="1089"/>
      <c r="ML43" s="1089"/>
      <c r="MM43" s="1089"/>
      <c r="MN43" s="1089"/>
      <c r="MO43" s="1089"/>
      <c r="MP43" s="1089"/>
      <c r="MQ43" s="1089"/>
      <c r="MR43" s="1089"/>
      <c r="MS43" s="1089"/>
      <c r="MT43" s="1293"/>
      <c r="MU43" s="1089"/>
      <c r="MV43" s="1089"/>
      <c r="MW43" s="1089"/>
      <c r="MX43" s="1089"/>
      <c r="MY43" s="1089"/>
      <c r="MZ43" s="1089"/>
      <c r="NA43" s="1089"/>
      <c r="NB43" s="1293"/>
      <c r="NC43" s="1089"/>
      <c r="ND43" s="1089"/>
      <c r="NE43" s="1089"/>
      <c r="NF43" s="1089"/>
      <c r="NG43" s="1089"/>
      <c r="NH43" s="1089"/>
      <c r="NI43" s="1089"/>
      <c r="NJ43" s="1293"/>
      <c r="NK43" s="1293"/>
      <c r="NL43" s="1293"/>
      <c r="NM43" s="1293"/>
      <c r="NN43" s="1293"/>
      <c r="NO43" s="1293"/>
      <c r="NP43" s="1293"/>
      <c r="NQ43" s="1293"/>
      <c r="NR43" s="1293"/>
      <c r="NS43" s="1293"/>
      <c r="NT43" s="1293"/>
      <c r="NU43" s="1293"/>
      <c r="NV43" s="1293"/>
      <c r="NW43" s="1293"/>
      <c r="NX43" s="1293"/>
      <c r="NY43" s="1293"/>
      <c r="NZ43" s="1293"/>
      <c r="OA43" s="1293"/>
      <c r="OB43" s="791"/>
      <c r="OC43" s="791"/>
      <c r="OD43" s="791"/>
      <c r="OE43" s="791"/>
      <c r="OF43" s="791"/>
      <c r="OG43" s="791"/>
      <c r="OH43" s="1085"/>
      <c r="OI43" s="1085"/>
      <c r="OJ43" s="1086"/>
      <c r="OK43" s="1086"/>
      <c r="OL43" s="1086"/>
      <c r="OM43" s="1086"/>
      <c r="ON43" s="1086"/>
      <c r="OO43" s="1086"/>
      <c r="OP43" s="1086"/>
      <c r="OQ43" s="1086"/>
      <c r="OR43" s="791"/>
      <c r="OS43" s="791"/>
      <c r="OT43" s="791"/>
      <c r="OU43" s="791"/>
      <c r="OV43" s="791"/>
      <c r="OW43" s="791"/>
      <c r="OX43" s="791"/>
      <c r="OY43" s="791"/>
      <c r="OZ43" s="1085"/>
      <c r="PA43" s="1085"/>
      <c r="PB43" s="1085"/>
      <c r="PC43" s="1085"/>
      <c r="PD43" s="1085"/>
      <c r="PE43" s="1085"/>
      <c r="PF43" s="1085"/>
      <c r="PG43" s="1085"/>
      <c r="PH43" s="1085"/>
      <c r="PI43" s="1085"/>
      <c r="PJ43" s="1085"/>
      <c r="PK43" s="1085"/>
      <c r="PL43" s="1085"/>
      <c r="PM43" s="1085"/>
      <c r="PN43" s="1085"/>
      <c r="PO43" s="1085"/>
      <c r="PP43" s="1085"/>
      <c r="PQ43" s="1446"/>
      <c r="PR43" s="1446"/>
      <c r="PS43" s="1446"/>
      <c r="PT43" s="1446"/>
      <c r="PU43" s="1085"/>
      <c r="PV43" s="1446"/>
      <c r="PW43" s="1446"/>
      <c r="PX43" s="1446"/>
      <c r="PY43" s="1446"/>
      <c r="PZ43" s="791"/>
      <c r="QA43" s="791"/>
      <c r="QB43" s="791"/>
      <c r="QC43" s="791"/>
      <c r="QD43" s="791"/>
      <c r="QE43" s="791"/>
      <c r="QF43" s="791"/>
      <c r="QG43" s="791"/>
      <c r="QH43" s="791"/>
      <c r="QI43" s="791"/>
      <c r="QJ43" s="791"/>
      <c r="QK43" s="791"/>
      <c r="QL43" s="791"/>
      <c r="QM43" s="791"/>
      <c r="QN43" s="791"/>
      <c r="QO43" s="791"/>
      <c r="QP43" s="791"/>
      <c r="QQ43" s="791"/>
      <c r="QR43" s="1089"/>
      <c r="QS43" s="1089"/>
      <c r="QT43" s="1089"/>
      <c r="QU43" s="1089"/>
      <c r="QV43" s="1089"/>
      <c r="QW43" s="1089"/>
      <c r="QX43" s="1089"/>
      <c r="QY43" s="1089"/>
      <c r="QZ43" s="1089"/>
      <c r="RA43" s="1089"/>
      <c r="RB43" s="1089"/>
      <c r="RC43" s="1089"/>
      <c r="RD43" s="1089"/>
      <c r="RE43" s="1089"/>
      <c r="RF43" s="1089"/>
      <c r="RG43" s="1089"/>
      <c r="RH43" s="1089"/>
      <c r="RI43" s="1089"/>
      <c r="RJ43" s="1089"/>
      <c r="RK43" s="1089"/>
      <c r="RL43" s="1089"/>
      <c r="RM43" s="1089"/>
      <c r="RN43" s="1089"/>
      <c r="RO43" s="1089"/>
      <c r="RP43" s="1089"/>
      <c r="RQ43" s="1089"/>
      <c r="RR43" s="1089"/>
      <c r="RS43" s="1089"/>
      <c r="RT43" s="1089"/>
      <c r="RU43" s="1089"/>
      <c r="RV43" s="1089"/>
      <c r="RW43" s="1089"/>
      <c r="RX43" s="1089"/>
      <c r="RY43" s="1089"/>
      <c r="RZ43" s="1089"/>
      <c r="SA43" s="1089"/>
      <c r="SB43" s="1089"/>
      <c r="SC43" s="1089"/>
      <c r="SD43" s="1089"/>
      <c r="SE43" s="1089"/>
      <c r="SF43" s="1089"/>
      <c r="SG43" s="1089"/>
      <c r="SH43" s="1089"/>
      <c r="SI43" s="1089"/>
      <c r="SJ43" s="1089"/>
      <c r="SK43" s="1089"/>
      <c r="SL43" s="1089"/>
      <c r="SM43" s="1089"/>
      <c r="SN43" s="1089"/>
      <c r="SO43" s="1089"/>
      <c r="SP43" s="791"/>
      <c r="SQ43" s="1086"/>
      <c r="SR43" s="1086"/>
      <c r="SS43" s="1086"/>
      <c r="ST43" s="1086"/>
      <c r="SU43" s="1086"/>
      <c r="SV43" s="1086"/>
      <c r="SW43" s="791"/>
      <c r="SX43" s="1086"/>
      <c r="SY43" s="1086"/>
      <c r="SZ43" s="1086"/>
      <c r="TA43" s="1086"/>
      <c r="TB43" s="1086"/>
      <c r="TC43" s="1086"/>
      <c r="TD43" s="791"/>
      <c r="TE43" s="791"/>
      <c r="TF43" s="791"/>
      <c r="TG43" s="791"/>
      <c r="TH43" s="791"/>
      <c r="TI43" s="791"/>
      <c r="TJ43" s="791"/>
      <c r="TK43" s="791"/>
      <c r="TL43" s="791"/>
      <c r="TM43" s="791"/>
      <c r="TN43" s="791"/>
      <c r="TO43" s="791"/>
      <c r="TP43" s="791"/>
      <c r="TQ43" s="791"/>
      <c r="TR43" s="791"/>
      <c r="TS43" s="791"/>
      <c r="TT43" s="791"/>
      <c r="TU43" s="791"/>
      <c r="TV43" s="791"/>
      <c r="TW43" s="791"/>
      <c r="TX43" s="791"/>
      <c r="TY43" s="791"/>
      <c r="TZ43" s="791"/>
      <c r="UA43" s="791"/>
      <c r="UB43" s="791"/>
      <c r="UC43" s="791"/>
      <c r="UD43" s="791"/>
      <c r="UE43" s="791"/>
      <c r="UF43" s="791"/>
      <c r="UG43" s="791"/>
      <c r="UH43" s="791"/>
      <c r="UI43" s="791"/>
      <c r="UJ43" s="791"/>
      <c r="UK43" s="791"/>
      <c r="UL43" s="791"/>
      <c r="UM43" s="791"/>
      <c r="UN43" s="791"/>
      <c r="UO43" s="791"/>
      <c r="UP43" s="791"/>
      <c r="UQ43" s="791"/>
      <c r="UR43" s="791"/>
      <c r="US43" s="791"/>
      <c r="UT43" s="1089"/>
      <c r="UU43" s="1089"/>
      <c r="UV43" s="791"/>
      <c r="UW43" s="791"/>
      <c r="UX43" s="791"/>
      <c r="UY43" s="791"/>
      <c r="UZ43" s="791"/>
      <c r="VA43" s="791"/>
      <c r="VB43" s="1086"/>
      <c r="VC43" s="1086"/>
      <c r="VD43" s="1086"/>
      <c r="VE43" s="1086"/>
      <c r="VF43" s="1086"/>
      <c r="VG43" s="791"/>
      <c r="VH43" s="1086"/>
      <c r="VI43" s="1086"/>
      <c r="VJ43" s="1293"/>
      <c r="VK43" s="1293"/>
      <c r="VL43" s="1293"/>
      <c r="VM43" s="1293"/>
      <c r="VN43" s="1086"/>
      <c r="VO43" s="1086"/>
      <c r="VP43" s="791"/>
      <c r="VQ43" s="1086"/>
      <c r="VR43" s="1086"/>
      <c r="VS43" s="1086"/>
      <c r="VT43" s="1086"/>
      <c r="VU43" s="1086"/>
      <c r="VV43" s="1086"/>
      <c r="VW43" s="1086"/>
      <c r="VX43" s="1086"/>
      <c r="VY43" s="1086"/>
      <c r="VZ43" s="1086"/>
      <c r="WA43" s="1086"/>
      <c r="WB43" s="1086"/>
      <c r="WC43" s="1086"/>
      <c r="WD43" s="791"/>
      <c r="WE43" s="791"/>
      <c r="WF43" s="791"/>
      <c r="WG43" s="791"/>
      <c r="WH43" s="791"/>
      <c r="WI43" s="1086"/>
      <c r="WJ43" s="1087"/>
      <c r="WK43" s="1087"/>
      <c r="WL43" s="1087"/>
      <c r="WM43" s="1087"/>
      <c r="WN43" s="1087"/>
      <c r="WO43" s="1087"/>
      <c r="WP43" s="1087"/>
      <c r="WQ43" s="1087"/>
      <c r="WR43" s="1087"/>
      <c r="WS43" s="1087"/>
      <c r="WT43" s="1087"/>
      <c r="WU43" s="1087"/>
      <c r="WV43" s="1087"/>
      <c r="WW43" s="1087"/>
      <c r="WX43" s="1087"/>
      <c r="WY43" s="1087"/>
      <c r="WZ43" s="1087"/>
      <c r="XA43" s="1087"/>
      <c r="XB43" s="1087"/>
      <c r="XC43" s="1087"/>
      <c r="XD43" s="791"/>
      <c r="XE43" s="791"/>
      <c r="XF43" s="791"/>
      <c r="XG43" s="791"/>
      <c r="XH43" s="791"/>
      <c r="XI43" s="1086"/>
      <c r="XJ43" s="1086"/>
      <c r="XK43" s="1086"/>
      <c r="XL43" s="1086"/>
      <c r="XM43" s="1086"/>
      <c r="XN43" s="1086"/>
      <c r="XO43" s="1086"/>
      <c r="XP43" s="1086"/>
      <c r="XQ43" s="1086"/>
      <c r="XR43" s="1086"/>
      <c r="XS43" s="1086"/>
      <c r="XT43" s="1086"/>
      <c r="XU43" s="1086"/>
      <c r="XV43" s="1293"/>
      <c r="XW43" s="1293"/>
      <c r="XX43" s="1293"/>
      <c r="XY43" s="1089"/>
      <c r="XZ43" s="1293"/>
      <c r="YA43" s="1293"/>
      <c r="YB43" s="1088"/>
      <c r="YC43" s="1089"/>
      <c r="YD43" s="1293"/>
      <c r="YE43" s="1293"/>
      <c r="YF43" s="1446"/>
      <c r="YG43" s="1293"/>
      <c r="YH43" s="1293"/>
      <c r="YI43" s="1293"/>
      <c r="YJ43" s="1089"/>
      <c r="YK43" s="1293"/>
      <c r="YL43" s="1293"/>
      <c r="YM43" s="1088"/>
      <c r="YN43" s="1089"/>
      <c r="YO43" s="1293"/>
      <c r="YP43" s="1293"/>
      <c r="YQ43" s="1446"/>
      <c r="YR43" s="791"/>
      <c r="YS43" s="791"/>
      <c r="YT43" s="791"/>
      <c r="YU43" s="791"/>
      <c r="YV43" s="791"/>
      <c r="YW43" s="791"/>
      <c r="YX43" s="791"/>
      <c r="YY43" s="791"/>
      <c r="YZ43" s="791"/>
      <c r="ZA43" s="791"/>
      <c r="ZB43" s="791"/>
      <c r="ZC43" s="791"/>
      <c r="ZD43" s="791"/>
      <c r="ZE43" s="791"/>
      <c r="ZF43" s="791"/>
      <c r="ZG43" s="791"/>
      <c r="ZH43" s="791"/>
      <c r="ZI43" s="791"/>
      <c r="ZJ43" s="791"/>
      <c r="ZK43" s="791"/>
      <c r="ZL43" s="791"/>
      <c r="ZM43" s="791"/>
      <c r="ZN43" s="791"/>
      <c r="ZO43" s="791"/>
      <c r="ZP43" s="791"/>
      <c r="ZQ43" s="791"/>
      <c r="ZR43" s="791"/>
      <c r="ZS43" s="791"/>
      <c r="ZT43" s="791"/>
      <c r="ZU43" s="791"/>
      <c r="ZV43" s="791"/>
      <c r="ZW43" s="791"/>
      <c r="ZX43" s="791"/>
      <c r="ZY43" s="791"/>
      <c r="ZZ43" s="791"/>
      <c r="AAA43" s="791"/>
      <c r="AAB43" s="791"/>
      <c r="AAC43" s="1086"/>
      <c r="AAD43" s="1086"/>
      <c r="AAE43" s="1086"/>
      <c r="AAF43" s="1086"/>
      <c r="AAG43" s="1086"/>
      <c r="AAH43" s="1086"/>
      <c r="AAI43" s="1086"/>
      <c r="AAJ43" s="1086"/>
      <c r="AAK43" s="1086"/>
      <c r="AAL43" s="1086"/>
      <c r="AAM43" s="1086"/>
      <c r="AAN43" s="1086"/>
      <c r="AAO43" s="1086"/>
      <c r="AAP43" s="1086"/>
      <c r="AAQ43" s="1086"/>
      <c r="AAR43" s="791"/>
      <c r="AAS43" s="791"/>
      <c r="AAT43" s="1086"/>
      <c r="AAU43" s="791"/>
    </row>
    <row r="44" spans="1:723" ht="54.75" customHeight="1" x14ac:dyDescent="0.25">
      <c r="A44" s="1086">
        <f>B37-'[2]Исполнение  по  МБТ  всего'!$B$33*1000</f>
        <v>3193015172.3299942</v>
      </c>
      <c r="B44" s="1089">
        <f>C37-'[2]Исполнение  по  МБТ  всего'!$E$33*1000</f>
        <v>18919600</v>
      </c>
      <c r="C44" s="1276">
        <v>29661038964.990002</v>
      </c>
      <c r="D44" s="1093"/>
      <c r="E44" s="1093"/>
      <c r="F44" s="1646" t="s">
        <v>1229</v>
      </c>
      <c r="G44" s="1647"/>
      <c r="H44" s="1647"/>
      <c r="I44" s="1647"/>
      <c r="J44" s="1647"/>
      <c r="K44" s="1647"/>
      <c r="L44" s="1647"/>
      <c r="M44" s="1648"/>
      <c r="N44" s="1649" t="s">
        <v>1230</v>
      </c>
      <c r="O44" s="1650"/>
      <c r="P44" s="1650"/>
      <c r="Q44" s="1650"/>
      <c r="R44" s="1650"/>
      <c r="S44" s="1650"/>
      <c r="T44" s="1650"/>
      <c r="U44" s="1651"/>
      <c r="V44" s="1646" t="s">
        <v>1231</v>
      </c>
      <c r="W44" s="1647"/>
      <c r="X44" s="1647"/>
      <c r="Y44" s="1647"/>
      <c r="Z44" s="1647"/>
      <c r="AA44" s="1647"/>
      <c r="AB44" s="1647"/>
      <c r="AC44" s="1648"/>
      <c r="AD44" s="1652" t="s">
        <v>1232</v>
      </c>
      <c r="AE44" s="1652"/>
      <c r="AF44" s="1652"/>
      <c r="AG44" s="1652"/>
      <c r="AH44" s="1652"/>
      <c r="AI44" s="1652"/>
      <c r="AJ44" s="1652"/>
      <c r="AK44" s="1652"/>
      <c r="AL44" s="1652"/>
      <c r="AM44" s="1652"/>
      <c r="AN44" s="1086"/>
      <c r="AO44" s="1086"/>
      <c r="AP44" s="1653" t="s">
        <v>1233</v>
      </c>
      <c r="AQ44" s="1654"/>
      <c r="AR44" s="1654"/>
      <c r="AS44" s="1654"/>
      <c r="AT44" s="1654"/>
      <c r="AU44" s="1654"/>
      <c r="AV44" s="1654"/>
      <c r="AW44" s="1654"/>
      <c r="AX44" s="1654"/>
      <c r="AY44" s="1654"/>
      <c r="AZ44" s="1646" t="s">
        <v>1234</v>
      </c>
      <c r="BA44" s="1647"/>
      <c r="BB44" s="1647"/>
      <c r="BC44" s="1647"/>
      <c r="BD44" s="1647"/>
      <c r="BE44" s="1647"/>
      <c r="BF44" s="1647"/>
      <c r="BG44" s="1647"/>
      <c r="BH44" s="1647"/>
      <c r="BI44" s="1647"/>
      <c r="BJ44" s="1647"/>
      <c r="BK44" s="1648"/>
      <c r="BL44" s="1652" t="s">
        <v>752</v>
      </c>
      <c r="BM44" s="1652"/>
      <c r="BN44" s="1652"/>
      <c r="BO44" s="1652"/>
      <c r="BP44" s="1652"/>
      <c r="BQ44" s="1652"/>
      <c r="BR44" s="1652"/>
      <c r="BS44" s="1652"/>
      <c r="BT44" s="1652" t="s">
        <v>1274</v>
      </c>
      <c r="BU44" s="1652"/>
      <c r="BV44" s="1652"/>
      <c r="BW44" s="1652"/>
      <c r="BX44" s="1652"/>
      <c r="BY44" s="1652"/>
      <c r="BZ44" s="1655" t="s">
        <v>1235</v>
      </c>
      <c r="CA44" s="1656"/>
      <c r="CB44" s="1656"/>
      <c r="CC44" s="1656"/>
      <c r="CD44" s="1656"/>
      <c r="CE44" s="1656"/>
      <c r="CF44" s="1656"/>
      <c r="CG44" s="1657"/>
      <c r="CH44" s="1652" t="s">
        <v>1236</v>
      </c>
      <c r="CI44" s="1652"/>
      <c r="CJ44" s="1652"/>
      <c r="CK44" s="1652"/>
      <c r="CL44" s="1652"/>
      <c r="CM44" s="1652"/>
      <c r="CN44" s="1646" t="s">
        <v>1237</v>
      </c>
      <c r="CO44" s="1647"/>
      <c r="CP44" s="1647"/>
      <c r="CQ44" s="1647"/>
      <c r="CR44" s="1647"/>
      <c r="CS44" s="1647"/>
      <c r="CT44" s="1647"/>
      <c r="CU44" s="1647"/>
      <c r="CV44" s="1647"/>
      <c r="CW44" s="1647"/>
      <c r="CX44" s="1647"/>
      <c r="CY44" s="1647"/>
      <c r="CZ44" s="1647"/>
      <c r="DA44" s="1647"/>
      <c r="DB44" s="1647"/>
      <c r="DC44" s="1647"/>
      <c r="DD44" s="1647"/>
      <c r="DE44" s="1647"/>
      <c r="DF44" s="1647"/>
      <c r="DG44" s="1647"/>
      <c r="DH44" s="1647"/>
      <c r="DI44" s="1647"/>
      <c r="DJ44" s="1647"/>
      <c r="DK44" s="1647"/>
      <c r="DL44" s="1646" t="s">
        <v>1238</v>
      </c>
      <c r="DM44" s="1647"/>
      <c r="DN44" s="1647"/>
      <c r="DO44" s="1647"/>
      <c r="DP44" s="1647"/>
      <c r="DQ44" s="1647"/>
      <c r="DR44" s="1647"/>
      <c r="DS44" s="1648"/>
      <c r="DT44" s="1652" t="s">
        <v>1239</v>
      </c>
      <c r="DU44" s="1652"/>
      <c r="DV44" s="1652"/>
      <c r="DW44" s="1652"/>
      <c r="DX44" s="1652"/>
      <c r="DY44" s="1652"/>
      <c r="DZ44" s="1646" t="s">
        <v>1240</v>
      </c>
      <c r="EA44" s="1647"/>
      <c r="EB44" s="1647"/>
      <c r="EC44" s="1647"/>
      <c r="ED44" s="1647"/>
      <c r="EE44" s="1647"/>
      <c r="EF44" s="1646" t="s">
        <v>1241</v>
      </c>
      <c r="EG44" s="1647"/>
      <c r="EH44" s="1647"/>
      <c r="EI44" s="1647"/>
      <c r="EJ44" s="1647"/>
      <c r="EK44" s="1647"/>
      <c r="EL44" s="1647"/>
      <c r="EM44" s="1648"/>
      <c r="EN44" s="1646" t="s">
        <v>760</v>
      </c>
      <c r="EO44" s="1647"/>
      <c r="EP44" s="1647"/>
      <c r="EQ44" s="1647"/>
      <c r="ER44" s="1647"/>
      <c r="ES44" s="1647"/>
      <c r="ET44" s="1646" t="s">
        <v>761</v>
      </c>
      <c r="EU44" s="1647"/>
      <c r="EV44" s="1647"/>
      <c r="EW44" s="1647"/>
      <c r="EX44" s="1647"/>
      <c r="EY44" s="1647"/>
      <c r="EZ44" s="1647"/>
      <c r="FA44" s="1647"/>
      <c r="FB44" s="1647"/>
      <c r="FC44" s="1647"/>
      <c r="FD44" s="1647"/>
      <c r="FE44" s="1647"/>
      <c r="FF44" s="1647"/>
      <c r="FG44" s="1647"/>
      <c r="FH44" s="1647"/>
      <c r="FI44" s="1647"/>
      <c r="FJ44" s="1647"/>
      <c r="FK44" s="1647"/>
      <c r="FL44" s="1647"/>
      <c r="FM44" s="1647"/>
      <c r="FN44" s="1647"/>
      <c r="FO44" s="1647"/>
      <c r="FP44" s="1647"/>
      <c r="FQ44" s="1648"/>
      <c r="FR44" s="1652" t="s">
        <v>762</v>
      </c>
      <c r="FS44" s="1652"/>
      <c r="FT44" s="1652"/>
      <c r="FU44" s="1652"/>
      <c r="FV44" s="1652"/>
      <c r="FW44" s="1652"/>
      <c r="FX44" s="1646" t="s">
        <v>763</v>
      </c>
      <c r="FY44" s="1647"/>
      <c r="FZ44" s="1647"/>
      <c r="GA44" s="1647"/>
      <c r="GB44" s="1647"/>
      <c r="GC44" s="1647"/>
      <c r="GD44" s="1647"/>
      <c r="GE44" s="1647"/>
      <c r="GF44" s="1647"/>
      <c r="GG44" s="1647"/>
      <c r="GH44" s="1647"/>
      <c r="GI44" s="1647"/>
      <c r="GJ44" s="1647"/>
      <c r="GK44" s="1647"/>
      <c r="GL44" s="1647"/>
      <c r="GM44" s="1648"/>
      <c r="GN44" s="1646" t="s">
        <v>1242</v>
      </c>
      <c r="GO44" s="1647"/>
      <c r="GP44" s="1647"/>
      <c r="GQ44" s="1647"/>
      <c r="GR44" s="1647"/>
      <c r="GS44" s="1647"/>
      <c r="GT44" s="1647"/>
      <c r="GU44" s="1647"/>
      <c r="GV44" s="1647"/>
      <c r="GW44" s="1647"/>
      <c r="GX44" s="1647"/>
      <c r="GY44" s="1647"/>
      <c r="GZ44" s="1647"/>
      <c r="HA44" s="1647"/>
      <c r="HB44" s="1647"/>
      <c r="HC44" s="1648"/>
      <c r="HD44" s="1652" t="s">
        <v>765</v>
      </c>
      <c r="HE44" s="1652"/>
      <c r="HF44" s="1652"/>
      <c r="HG44" s="1652"/>
      <c r="HH44" s="1652"/>
      <c r="HI44" s="1652"/>
      <c r="HJ44" s="1646" t="s">
        <v>766</v>
      </c>
      <c r="HK44" s="1647"/>
      <c r="HL44" s="1647"/>
      <c r="HM44" s="1647"/>
      <c r="HN44" s="1647"/>
      <c r="HO44" s="1647"/>
      <c r="HP44" s="1647"/>
      <c r="HQ44" s="1647"/>
      <c r="HR44" s="1647"/>
      <c r="HS44" s="1647"/>
      <c r="HT44" s="1647"/>
      <c r="HU44" s="1647"/>
      <c r="HV44" s="1647"/>
      <c r="HW44" s="1647"/>
      <c r="HX44" s="1647"/>
      <c r="HY44" s="1647"/>
      <c r="HZ44" s="1647"/>
      <c r="IA44" s="1647"/>
      <c r="IB44" s="1647"/>
      <c r="IC44" s="1647"/>
      <c r="ID44" s="1647"/>
      <c r="IE44" s="1647"/>
      <c r="IF44" s="1647"/>
      <c r="IG44" s="1648"/>
      <c r="IH44" s="1646" t="s">
        <v>767</v>
      </c>
      <c r="II44" s="1647"/>
      <c r="IJ44" s="1647"/>
      <c r="IK44" s="1647"/>
      <c r="IL44" s="1647"/>
      <c r="IM44" s="1647"/>
      <c r="IN44" s="1647"/>
      <c r="IO44" s="1647"/>
      <c r="IP44" s="1647"/>
      <c r="IQ44" s="1647"/>
      <c r="IR44" s="1647"/>
      <c r="IS44" s="1647"/>
      <c r="IT44" s="1647"/>
      <c r="IU44" s="1647"/>
      <c r="IV44" s="1647"/>
      <c r="IW44" s="1648"/>
      <c r="IX44" s="1652" t="s">
        <v>768</v>
      </c>
      <c r="IY44" s="1652"/>
      <c r="IZ44" s="1652"/>
      <c r="JA44" s="1652"/>
      <c r="JB44" s="1652"/>
      <c r="JC44" s="1652"/>
      <c r="JD44" s="1652" t="s">
        <v>1243</v>
      </c>
      <c r="JE44" s="1652"/>
      <c r="JF44" s="1652"/>
      <c r="JG44" s="1652"/>
      <c r="JH44" s="1652"/>
      <c r="JI44" s="1652"/>
      <c r="JJ44" s="1646" t="s">
        <v>1244</v>
      </c>
      <c r="JK44" s="1647"/>
      <c r="JL44" s="1647"/>
      <c r="JM44" s="1647"/>
      <c r="JN44" s="1647"/>
      <c r="JO44" s="1647"/>
      <c r="JP44" s="1647"/>
      <c r="JQ44" s="1647"/>
      <c r="JR44" s="1647"/>
      <c r="JS44" s="1647"/>
      <c r="JT44" s="1647"/>
      <c r="JU44" s="1647"/>
      <c r="JV44" s="1647"/>
      <c r="JW44" s="1647"/>
      <c r="JX44" s="1647"/>
      <c r="JY44" s="1647"/>
      <c r="JZ44" s="1647"/>
      <c r="KA44" s="1647"/>
      <c r="KB44" s="1647"/>
      <c r="KC44" s="1647"/>
      <c r="KD44" s="1647"/>
      <c r="KE44" s="1647"/>
      <c r="KF44" s="1647"/>
      <c r="KG44" s="1648"/>
      <c r="KH44" s="1646" t="s">
        <v>1245</v>
      </c>
      <c r="KI44" s="1647"/>
      <c r="KJ44" s="1647"/>
      <c r="KK44" s="1647"/>
      <c r="KL44" s="1647"/>
      <c r="KM44" s="1647"/>
      <c r="KN44" s="1647"/>
      <c r="KO44" s="1647"/>
      <c r="KP44" s="1647"/>
      <c r="KQ44" s="1647"/>
      <c r="KR44" s="1647"/>
      <c r="KS44" s="1647"/>
      <c r="KT44" s="1647"/>
      <c r="KU44" s="1647"/>
      <c r="KV44" s="1647"/>
      <c r="KW44" s="1647"/>
      <c r="KX44" s="1647"/>
      <c r="KY44" s="1647"/>
      <c r="KZ44" s="1647"/>
      <c r="LA44" s="1647"/>
      <c r="LB44" s="1647"/>
      <c r="LC44" s="1647"/>
      <c r="LD44" s="1647"/>
      <c r="LE44" s="1647"/>
      <c r="LF44" s="1647"/>
      <c r="LG44" s="1647"/>
      <c r="LH44" s="1647"/>
      <c r="LI44" s="1647"/>
      <c r="LJ44" s="1647"/>
      <c r="LK44" s="1647"/>
      <c r="LL44" s="1647"/>
      <c r="LM44" s="1648"/>
      <c r="LN44" s="1646" t="s">
        <v>1246</v>
      </c>
      <c r="LO44" s="1647"/>
      <c r="LP44" s="1647"/>
      <c r="LQ44" s="1647"/>
      <c r="LR44" s="1647"/>
      <c r="LS44" s="1647"/>
      <c r="LT44" s="1647"/>
      <c r="LU44" s="1647"/>
      <c r="LV44" s="1647"/>
      <c r="LW44" s="1647"/>
      <c r="LX44" s="1647"/>
      <c r="LY44" s="1647"/>
      <c r="LZ44" s="1647"/>
      <c r="MA44" s="1647"/>
      <c r="MB44" s="1647"/>
      <c r="MC44" s="1647"/>
      <c r="MD44" s="1647"/>
      <c r="ME44" s="1647"/>
      <c r="MF44" s="1647"/>
      <c r="MG44" s="1647"/>
      <c r="MH44" s="1647"/>
      <c r="MI44" s="1647"/>
      <c r="MJ44" s="1647"/>
      <c r="MK44" s="1647"/>
      <c r="ML44" s="1647"/>
      <c r="MM44" s="1647"/>
      <c r="MN44" s="1647"/>
      <c r="MO44" s="1647"/>
      <c r="MP44" s="1647"/>
      <c r="MQ44" s="1647"/>
      <c r="MR44" s="1647"/>
      <c r="MS44" s="1648"/>
      <c r="MT44" s="1652" t="s">
        <v>1247</v>
      </c>
      <c r="MU44" s="1652"/>
      <c r="MV44" s="1652"/>
      <c r="MW44" s="1652"/>
      <c r="MX44" s="1652"/>
      <c r="MY44" s="1652"/>
      <c r="MZ44" s="1652"/>
      <c r="NA44" s="1652"/>
      <c r="NB44" s="1652"/>
      <c r="NC44" s="1652"/>
      <c r="ND44" s="1652"/>
      <c r="NE44" s="1652"/>
      <c r="NF44" s="1652"/>
      <c r="NG44" s="1652"/>
      <c r="NH44" s="1652"/>
      <c r="NI44" s="1652"/>
      <c r="NJ44" s="1652"/>
      <c r="NK44" s="1652"/>
      <c r="NL44" s="1652"/>
      <c r="NM44" s="1652"/>
      <c r="NN44" s="1652"/>
      <c r="NO44" s="1652"/>
      <c r="NP44" s="1652"/>
      <c r="NQ44" s="1652"/>
      <c r="NR44" s="1652"/>
      <c r="NS44" s="1652"/>
      <c r="NT44" s="1652"/>
      <c r="NU44" s="1652"/>
      <c r="NV44" s="1652"/>
      <c r="NW44" s="1652"/>
      <c r="NX44" s="1652"/>
      <c r="NY44" s="1652"/>
      <c r="NZ44" s="1652"/>
      <c r="OA44" s="1652"/>
      <c r="OB44" s="1652" t="s">
        <v>1248</v>
      </c>
      <c r="OC44" s="1652"/>
      <c r="OD44" s="1652"/>
      <c r="OE44" s="1652"/>
      <c r="OF44" s="1652"/>
      <c r="OG44" s="1652"/>
      <c r="OH44" s="1652"/>
      <c r="OI44" s="1652"/>
      <c r="OJ44" s="1646" t="s">
        <v>1249</v>
      </c>
      <c r="OK44" s="1647"/>
      <c r="OL44" s="1647"/>
      <c r="OM44" s="1647"/>
      <c r="ON44" s="1647"/>
      <c r="OO44" s="1647"/>
      <c r="OP44" s="1647"/>
      <c r="OQ44" s="1647"/>
      <c r="OR44" s="1647"/>
      <c r="OS44" s="1647"/>
      <c r="OT44" s="1647"/>
      <c r="OU44" s="1647"/>
      <c r="OV44" s="1647"/>
      <c r="OW44" s="1647"/>
      <c r="OX44" s="1647"/>
      <c r="OY44" s="1647"/>
      <c r="OZ44" s="1647"/>
      <c r="PA44" s="1647"/>
      <c r="PB44" s="1647"/>
      <c r="PC44" s="1647"/>
      <c r="PD44" s="1647"/>
      <c r="PE44" s="1647"/>
      <c r="PF44" s="1647"/>
      <c r="PG44" s="1647"/>
      <c r="PH44" s="1647"/>
      <c r="PI44" s="1647"/>
      <c r="PJ44" s="1647"/>
      <c r="PK44" s="1647"/>
      <c r="PL44" s="1647"/>
      <c r="PM44" s="1647"/>
      <c r="PN44" s="1647"/>
      <c r="PO44" s="1648"/>
      <c r="PP44" s="1667" t="s">
        <v>1302</v>
      </c>
      <c r="PQ44" s="1668"/>
      <c r="PR44" s="1668"/>
      <c r="PS44" s="1668"/>
      <c r="PT44" s="1668"/>
      <c r="PU44" s="1668"/>
      <c r="PV44" s="1668"/>
      <c r="PW44" s="1668"/>
      <c r="PX44" s="1668"/>
      <c r="PY44" s="1668"/>
      <c r="PZ44" s="1668"/>
      <c r="QA44" s="1668"/>
      <c r="QB44" s="1668"/>
      <c r="QC44" s="1668"/>
      <c r="QD44" s="1668"/>
      <c r="QE44" s="1668"/>
      <c r="QF44" s="1668"/>
      <c r="QG44" s="1668"/>
      <c r="QH44" s="1668"/>
      <c r="QI44" s="1668"/>
      <c r="QJ44" s="1668"/>
      <c r="QK44" s="1668"/>
      <c r="QL44" s="1668"/>
      <c r="QM44" s="1668"/>
      <c r="QN44" s="1668"/>
      <c r="QO44" s="1668"/>
      <c r="QP44" s="1668"/>
      <c r="QQ44" s="1669"/>
      <c r="QR44" s="1646" t="s">
        <v>780</v>
      </c>
      <c r="QS44" s="1647"/>
      <c r="QT44" s="1647"/>
      <c r="QU44" s="1647"/>
      <c r="QV44" s="1647"/>
      <c r="QW44" s="1648"/>
      <c r="QX44" s="1646" t="s">
        <v>781</v>
      </c>
      <c r="QY44" s="1647"/>
      <c r="QZ44" s="1647"/>
      <c r="RA44" s="1647"/>
      <c r="RB44" s="1647"/>
      <c r="RC44" s="1647"/>
      <c r="RD44" s="1647"/>
      <c r="RE44" s="1647"/>
      <c r="RF44" s="1647"/>
      <c r="RG44" s="1647"/>
      <c r="RH44" s="1647"/>
      <c r="RI44" s="1647"/>
      <c r="RJ44" s="1647"/>
      <c r="RK44" s="1647"/>
      <c r="RL44" s="1647"/>
      <c r="RM44" s="1647"/>
      <c r="RN44" s="1647"/>
      <c r="RO44" s="1647"/>
      <c r="RP44" s="1647"/>
      <c r="RQ44" s="1647"/>
      <c r="RR44" s="1647"/>
      <c r="RS44" s="1647"/>
      <c r="RT44" s="1647"/>
      <c r="RU44" s="1648"/>
      <c r="RV44" s="1652" t="s">
        <v>782</v>
      </c>
      <c r="RW44" s="1652"/>
      <c r="RX44" s="1652"/>
      <c r="RY44" s="1652"/>
      <c r="RZ44" s="1652"/>
      <c r="SA44" s="1652"/>
      <c r="SB44" s="1652" t="s">
        <v>1339</v>
      </c>
      <c r="SC44" s="1652"/>
      <c r="SD44" s="1652"/>
      <c r="SE44" s="1652"/>
      <c r="SF44" s="1652"/>
      <c r="SG44" s="1652"/>
      <c r="SH44" s="1652"/>
      <c r="SI44" s="1652"/>
      <c r="SJ44" s="1652" t="s">
        <v>783</v>
      </c>
      <c r="SK44" s="1652"/>
      <c r="SL44" s="1652"/>
      <c r="SM44" s="1652"/>
      <c r="SN44" s="1652"/>
      <c r="SO44" s="1652"/>
      <c r="SP44" s="1646" t="s">
        <v>1370</v>
      </c>
      <c r="SQ44" s="1647"/>
      <c r="SR44" s="1647"/>
      <c r="SS44" s="1647"/>
      <c r="ST44" s="1647"/>
      <c r="SU44" s="1647"/>
      <c r="SV44" s="1647"/>
      <c r="SW44" s="1647"/>
      <c r="SX44" s="1647"/>
      <c r="SY44" s="1647"/>
      <c r="SZ44" s="1647"/>
      <c r="TA44" s="1647"/>
      <c r="TB44" s="1647"/>
      <c r="TC44" s="1647"/>
      <c r="TD44" s="1647"/>
      <c r="TE44" s="1647"/>
      <c r="TF44" s="1647"/>
      <c r="TG44" s="1647"/>
      <c r="TH44" s="1647"/>
      <c r="TI44" s="1647"/>
      <c r="TJ44" s="1647"/>
      <c r="TK44" s="1647"/>
      <c r="TL44" s="1647"/>
      <c r="TM44" s="1647"/>
      <c r="TN44" s="1647"/>
      <c r="TO44" s="1647"/>
      <c r="TP44" s="1647"/>
      <c r="TQ44" s="1647"/>
      <c r="TR44" s="1647"/>
      <c r="TS44" s="1647"/>
      <c r="TT44" s="1647"/>
      <c r="TU44" s="1647"/>
      <c r="TV44" s="1647"/>
      <c r="TW44" s="1647"/>
      <c r="TX44" s="1647"/>
      <c r="TY44" s="1647"/>
      <c r="TZ44" s="1647"/>
      <c r="UA44" s="1647"/>
      <c r="UB44" s="1647"/>
      <c r="UC44" s="1647"/>
      <c r="UD44" s="1647"/>
      <c r="UE44" s="1647"/>
      <c r="UF44" s="1647"/>
      <c r="UG44" s="1647"/>
      <c r="UH44" s="1647"/>
      <c r="UI44" s="1647"/>
      <c r="UJ44" s="1647"/>
      <c r="UK44" s="1647"/>
      <c r="UL44" s="1647"/>
      <c r="UM44" s="1647"/>
      <c r="UN44" s="1647"/>
      <c r="UO44" s="1647"/>
      <c r="UP44" s="1647"/>
      <c r="UQ44" s="1647"/>
      <c r="UR44" s="1647"/>
      <c r="US44" s="1648"/>
      <c r="UT44" s="1646" t="s">
        <v>1250</v>
      </c>
      <c r="UU44" s="1648"/>
      <c r="UV44" s="1652" t="s">
        <v>1251</v>
      </c>
      <c r="UW44" s="1652"/>
      <c r="UX44" s="1652"/>
      <c r="UY44" s="1652"/>
      <c r="UZ44" s="1652"/>
      <c r="VA44" s="1652"/>
      <c r="VB44" s="1094"/>
      <c r="VC44" s="1094"/>
      <c r="VD44" s="1094"/>
      <c r="VE44" s="1094"/>
      <c r="VF44" s="1095"/>
      <c r="VG44" s="1451"/>
      <c r="VH44" s="1646" t="s">
        <v>1252</v>
      </c>
      <c r="VI44" s="1671"/>
      <c r="VJ44" s="1646" t="s">
        <v>1253</v>
      </c>
      <c r="VK44" s="1648"/>
      <c r="VL44" s="1646" t="s">
        <v>786</v>
      </c>
      <c r="VM44" s="1647"/>
      <c r="VN44" s="1647"/>
      <c r="VO44" s="1648"/>
      <c r="VP44" s="1646" t="s">
        <v>787</v>
      </c>
      <c r="VQ44" s="1648"/>
      <c r="VR44" s="1646" t="s">
        <v>788</v>
      </c>
      <c r="VS44" s="1648"/>
      <c r="VT44" s="1646" t="s">
        <v>789</v>
      </c>
      <c r="VU44" s="1648"/>
      <c r="VV44" s="1646" t="s">
        <v>790</v>
      </c>
      <c r="VW44" s="1648"/>
      <c r="VX44" s="1646" t="s">
        <v>791</v>
      </c>
      <c r="VY44" s="1647"/>
      <c r="VZ44" s="1647"/>
      <c r="WA44" s="1647"/>
      <c r="WB44" s="1647"/>
      <c r="WC44" s="1648"/>
      <c r="WD44" s="1652" t="s">
        <v>1254</v>
      </c>
      <c r="WE44" s="1652"/>
      <c r="WF44" s="1652"/>
      <c r="WG44" s="1652"/>
      <c r="WH44" s="1652"/>
      <c r="WI44" s="1652"/>
      <c r="WJ44" s="1096"/>
      <c r="WK44" s="1097"/>
      <c r="WL44" s="1646" t="s">
        <v>1360</v>
      </c>
      <c r="WM44" s="1647"/>
      <c r="WN44" s="1647"/>
      <c r="WO44" s="1647"/>
      <c r="WP44" s="1647"/>
      <c r="WQ44" s="1648"/>
      <c r="WR44" s="1646" t="s">
        <v>793</v>
      </c>
      <c r="WS44" s="1647"/>
      <c r="WT44" s="1647"/>
      <c r="WU44" s="1647"/>
      <c r="WV44" s="1647"/>
      <c r="WW44" s="1648"/>
      <c r="WX44" s="1652" t="s">
        <v>794</v>
      </c>
      <c r="WY44" s="1652"/>
      <c r="WZ44" s="1652"/>
      <c r="XA44" s="1652"/>
      <c r="XB44" s="1652"/>
      <c r="XC44" s="1652"/>
      <c r="XD44" s="1652" t="s">
        <v>795</v>
      </c>
      <c r="XE44" s="1652"/>
      <c r="XF44" s="1652"/>
      <c r="XG44" s="1652"/>
      <c r="XH44" s="1652"/>
      <c r="XI44" s="1652"/>
      <c r="XJ44" s="1646" t="s">
        <v>1255</v>
      </c>
      <c r="XK44" s="1647"/>
      <c r="XL44" s="1647"/>
      <c r="XM44" s="1647"/>
      <c r="XN44" s="1647"/>
      <c r="XO44" s="1647"/>
      <c r="XP44" s="1647"/>
      <c r="XQ44" s="1647"/>
      <c r="XR44" s="1647"/>
      <c r="XS44" s="1647"/>
      <c r="XT44" s="1647"/>
      <c r="XU44" s="1648"/>
      <c r="XV44" s="1652" t="s">
        <v>1256</v>
      </c>
      <c r="XW44" s="1652"/>
      <c r="XX44" s="1652"/>
      <c r="XY44" s="1652"/>
      <c r="XZ44" s="1652"/>
      <c r="YA44" s="1652"/>
      <c r="YB44" s="1652"/>
      <c r="YC44" s="1652"/>
      <c r="YD44" s="1652"/>
      <c r="YE44" s="1652"/>
      <c r="YF44" s="1652"/>
      <c r="YG44" s="1652"/>
      <c r="YH44" s="1652"/>
      <c r="YI44" s="1652"/>
      <c r="YJ44" s="1652"/>
      <c r="YK44" s="1652"/>
      <c r="YL44" s="1652"/>
      <c r="YM44" s="1652"/>
      <c r="YN44" s="1652"/>
      <c r="YO44" s="1652"/>
      <c r="YP44" s="1652"/>
      <c r="YQ44" s="1652"/>
      <c r="YR44" s="1652"/>
      <c r="YS44" s="1652"/>
      <c r="YT44" s="1652"/>
      <c r="YU44" s="1652"/>
      <c r="YV44" s="1652"/>
      <c r="YW44" s="1652"/>
      <c r="YX44" s="1652"/>
      <c r="YY44" s="1652"/>
      <c r="YZ44" s="1652"/>
      <c r="ZA44" s="1652"/>
      <c r="ZB44" s="1652"/>
      <c r="ZC44" s="1652"/>
      <c r="ZD44" s="1652"/>
      <c r="ZE44" s="1652"/>
      <c r="ZF44" s="1652"/>
      <c r="ZG44" s="1652"/>
      <c r="ZH44" s="1652"/>
      <c r="ZI44" s="1652"/>
      <c r="ZJ44" s="1652"/>
      <c r="ZK44" s="1652"/>
      <c r="ZL44" s="1652"/>
      <c r="ZM44" s="1652"/>
      <c r="ZN44" s="1652"/>
      <c r="ZO44" s="1652"/>
      <c r="ZP44" s="1652"/>
      <c r="ZQ44" s="1652"/>
      <c r="ZR44" s="1652"/>
      <c r="ZS44" s="1652"/>
      <c r="ZT44" s="1652"/>
      <c r="ZU44" s="1652"/>
      <c r="ZV44" s="1652"/>
      <c r="ZW44" s="1652"/>
      <c r="ZX44" s="1652"/>
      <c r="ZY44" s="1652"/>
      <c r="ZZ44" s="1652"/>
      <c r="AAA44" s="1652"/>
      <c r="AAB44" s="1098"/>
      <c r="AAC44" s="1086"/>
      <c r="AAD44" s="1649">
        <v>540</v>
      </c>
      <c r="AAE44" s="1650"/>
      <c r="AAF44" s="1650"/>
      <c r="AAG44" s="1650"/>
      <c r="AAH44" s="1650"/>
      <c r="AAI44" s="1650"/>
      <c r="AAJ44" s="1650"/>
      <c r="AAK44" s="1651"/>
      <c r="AAL44" s="1670">
        <v>640</v>
      </c>
      <c r="AAM44" s="1670"/>
      <c r="AAN44" s="1670"/>
      <c r="AAO44" s="1670"/>
      <c r="AAP44" s="1670"/>
      <c r="AAQ44" s="1670"/>
      <c r="AAR44" s="1670"/>
      <c r="AAS44" s="1670"/>
      <c r="AAT44" s="791"/>
      <c r="AAU44" s="791"/>
    </row>
    <row r="45" spans="1:723" ht="16.5" x14ac:dyDescent="0.25">
      <c r="A45" s="791"/>
      <c r="B45" s="791"/>
      <c r="C45" s="1452">
        <f>C44-C37</f>
        <v>-18919599.999996185</v>
      </c>
      <c r="D45" s="1086"/>
      <c r="E45" s="1085"/>
      <c r="F45" s="1085"/>
      <c r="G45" s="1085"/>
      <c r="H45" s="1085"/>
      <c r="I45" s="1293"/>
      <c r="J45" s="1293"/>
      <c r="K45" s="1293"/>
      <c r="L45" s="1293"/>
      <c r="M45" s="1293"/>
      <c r="N45" s="1293"/>
      <c r="O45" s="1293"/>
      <c r="P45" s="1293"/>
      <c r="Q45" s="791"/>
      <c r="R45" s="791"/>
      <c r="S45" s="791"/>
      <c r="T45" s="791"/>
      <c r="U45" s="791"/>
      <c r="V45" s="1099"/>
      <c r="W45" s="1099"/>
      <c r="X45" s="1099"/>
      <c r="Y45" s="1099"/>
      <c r="Z45" s="791"/>
      <c r="AA45" s="791"/>
      <c r="AB45" s="791"/>
      <c r="AC45" s="791"/>
      <c r="AD45" s="1099"/>
      <c r="AE45" s="1099"/>
      <c r="AF45" s="1099"/>
      <c r="AG45" s="791"/>
      <c r="AH45" s="1099"/>
      <c r="AI45" s="1099"/>
      <c r="AJ45" s="1099"/>
      <c r="AK45" s="1099"/>
      <c r="AL45" s="1099"/>
      <c r="AM45" s="1099"/>
      <c r="AN45" s="1099"/>
      <c r="AO45" s="1099"/>
      <c r="AP45" s="1453"/>
      <c r="AQ45" s="1100"/>
      <c r="AR45" s="1100"/>
      <c r="AS45" s="1453"/>
      <c r="AT45" s="1445">
        <v>303157465.58999997</v>
      </c>
      <c r="AU45" s="1445">
        <v>4965519.3899999997</v>
      </c>
      <c r="AV45" s="1453"/>
      <c r="AW45" s="1087"/>
      <c r="AX45" s="1453"/>
      <c r="AY45" s="1087"/>
      <c r="AZ45" s="1100"/>
      <c r="BA45" s="1100"/>
      <c r="BB45" s="1100"/>
      <c r="BC45" s="1445">
        <v>202741328.09</v>
      </c>
      <c r="BD45" s="1100"/>
      <c r="BE45" s="1100"/>
      <c r="BF45" s="1100"/>
      <c r="BG45" s="1100"/>
      <c r="BH45" s="1101"/>
      <c r="BI45" s="1101"/>
      <c r="BJ45" s="1101"/>
      <c r="BK45" s="1101"/>
      <c r="BL45" s="1293"/>
      <c r="BM45" s="1454"/>
      <c r="BN45" s="1293"/>
      <c r="BO45" s="1293"/>
      <c r="BP45" s="1293"/>
      <c r="BQ45" s="1293"/>
      <c r="BR45" s="1293"/>
      <c r="BS45" s="1293"/>
      <c r="BT45" s="791"/>
      <c r="BU45" s="791"/>
      <c r="BV45" s="791"/>
      <c r="BW45" s="791"/>
      <c r="BX45" s="1445">
        <v>0</v>
      </c>
      <c r="BY45" s="1445">
        <v>37574331.689999998</v>
      </c>
      <c r="BZ45" s="1293"/>
      <c r="CA45" s="1455"/>
      <c r="CB45" s="1293"/>
      <c r="CC45" s="1293"/>
      <c r="CD45" s="1293"/>
      <c r="CE45" s="1293"/>
      <c r="CF45" s="1293"/>
      <c r="CG45" s="1293"/>
      <c r="CH45" s="1100"/>
      <c r="CI45" s="1100"/>
      <c r="CJ45" s="1100"/>
      <c r="CK45" s="1100"/>
      <c r="CL45" s="1445">
        <v>0</v>
      </c>
      <c r="CM45" s="1445">
        <v>24139750.190000001</v>
      </c>
      <c r="CN45" s="1100"/>
      <c r="CO45" s="1100"/>
      <c r="CP45" s="1100"/>
      <c r="CQ45" s="1100"/>
      <c r="CR45" s="1100"/>
      <c r="CS45" s="1100"/>
      <c r="CT45" s="1100"/>
      <c r="CU45" s="1100"/>
      <c r="CV45" s="1456">
        <f>CV46-CW45</f>
        <v>333023.58000000007</v>
      </c>
      <c r="CW45" s="1457">
        <v>6326925.6399999997</v>
      </c>
      <c r="CX45" s="1456">
        <f t="shared" ref="CX45" si="581">CX46-CY45</f>
        <v>20534577.660000026</v>
      </c>
      <c r="CY45" s="1457">
        <v>377606898.44999999</v>
      </c>
      <c r="CZ45" s="1456">
        <f t="shared" ref="CZ45" si="582">CZ46-DA45</f>
        <v>3488418.5700000003</v>
      </c>
      <c r="DA45" s="1457">
        <v>66279834.93</v>
      </c>
      <c r="DB45" s="1458"/>
      <c r="DC45" s="1458"/>
      <c r="DD45" s="1458"/>
      <c r="DE45" s="1458"/>
      <c r="DF45" s="1458"/>
      <c r="DG45" s="1458"/>
      <c r="DH45" s="1458"/>
      <c r="DI45" s="1458"/>
      <c r="DJ45" s="1458"/>
      <c r="DK45" s="1458"/>
      <c r="DL45" s="1459"/>
      <c r="DM45" s="1459"/>
      <c r="DN45" s="1459"/>
      <c r="DO45" s="1459"/>
      <c r="DP45" s="1459"/>
      <c r="DQ45" s="1445">
        <v>5260000</v>
      </c>
      <c r="DR45" s="1445">
        <v>7991499.9900000002</v>
      </c>
      <c r="DS45" s="1460"/>
      <c r="DT45" s="1100"/>
      <c r="DU45" s="1100"/>
      <c r="DV45" s="1100"/>
      <c r="DW45" s="1100"/>
      <c r="DX45" s="1461">
        <f>DX46-DY45</f>
        <v>238229.28000000026</v>
      </c>
      <c r="DY45" s="1461">
        <v>4526356.16</v>
      </c>
      <c r="DZ45" s="1100"/>
      <c r="EA45" s="1100"/>
      <c r="EB45" s="1100"/>
      <c r="EC45" s="1100"/>
      <c r="ED45" s="1100"/>
      <c r="EE45" s="1100"/>
      <c r="EF45" s="1458"/>
      <c r="EG45" s="1458"/>
      <c r="EH45" s="1458"/>
      <c r="EI45" s="1458"/>
      <c r="EJ45" s="1458"/>
      <c r="EK45" s="1445">
        <v>121024.36</v>
      </c>
      <c r="EL45" s="1461">
        <f>EL46-EM45</f>
        <v>37963737.480000019</v>
      </c>
      <c r="EM45" s="1462">
        <v>721311012.22000003</v>
      </c>
      <c r="EN45" s="1458"/>
      <c r="EO45" s="1458"/>
      <c r="EP45" s="1458"/>
      <c r="EQ45" s="1458"/>
      <c r="ER45" s="1461">
        <f>ER46-ES45</f>
        <v>5480944.099999994</v>
      </c>
      <c r="ES45" s="1462">
        <v>104137919.87</v>
      </c>
      <c r="ET45" s="1463"/>
      <c r="EU45" s="1463"/>
      <c r="EV45" s="1463"/>
      <c r="EW45" s="1463"/>
      <c r="EX45" s="1464">
        <f t="shared" ref="EX45" si="583">EX46-EY45</f>
        <v>899797.79</v>
      </c>
      <c r="EY45" s="1457">
        <v>2547532.0499999998</v>
      </c>
      <c r="EZ45" s="1463"/>
      <c r="FA45" s="1463"/>
      <c r="FB45" s="1463"/>
      <c r="FC45" s="1463"/>
      <c r="FD45" s="1463"/>
      <c r="FE45" s="1463"/>
      <c r="FF45" s="1463"/>
      <c r="FG45" s="1463"/>
      <c r="FH45" s="1463"/>
      <c r="FI45" s="1463"/>
      <c r="FJ45" s="1463"/>
      <c r="FK45" s="1463"/>
      <c r="FL45" s="1463"/>
      <c r="FM45" s="1463"/>
      <c r="FN45" s="1463"/>
      <c r="FO45" s="1463"/>
      <c r="FP45" s="1463"/>
      <c r="FQ45" s="1463"/>
      <c r="FR45" s="1463"/>
      <c r="FS45" s="1463"/>
      <c r="FT45" s="1463"/>
      <c r="FU45" s="1463"/>
      <c r="FV45" s="1465">
        <f>FV46-FW45</f>
        <v>0</v>
      </c>
      <c r="FW45" s="1466"/>
      <c r="FX45" s="1463"/>
      <c r="FY45" s="1463"/>
      <c r="FZ45" s="1463"/>
      <c r="GA45" s="1463"/>
      <c r="GB45" s="1467">
        <f>GB46-GC45</f>
        <v>17520034.400000006</v>
      </c>
      <c r="GC45" s="1457">
        <v>225612167.53</v>
      </c>
      <c r="GD45" s="1468"/>
      <c r="GE45" s="1468"/>
      <c r="GF45" s="1468"/>
      <c r="GG45" s="1468"/>
      <c r="GH45" s="1468"/>
      <c r="GI45" s="1468"/>
      <c r="GJ45" s="1468"/>
      <c r="GK45" s="1468"/>
      <c r="GL45" s="1468"/>
      <c r="GM45" s="1468"/>
      <c r="GN45" s="1459"/>
      <c r="GO45" s="1459"/>
      <c r="GP45" s="1459"/>
      <c r="GQ45" s="1100"/>
      <c r="GR45" s="1100"/>
      <c r="GS45" s="1467">
        <f>GS46-GT45</f>
        <v>9553788.7299999893</v>
      </c>
      <c r="GT45" s="1457">
        <v>181521985.75</v>
      </c>
      <c r="GU45" s="1445">
        <v>1106594768.95</v>
      </c>
      <c r="GV45" s="1453"/>
      <c r="GW45" s="1100"/>
      <c r="GX45" s="1453"/>
      <c r="GY45" s="1100"/>
      <c r="GZ45" s="1453"/>
      <c r="HA45" s="1453"/>
      <c r="HB45" s="1453"/>
      <c r="HC45" s="1469"/>
      <c r="HD45" s="1463"/>
      <c r="HE45" s="1463"/>
      <c r="HF45" s="1463"/>
      <c r="HG45" s="1463"/>
      <c r="HH45" s="1467">
        <f>HH46-HI45</f>
        <v>37683589.409999967</v>
      </c>
      <c r="HI45" s="1470">
        <v>715988056.25999999</v>
      </c>
      <c r="HJ45" s="1463"/>
      <c r="HK45" s="1463"/>
      <c r="HL45" s="1463"/>
      <c r="HM45" s="1463"/>
      <c r="HN45" s="1467">
        <f>HN46-HO45</f>
        <v>1661708.0900000036</v>
      </c>
      <c r="HO45" s="1445">
        <v>164509100</v>
      </c>
      <c r="HP45" s="1471"/>
      <c r="HQ45" s="1471"/>
      <c r="HR45" s="1471"/>
      <c r="HS45" s="1471"/>
      <c r="HT45" s="1471"/>
      <c r="HU45" s="1471"/>
      <c r="HV45" s="1471"/>
      <c r="HW45" s="1471"/>
      <c r="HX45" s="1471"/>
      <c r="HY45" s="1471"/>
      <c r="HZ45" s="1471"/>
      <c r="IA45" s="1471"/>
      <c r="IB45" s="1471"/>
      <c r="IC45" s="1471"/>
      <c r="ID45" s="1471"/>
      <c r="IE45" s="1471"/>
      <c r="IF45" s="1471"/>
      <c r="IG45" s="1471"/>
      <c r="IH45" s="1472"/>
      <c r="II45" s="1458"/>
      <c r="IJ45" s="1458"/>
      <c r="IK45" s="1458"/>
      <c r="IL45" s="1461">
        <f>IL46-IM45</f>
        <v>131578.95000000019</v>
      </c>
      <c r="IM45" s="1461">
        <v>2500000</v>
      </c>
      <c r="IN45" s="1458"/>
      <c r="IO45" s="1458"/>
      <c r="IP45" s="1458"/>
      <c r="IQ45" s="1458"/>
      <c r="IR45" s="1458"/>
      <c r="IS45" s="1458"/>
      <c r="IT45" s="1458"/>
      <c r="IU45" s="1458"/>
      <c r="IV45" s="1458"/>
      <c r="IW45" s="1458"/>
      <c r="IX45" s="1458"/>
      <c r="IY45" s="1458"/>
      <c r="IZ45" s="1458"/>
      <c r="JA45" s="1458"/>
      <c r="JB45" s="1461">
        <f>JB46-JC45</f>
        <v>1021544.8099999987</v>
      </c>
      <c r="JC45" s="1445">
        <v>19409351.73</v>
      </c>
      <c r="JD45" s="1458"/>
      <c r="JE45" s="1458"/>
      <c r="JF45" s="1458"/>
      <c r="JG45" s="1458"/>
      <c r="JH45" s="1461">
        <f>JH46-JI45</f>
        <v>874267.56999999983</v>
      </c>
      <c r="JI45" s="890">
        <v>2488300</v>
      </c>
      <c r="JJ45" s="1085"/>
      <c r="JK45" s="1085"/>
      <c r="JL45" s="1085"/>
      <c r="JM45" s="1085"/>
      <c r="JN45" s="1473"/>
      <c r="JO45" s="1473"/>
      <c r="JP45" s="1085"/>
      <c r="JQ45" s="1085"/>
      <c r="JR45" s="1085"/>
      <c r="JS45" s="1085"/>
      <c r="JT45" s="1085"/>
      <c r="JU45" s="1085"/>
      <c r="JV45" s="1085"/>
      <c r="JW45" s="1085"/>
      <c r="JX45" s="1085"/>
      <c r="JY45" s="1085"/>
      <c r="JZ45" s="1085"/>
      <c r="KA45" s="1085"/>
      <c r="KB45" s="1085"/>
      <c r="KC45" s="1085"/>
      <c r="KD45" s="1085"/>
      <c r="KE45" s="1085"/>
      <c r="KF45" s="1085"/>
      <c r="KG45" s="1085"/>
      <c r="KH45" s="1085"/>
      <c r="KI45" s="1085"/>
      <c r="KJ45" s="1085"/>
      <c r="KK45" s="1085"/>
      <c r="KL45" s="1085"/>
      <c r="KM45" s="1085"/>
      <c r="KN45" s="1461">
        <f>KN46-KO45</f>
        <v>0</v>
      </c>
      <c r="KO45" s="890"/>
      <c r="KP45" s="1461">
        <f>KP46-KQ45</f>
        <v>67321.759999999995</v>
      </c>
      <c r="KQ45" s="1457">
        <v>117858.24000000001</v>
      </c>
      <c r="KR45" s="1085"/>
      <c r="KS45" s="1085"/>
      <c r="KT45" s="1085"/>
      <c r="KU45" s="1085"/>
      <c r="KV45" s="1085"/>
      <c r="KW45" s="1085"/>
      <c r="KX45" s="1085"/>
      <c r="KY45" s="1085"/>
      <c r="KZ45" s="1085"/>
      <c r="LA45" s="1085"/>
      <c r="LB45" s="1085"/>
      <c r="LC45" s="1085"/>
      <c r="LD45" s="1085"/>
      <c r="LE45" s="1085"/>
      <c r="LF45" s="1085"/>
      <c r="LG45" s="1085"/>
      <c r="LH45" s="1085"/>
      <c r="LI45" s="1085"/>
      <c r="LJ45" s="1085"/>
      <c r="LK45" s="1085"/>
      <c r="LL45" s="1085"/>
      <c r="LM45" s="1085"/>
      <c r="LN45" s="1085"/>
      <c r="LO45" s="1085"/>
      <c r="LP45" s="1085"/>
      <c r="LQ45" s="1085"/>
      <c r="LR45" s="1085"/>
      <c r="LS45" s="890"/>
      <c r="LT45" s="1461">
        <f>LT46-LU45</f>
        <v>6560282.8600000031</v>
      </c>
      <c r="LU45" s="1457">
        <v>18671574.309999999</v>
      </c>
      <c r="LV45" s="1085"/>
      <c r="LW45" s="1085"/>
      <c r="LX45" s="1085"/>
      <c r="LY45" s="1085"/>
      <c r="LZ45" s="1085"/>
      <c r="MA45" s="1085"/>
      <c r="MB45" s="1085"/>
      <c r="MC45" s="1085"/>
      <c r="MD45" s="1085"/>
      <c r="ME45" s="1085"/>
      <c r="MF45" s="1085"/>
      <c r="MG45" s="1085"/>
      <c r="MH45" s="1085"/>
      <c r="MI45" s="1085"/>
      <c r="MJ45" s="1085"/>
      <c r="MK45" s="1085"/>
      <c r="ML45" s="1085"/>
      <c r="MM45" s="1085"/>
      <c r="MN45" s="1085"/>
      <c r="MO45" s="1085"/>
      <c r="MP45" s="1085"/>
      <c r="MQ45" s="1085"/>
      <c r="MR45" s="1085"/>
      <c r="MS45" s="1085"/>
      <c r="MT45" s="1089"/>
      <c r="MU45" s="1089"/>
      <c r="MV45" s="1089"/>
      <c r="MW45" s="1089"/>
      <c r="MX45" s="1089"/>
      <c r="MY45" s="1089"/>
      <c r="MZ45" s="1089"/>
      <c r="NA45" s="1089"/>
      <c r="NB45" s="1089"/>
      <c r="NC45" s="1461">
        <f>NC46-ND45</f>
        <v>0</v>
      </c>
      <c r="ND45" s="1461"/>
      <c r="NE45" s="1461">
        <f>NE46-NF45</f>
        <v>170334.30000000005</v>
      </c>
      <c r="NF45" s="1470">
        <v>484797.61</v>
      </c>
      <c r="NG45" s="1460"/>
      <c r="NH45" s="1461">
        <f>NH46-NI45</f>
        <v>1294132.4499999997</v>
      </c>
      <c r="NI45" s="1457">
        <v>3683299.97</v>
      </c>
      <c r="NJ45" s="1089"/>
      <c r="NK45" s="1089"/>
      <c r="NL45" s="1089"/>
      <c r="NM45" s="1089"/>
      <c r="NN45" s="1089"/>
      <c r="NO45" s="1089"/>
      <c r="NP45" s="1296"/>
      <c r="NQ45" s="1296"/>
      <c r="NR45" s="1296"/>
      <c r="NS45" s="1296"/>
      <c r="NT45" s="1296"/>
      <c r="NU45" s="1296"/>
      <c r="NV45" s="1296"/>
      <c r="NW45" s="1296"/>
      <c r="NX45" s="1296"/>
      <c r="NY45" s="1296"/>
      <c r="NZ45" s="1296"/>
      <c r="OA45" s="1296"/>
      <c r="OB45" s="1296"/>
      <c r="OC45" s="1296"/>
      <c r="OD45" s="1296"/>
      <c r="OE45" s="1296"/>
      <c r="OF45" s="1296"/>
      <c r="OG45" s="1474">
        <f>OG46-OH45</f>
        <v>0</v>
      </c>
      <c r="OH45" s="1475"/>
      <c r="OI45" s="1474"/>
      <c r="OJ45" s="1085"/>
      <c r="OK45" s="1085"/>
      <c r="OL45" s="1085"/>
      <c r="OM45" s="1085"/>
      <c r="ON45" s="1085"/>
      <c r="OO45" s="1461">
        <f>OO46-OP45</f>
        <v>11652643.599999994</v>
      </c>
      <c r="OP45" s="1457">
        <v>221400172.02000001</v>
      </c>
      <c r="OQ45" s="1445">
        <v>259065688.53</v>
      </c>
      <c r="OR45" s="1085"/>
      <c r="OS45" s="1085"/>
      <c r="OT45" s="1085"/>
      <c r="OU45" s="1085"/>
      <c r="OV45" s="1085"/>
      <c r="OW45" s="1085"/>
      <c r="OX45" s="1085"/>
      <c r="OY45" s="1085"/>
      <c r="OZ45" s="1085"/>
      <c r="PA45" s="1085"/>
      <c r="PB45" s="1085"/>
      <c r="PC45" s="1085"/>
      <c r="PD45" s="1085"/>
      <c r="PE45" s="1085"/>
      <c r="PF45" s="1085"/>
      <c r="PG45" s="1085"/>
      <c r="PH45" s="1085"/>
      <c r="PI45" s="1085"/>
      <c r="PJ45" s="1085"/>
      <c r="PK45" s="1085"/>
      <c r="PL45" s="1085"/>
      <c r="PM45" s="1085"/>
      <c r="PN45" s="1085"/>
      <c r="PO45" s="1085"/>
      <c r="PP45" s="1085"/>
      <c r="PQ45" s="1085"/>
      <c r="PR45" s="1085"/>
      <c r="PS45" s="1085"/>
      <c r="PT45" s="1085"/>
      <c r="PU45" s="1085"/>
      <c r="PV45" s="1461">
        <f>PV46-PW45</f>
        <v>378041.16999999993</v>
      </c>
      <c r="PW45" s="1457">
        <v>7182782.2999999998</v>
      </c>
      <c r="PX45" s="1458"/>
      <c r="PY45" s="1458"/>
      <c r="PZ45" s="1100"/>
      <c r="QA45" s="1100"/>
      <c r="QB45" s="1100"/>
      <c r="QC45" s="1100"/>
      <c r="QD45" s="1100"/>
      <c r="QE45" s="1100"/>
      <c r="QF45" s="1100"/>
      <c r="QG45" s="1100"/>
      <c r="QH45" s="1100"/>
      <c r="QI45" s="1100"/>
      <c r="QJ45" s="1100"/>
      <c r="QK45" s="1100"/>
      <c r="QL45" s="1100"/>
      <c r="QM45" s="1100"/>
      <c r="QN45" s="1100"/>
      <c r="QO45" s="1242"/>
      <c r="QP45" s="1242"/>
      <c r="QQ45" s="1242"/>
      <c r="QR45" s="1463"/>
      <c r="QS45" s="1463"/>
      <c r="QT45" s="1463"/>
      <c r="QU45" s="1463"/>
      <c r="QV45" s="1467">
        <f>QV46-QW45</f>
        <v>164095.95000000019</v>
      </c>
      <c r="QW45" s="1278">
        <v>3117823.01</v>
      </c>
      <c r="QX45" s="1476"/>
      <c r="QY45" s="1476"/>
      <c r="QZ45" s="1476"/>
      <c r="RA45" s="1476"/>
      <c r="RB45" s="1467">
        <f>RB46-RC45</f>
        <v>0</v>
      </c>
      <c r="RC45" s="1477"/>
      <c r="RD45" s="1478"/>
      <c r="RE45" s="1478"/>
      <c r="RF45" s="1478"/>
      <c r="RG45" s="1478"/>
      <c r="RH45" s="1478"/>
      <c r="RI45" s="1478"/>
      <c r="RJ45" s="1478"/>
      <c r="RK45" s="1478"/>
      <c r="RL45" s="1478"/>
      <c r="RM45" s="1478"/>
      <c r="RN45" s="1478"/>
      <c r="RO45" s="1478"/>
      <c r="RP45" s="1478"/>
      <c r="RQ45" s="1478"/>
      <c r="RR45" s="1478"/>
      <c r="RS45" s="1478"/>
      <c r="RT45" s="1478"/>
      <c r="RU45" s="1478"/>
      <c r="RV45" s="1100"/>
      <c r="RW45" s="1100"/>
      <c r="RX45" s="1100"/>
      <c r="RY45" s="1100"/>
      <c r="RZ45" s="1100"/>
      <c r="SA45" s="1100"/>
      <c r="SB45" s="1100"/>
      <c r="SC45" s="1100"/>
      <c r="SD45" s="1100"/>
      <c r="SE45" s="1100"/>
      <c r="SF45" s="1100"/>
      <c r="SG45" s="1445">
        <v>193907064.15000001</v>
      </c>
      <c r="SH45" s="1479">
        <f>SH46-SI45</f>
        <v>135751128.24000001</v>
      </c>
      <c r="SI45" s="1457">
        <v>386368595.75999999</v>
      </c>
      <c r="SJ45" s="1100"/>
      <c r="SK45" s="1100"/>
      <c r="SL45" s="1100"/>
      <c r="SM45" s="1100"/>
      <c r="SN45" s="1100"/>
      <c r="SO45" s="1100"/>
      <c r="SP45" s="1100"/>
      <c r="SQ45" s="1100"/>
      <c r="SR45" s="1100"/>
      <c r="SS45" s="1100"/>
      <c r="ST45" s="1100"/>
      <c r="SU45" s="1100"/>
      <c r="SV45" s="1100"/>
      <c r="SW45" s="1100"/>
      <c r="SX45" s="1461">
        <f>SX46-SY45</f>
        <v>5756026.450000003</v>
      </c>
      <c r="SY45" s="1457">
        <v>109364503.25</v>
      </c>
      <c r="SZ45" s="1461">
        <f>SZ46-TA45</f>
        <v>0</v>
      </c>
      <c r="TA45" s="1461"/>
      <c r="TB45" s="1461">
        <f>TB46-TC45</f>
        <v>49743975.080000043</v>
      </c>
      <c r="TC45" s="1457">
        <v>945135526.63</v>
      </c>
      <c r="TD45" s="1100"/>
      <c r="TE45" s="1100"/>
      <c r="TF45" s="1100"/>
      <c r="TG45" s="1100"/>
      <c r="TH45" s="1100"/>
      <c r="TI45" s="1100"/>
      <c r="TJ45" s="1100"/>
      <c r="TK45" s="1100"/>
      <c r="TL45" s="1100"/>
      <c r="TM45" s="1100"/>
      <c r="TN45" s="1100"/>
      <c r="TO45" s="1100"/>
      <c r="TP45" s="1100"/>
      <c r="TQ45" s="1100"/>
      <c r="TR45" s="1100"/>
      <c r="TS45" s="1100"/>
      <c r="TT45" s="1100"/>
      <c r="TU45" s="1100"/>
      <c r="TV45" s="1100"/>
      <c r="TW45" s="1100"/>
      <c r="TX45" s="1100"/>
      <c r="TY45" s="1100"/>
      <c r="TZ45" s="1100"/>
      <c r="UA45" s="1100"/>
      <c r="UB45" s="1100"/>
      <c r="UC45" s="1100"/>
      <c r="UD45" s="1100"/>
      <c r="UE45" s="1100"/>
      <c r="UF45" s="1100"/>
      <c r="UG45" s="1100"/>
      <c r="UH45" s="1100"/>
      <c r="UI45" s="1100"/>
      <c r="UJ45" s="1100"/>
      <c r="UK45" s="1100"/>
      <c r="UL45" s="1100"/>
      <c r="UM45" s="1100"/>
      <c r="UN45" s="1100"/>
      <c r="UO45" s="1100"/>
      <c r="UP45" s="1100"/>
      <c r="UQ45" s="1100"/>
      <c r="UR45" s="1100"/>
      <c r="US45" s="1100"/>
      <c r="UT45" s="1293"/>
      <c r="UU45" s="1293"/>
      <c r="UV45" s="1293"/>
      <c r="UW45" s="1293"/>
      <c r="UX45" s="1293"/>
      <c r="UY45" s="1293"/>
      <c r="UZ45" s="1293"/>
      <c r="VA45" s="1293"/>
      <c r="VB45" s="1086"/>
      <c r="VC45" s="791"/>
      <c r="VD45" s="791"/>
      <c r="VE45" s="1086"/>
      <c r="VF45" s="791"/>
      <c r="VG45" s="1086"/>
      <c r="VH45" s="1296"/>
      <c r="VI45" s="1296"/>
      <c r="VJ45" s="1296"/>
      <c r="VK45" s="1296"/>
      <c r="VL45" s="1296"/>
      <c r="VM45" s="1296"/>
      <c r="VN45" s="1293"/>
      <c r="VO45" s="1293"/>
      <c r="VP45" s="1293"/>
      <c r="VQ45" s="1293"/>
      <c r="VR45" s="1293"/>
      <c r="VS45" s="1293"/>
      <c r="VT45" s="1293"/>
      <c r="VU45" s="1293"/>
      <c r="VV45" s="1293"/>
      <c r="VW45" s="1293"/>
      <c r="VX45" s="1293"/>
      <c r="VY45" s="1293"/>
      <c r="VZ45" s="1293"/>
      <c r="WA45" s="1293"/>
      <c r="WB45" s="1480">
        <f t="shared" ref="WB45" si="584">WB46-WC45</f>
        <v>98474698.309999943</v>
      </c>
      <c r="WC45" s="1481">
        <f>WC37</f>
        <v>280274141.34000003</v>
      </c>
      <c r="WD45" s="1293"/>
      <c r="WE45" s="1293"/>
      <c r="WF45" s="1293"/>
      <c r="WG45" s="1293"/>
      <c r="WH45" s="1293"/>
      <c r="WI45" s="1293"/>
      <c r="WJ45" s="1293"/>
      <c r="WK45" s="1293"/>
      <c r="WL45" s="1482"/>
      <c r="WM45" s="1482"/>
      <c r="WN45" s="1482"/>
      <c r="WO45" s="1482"/>
      <c r="WP45" s="1467">
        <f>WP46-WQ45</f>
        <v>0</v>
      </c>
      <c r="WQ45" s="1483">
        <f>WQ37</f>
        <v>0</v>
      </c>
      <c r="WR45" s="1482"/>
      <c r="WS45" s="1482"/>
      <c r="WT45" s="1482"/>
      <c r="WU45" s="1482"/>
      <c r="WV45" s="1467">
        <f>WV46-WW45</f>
        <v>798164.9299999997</v>
      </c>
      <c r="WW45" s="1483">
        <f>WW37</f>
        <v>15165125.710000001</v>
      </c>
      <c r="WX45" s="1293"/>
      <c r="WY45" s="1293"/>
      <c r="WZ45" s="1293"/>
      <c r="XA45" s="1293"/>
      <c r="XB45" s="1464">
        <f t="shared" ref="XB45" si="585">XB46-XC45</f>
        <v>2235763.0800000057</v>
      </c>
      <c r="XC45" s="1481">
        <f>XC37</f>
        <v>42479496.439999998</v>
      </c>
      <c r="XD45" s="1293"/>
      <c r="XE45" s="1293"/>
      <c r="XF45" s="1293"/>
      <c r="XG45" s="1293"/>
      <c r="XH45" s="1293"/>
      <c r="XI45" s="1293"/>
      <c r="XJ45" s="1293"/>
      <c r="XK45" s="1293"/>
      <c r="XL45" s="1293"/>
      <c r="XM45" s="1445">
        <v>160058225.90000001</v>
      </c>
      <c r="XN45" s="1293"/>
      <c r="XO45" s="1293"/>
      <c r="XP45" s="1293"/>
      <c r="XQ45" s="1293"/>
      <c r="XR45" s="1293"/>
      <c r="XS45" s="1293"/>
      <c r="XT45" s="1293"/>
      <c r="XU45" s="1293"/>
      <c r="XV45" s="1089"/>
      <c r="XW45" s="1089"/>
      <c r="XX45" s="1089"/>
      <c r="XY45" s="1089"/>
      <c r="XZ45" s="1089"/>
      <c r="YA45" s="1089"/>
      <c r="YB45" s="1089"/>
      <c r="YC45" s="1089"/>
      <c r="YD45" s="1089"/>
      <c r="YE45" s="1089"/>
      <c r="YF45" s="1089"/>
      <c r="YG45" s="1089"/>
      <c r="YH45" s="1445">
        <v>176246821.08000001</v>
      </c>
      <c r="YI45" s="1445">
        <v>145023301.06999999</v>
      </c>
      <c r="YJ45" s="1445">
        <v>58561035.630000003</v>
      </c>
      <c r="YK45" s="1445">
        <v>248408155.34999999</v>
      </c>
      <c r="YL45" s="1445">
        <v>166609560</v>
      </c>
      <c r="YM45" s="1445">
        <v>188188837.81</v>
      </c>
      <c r="YN45" s="1445">
        <v>13399655.76</v>
      </c>
      <c r="YO45" s="1103"/>
      <c r="YP45" s="1103"/>
      <c r="YQ45" s="1445">
        <v>195170839.93000001</v>
      </c>
      <c r="YR45" s="1097"/>
      <c r="YS45" s="1097"/>
      <c r="YT45" s="1097"/>
      <c r="YU45" s="1097"/>
      <c r="YV45" s="1097"/>
      <c r="YW45" s="1097"/>
      <c r="YX45" s="1097"/>
      <c r="YY45" s="1097"/>
      <c r="YZ45" s="1097"/>
      <c r="ZA45" s="1097"/>
      <c r="ZB45" s="1097"/>
      <c r="ZC45" s="1097"/>
      <c r="ZD45" s="1097"/>
      <c r="ZE45" s="1097"/>
      <c r="ZF45" s="1097"/>
      <c r="ZG45" s="1097"/>
      <c r="ZH45" s="1097"/>
      <c r="ZI45" s="1097"/>
      <c r="ZJ45" s="1097"/>
      <c r="ZK45" s="1097"/>
      <c r="ZL45" s="1097"/>
      <c r="ZM45" s="1097"/>
      <c r="ZN45" s="1097"/>
      <c r="ZO45" s="1097"/>
      <c r="ZP45" s="1097"/>
      <c r="ZQ45" s="1097"/>
      <c r="ZR45" s="1097"/>
      <c r="ZS45" s="1097"/>
      <c r="ZT45" s="1097"/>
      <c r="ZU45" s="1097"/>
      <c r="ZV45" s="1097"/>
      <c r="ZW45" s="1097"/>
      <c r="ZX45" s="1097"/>
      <c r="ZY45" s="1097"/>
      <c r="ZZ45" s="1097"/>
      <c r="AAA45" s="1097"/>
      <c r="AAB45" s="1086"/>
      <c r="AAC45" s="1086"/>
      <c r="AAD45" s="1104"/>
      <c r="AAE45" s="1104"/>
      <c r="AAF45" s="1087"/>
      <c r="AAG45" s="1087"/>
      <c r="AAH45" s="791"/>
      <c r="AAI45" s="791"/>
      <c r="AAJ45" s="791"/>
      <c r="AAK45" s="791"/>
      <c r="AAL45" s="1105">
        <v>-1638800000.1600001</v>
      </c>
      <c r="AAM45" s="1105">
        <v>-30000000</v>
      </c>
      <c r="AAN45" s="1087"/>
      <c r="AAO45" s="1087"/>
      <c r="AAP45" s="791"/>
      <c r="AAQ45" s="791"/>
      <c r="AAR45" s="791"/>
      <c r="AAS45" s="791"/>
      <c r="AAT45" s="791"/>
      <c r="AAU45" s="791"/>
    </row>
    <row r="46" spans="1:723" ht="20.25" x14ac:dyDescent="0.25">
      <c r="A46" s="791"/>
      <c r="B46" s="791"/>
      <c r="C46" s="791"/>
      <c r="D46" s="1086"/>
      <c r="E46" s="1085"/>
      <c r="F46" s="1085"/>
      <c r="G46" s="1085"/>
      <c r="H46" s="1085"/>
      <c r="I46" s="1293"/>
      <c r="J46" s="1293"/>
      <c r="K46" s="1293"/>
      <c r="L46" s="1293"/>
      <c r="M46" s="1293"/>
      <c r="N46" s="1293"/>
      <c r="O46" s="1293"/>
      <c r="P46" s="1293"/>
      <c r="Q46" s="791"/>
      <c r="R46" s="791"/>
      <c r="S46" s="791"/>
      <c r="T46" s="791"/>
      <c r="U46" s="791"/>
      <c r="V46" s="1099"/>
      <c r="W46" s="1099"/>
      <c r="X46" s="1099"/>
      <c r="Y46" s="1099"/>
      <c r="Z46" s="791"/>
      <c r="AA46" s="791"/>
      <c r="AB46" s="791"/>
      <c r="AC46" s="791"/>
      <c r="AD46" s="1099"/>
      <c r="AE46" s="1099"/>
      <c r="AF46" s="1099"/>
      <c r="AG46" s="791"/>
      <c r="AH46" s="1099"/>
      <c r="AI46" s="1099"/>
      <c r="AJ46" s="1099"/>
      <c r="AK46" s="1099"/>
      <c r="AL46" s="1099"/>
      <c r="AM46" s="1099"/>
      <c r="AN46" s="1293"/>
      <c r="AO46" s="1484"/>
      <c r="AP46" s="1484"/>
      <c r="AQ46" s="1100"/>
      <c r="AR46" s="1100"/>
      <c r="AS46" s="1484"/>
      <c r="AT46" s="1485"/>
      <c r="AU46" s="1485"/>
      <c r="AV46" s="1484"/>
      <c r="AW46" s="1087"/>
      <c r="AX46" s="1484"/>
      <c r="AY46" s="1087"/>
      <c r="AZ46" s="1100"/>
      <c r="BA46" s="1100"/>
      <c r="BB46" s="1100"/>
      <c r="BC46" s="1486"/>
      <c r="BD46" s="1100"/>
      <c r="BE46" s="1100"/>
      <c r="BF46" s="1100"/>
      <c r="BG46" s="1100"/>
      <c r="BH46" s="1101"/>
      <c r="BI46" s="1101"/>
      <c r="BJ46" s="1101"/>
      <c r="BK46" s="1101"/>
      <c r="BL46" s="1293"/>
      <c r="BM46" s="1459">
        <f>BM45-BM38</f>
        <v>0</v>
      </c>
      <c r="BN46" s="1293"/>
      <c r="BO46" s="1293"/>
      <c r="BP46" s="1293"/>
      <c r="BQ46" s="1293"/>
      <c r="BR46" s="1293"/>
      <c r="BS46" s="1293"/>
      <c r="BT46" s="791"/>
      <c r="BU46" s="791"/>
      <c r="BV46" s="791"/>
      <c r="BW46" s="1085"/>
      <c r="BX46" s="1085"/>
      <c r="BY46" s="1085"/>
      <c r="BZ46" s="1293"/>
      <c r="CA46" s="1485"/>
      <c r="CB46" s="1293"/>
      <c r="CC46" s="1293"/>
      <c r="CD46" s="1293"/>
      <c r="CE46" s="1293"/>
      <c r="CF46" s="1293"/>
      <c r="CG46" s="1293"/>
      <c r="CH46" s="1100"/>
      <c r="CI46" s="1100"/>
      <c r="CJ46" s="1100"/>
      <c r="CK46" s="1100"/>
      <c r="CL46" s="1487"/>
      <c r="CM46" s="1487"/>
      <c r="CN46" s="1100"/>
      <c r="CO46" s="1100"/>
      <c r="CP46" s="1100"/>
      <c r="CQ46" s="1100"/>
      <c r="CR46" s="1100"/>
      <c r="CS46" s="1100"/>
      <c r="CT46" s="1100"/>
      <c r="CU46" s="1100"/>
      <c r="CV46" s="1445">
        <v>6659949.2199999997</v>
      </c>
      <c r="CW46" s="1475"/>
      <c r="CX46" s="1445">
        <v>398141476.11000001</v>
      </c>
      <c r="CY46" s="1475"/>
      <c r="CZ46" s="1445">
        <v>69768253.5</v>
      </c>
      <c r="DA46" s="1475"/>
      <c r="DB46" s="1487"/>
      <c r="DC46" s="1487"/>
      <c r="DD46" s="1487"/>
      <c r="DE46" s="1487"/>
      <c r="DF46" s="1487"/>
      <c r="DG46" s="1487"/>
      <c r="DH46" s="1487"/>
      <c r="DI46" s="1487"/>
      <c r="DJ46" s="1487"/>
      <c r="DK46" s="1487"/>
      <c r="DL46" s="1459"/>
      <c r="DM46" s="1459"/>
      <c r="DN46" s="1459"/>
      <c r="DO46" s="1459"/>
      <c r="DP46" s="1459"/>
      <c r="DQ46" s="1487"/>
      <c r="DR46" s="1487"/>
      <c r="DS46" s="1487"/>
      <c r="DT46" s="1100"/>
      <c r="DU46" s="1100"/>
      <c r="DV46" s="1100"/>
      <c r="DW46" s="1100"/>
      <c r="DX46" s="1445">
        <v>4764585.4400000004</v>
      </c>
      <c r="DY46" s="1487"/>
      <c r="DZ46" s="1100"/>
      <c r="EA46" s="1100"/>
      <c r="EB46" s="1100"/>
      <c r="EC46" s="1100"/>
      <c r="ED46" s="1100"/>
      <c r="EE46" s="1100"/>
      <c r="EF46" s="1487"/>
      <c r="EG46" s="1487"/>
      <c r="EH46" s="1487"/>
      <c r="EI46" s="1487"/>
      <c r="EJ46" s="1487"/>
      <c r="EK46" s="1445"/>
      <c r="EL46" s="1445">
        <v>759274749.70000005</v>
      </c>
      <c r="EM46" s="1487"/>
      <c r="EN46" s="1487"/>
      <c r="EO46" s="1487"/>
      <c r="EP46" s="1487"/>
      <c r="EQ46" s="1487"/>
      <c r="ER46" s="1445">
        <v>109618863.97</v>
      </c>
      <c r="ES46" s="1487"/>
      <c r="ET46" s="1475"/>
      <c r="EU46" s="1475"/>
      <c r="EV46" s="1475"/>
      <c r="EW46" s="1475"/>
      <c r="EX46" s="1445">
        <v>3447329.84</v>
      </c>
      <c r="EY46" s="1475"/>
      <c r="EZ46" s="1475"/>
      <c r="FA46" s="1475"/>
      <c r="FB46" s="1475"/>
      <c r="FC46" s="1475"/>
      <c r="FD46" s="1475"/>
      <c r="FE46" s="1475"/>
      <c r="FF46" s="1475"/>
      <c r="FG46" s="1475"/>
      <c r="FH46" s="1475"/>
      <c r="FI46" s="1475"/>
      <c r="FJ46" s="1475"/>
      <c r="FK46" s="1475"/>
      <c r="FL46" s="1475"/>
      <c r="FM46" s="1475"/>
      <c r="FN46" s="1475"/>
      <c r="FO46" s="1475"/>
      <c r="FP46" s="1475"/>
      <c r="FQ46" s="1475"/>
      <c r="FR46" s="1475"/>
      <c r="FS46" s="1475"/>
      <c r="FT46" s="1475"/>
      <c r="FU46" s="1475"/>
      <c r="FV46" s="1477"/>
      <c r="FW46" s="1475"/>
      <c r="FX46" s="1475"/>
      <c r="FY46" s="1475"/>
      <c r="FZ46" s="1475"/>
      <c r="GA46" s="1475"/>
      <c r="GB46" s="1445">
        <v>243132201.93000001</v>
      </c>
      <c r="GC46" s="1475"/>
      <c r="GD46" s="1475"/>
      <c r="GE46" s="1475"/>
      <c r="GF46" s="1475"/>
      <c r="GG46" s="1475"/>
      <c r="GH46" s="1475"/>
      <c r="GI46" s="1475"/>
      <c r="GJ46" s="1475"/>
      <c r="GK46" s="1475"/>
      <c r="GL46" s="1475"/>
      <c r="GM46" s="1475"/>
      <c r="GN46" s="1459"/>
      <c r="GO46" s="1459"/>
      <c r="GP46" s="1459"/>
      <c r="GQ46" s="1100"/>
      <c r="GR46" s="1100"/>
      <c r="GS46" s="1445">
        <v>191075774.47999999</v>
      </c>
      <c r="GT46" s="1475"/>
      <c r="GU46" s="1486"/>
      <c r="GV46" s="1486"/>
      <c r="GW46" s="1100"/>
      <c r="GX46" s="1486"/>
      <c r="GY46" s="1100"/>
      <c r="GZ46" s="1486"/>
      <c r="HA46" s="1486"/>
      <c r="HB46" s="1486"/>
      <c r="HC46" s="1486"/>
      <c r="HD46" s="1475"/>
      <c r="HE46" s="1475"/>
      <c r="HF46" s="1475"/>
      <c r="HG46" s="1475"/>
      <c r="HH46" s="1445">
        <v>753671645.66999996</v>
      </c>
      <c r="HI46" s="1475"/>
      <c r="HJ46" s="1475"/>
      <c r="HK46" s="1475"/>
      <c r="HL46" s="1475"/>
      <c r="HM46" s="1475"/>
      <c r="HN46" s="1445">
        <v>166170808.09</v>
      </c>
      <c r="HO46" s="1475"/>
      <c r="HP46" s="1475"/>
      <c r="HQ46" s="1475"/>
      <c r="HR46" s="1475"/>
      <c r="HS46" s="1475"/>
      <c r="HT46" s="1475"/>
      <c r="HU46" s="1475"/>
      <c r="HV46" s="1475"/>
      <c r="HW46" s="1475"/>
      <c r="HX46" s="1475"/>
      <c r="HY46" s="1475"/>
      <c r="HZ46" s="1475"/>
      <c r="IA46" s="1475"/>
      <c r="IB46" s="1475"/>
      <c r="IC46" s="1475"/>
      <c r="ID46" s="1475"/>
      <c r="IE46" s="1475"/>
      <c r="IF46" s="1475"/>
      <c r="IG46" s="1475"/>
      <c r="IH46" s="1487"/>
      <c r="II46" s="1487"/>
      <c r="IJ46" s="1487"/>
      <c r="IK46" s="1487"/>
      <c r="IL46" s="1445">
        <v>2631578.9500000002</v>
      </c>
      <c r="IM46" s="1487"/>
      <c r="IN46" s="1487"/>
      <c r="IO46" s="1487"/>
      <c r="IP46" s="1487"/>
      <c r="IQ46" s="1487"/>
      <c r="IR46" s="1487"/>
      <c r="IS46" s="1487"/>
      <c r="IT46" s="1487"/>
      <c r="IU46" s="1487"/>
      <c r="IV46" s="1487"/>
      <c r="IW46" s="1487"/>
      <c r="IX46" s="1487"/>
      <c r="IY46" s="1487"/>
      <c r="IZ46" s="1487"/>
      <c r="JA46" s="1487"/>
      <c r="JB46" s="1445">
        <v>20430896.539999999</v>
      </c>
      <c r="JC46" s="1487"/>
      <c r="JD46" s="1487"/>
      <c r="JE46" s="1487"/>
      <c r="JF46" s="1487"/>
      <c r="JG46" s="1487"/>
      <c r="JH46" s="1445">
        <v>3362567.57</v>
      </c>
      <c r="JI46" s="1487"/>
      <c r="JJ46" s="1085"/>
      <c r="JK46" s="1085"/>
      <c r="JL46" s="1085"/>
      <c r="JM46" s="1085"/>
      <c r="JN46" s="1488"/>
      <c r="JO46" s="1488"/>
      <c r="JP46" s="1085"/>
      <c r="JQ46" s="1085"/>
      <c r="JR46" s="1085"/>
      <c r="JS46" s="1085"/>
      <c r="JT46" s="1085"/>
      <c r="JU46" s="1085"/>
      <c r="JV46" s="1085"/>
      <c r="JW46" s="1085"/>
      <c r="JX46" s="1085"/>
      <c r="JY46" s="1085"/>
      <c r="JZ46" s="1085"/>
      <c r="KA46" s="1085"/>
      <c r="KB46" s="1085"/>
      <c r="KC46" s="1085"/>
      <c r="KD46" s="1085"/>
      <c r="KE46" s="1085"/>
      <c r="KF46" s="1085"/>
      <c r="KG46" s="1085"/>
      <c r="KH46" s="1085"/>
      <c r="KI46" s="1085"/>
      <c r="KJ46" s="1085"/>
      <c r="KK46" s="1085"/>
      <c r="KL46" s="1085"/>
      <c r="KM46" s="1085"/>
      <c r="KN46" s="1445">
        <v>0</v>
      </c>
      <c r="KO46" s="1487"/>
      <c r="KP46" s="1445">
        <v>185180</v>
      </c>
      <c r="KQ46" s="1487"/>
      <c r="KR46" s="1085"/>
      <c r="KS46" s="1085"/>
      <c r="KT46" s="1085"/>
      <c r="KU46" s="1085"/>
      <c r="KV46" s="1085"/>
      <c r="KW46" s="1085"/>
      <c r="KX46" s="1085"/>
      <c r="KY46" s="1085"/>
      <c r="KZ46" s="1085"/>
      <c r="LA46" s="1085"/>
      <c r="LB46" s="1085"/>
      <c r="LC46" s="1085"/>
      <c r="LD46" s="1085"/>
      <c r="LE46" s="1085"/>
      <c r="LF46" s="1085"/>
      <c r="LG46" s="1085"/>
      <c r="LH46" s="1085"/>
      <c r="LI46" s="1085"/>
      <c r="LJ46" s="1085"/>
      <c r="LK46" s="1085"/>
      <c r="LL46" s="1085"/>
      <c r="LM46" s="1085"/>
      <c r="LN46" s="1085"/>
      <c r="LO46" s="1085"/>
      <c r="LP46" s="1085"/>
      <c r="LQ46" s="1085"/>
      <c r="LR46" s="1085"/>
      <c r="LS46" s="1487"/>
      <c r="LT46" s="1445">
        <v>25231857.170000002</v>
      </c>
      <c r="LU46" s="1487"/>
      <c r="LV46" s="1085"/>
      <c r="LW46" s="1085"/>
      <c r="LX46" s="1085"/>
      <c r="LY46" s="1085"/>
      <c r="LZ46" s="1085"/>
      <c r="MA46" s="1085"/>
      <c r="MB46" s="1085"/>
      <c r="MC46" s="1085"/>
      <c r="MD46" s="1085"/>
      <c r="ME46" s="1085"/>
      <c r="MF46" s="1085"/>
      <c r="MG46" s="1085"/>
      <c r="MH46" s="1085"/>
      <c r="MI46" s="1085"/>
      <c r="MJ46" s="1085"/>
      <c r="MK46" s="1085"/>
      <c r="ML46" s="1085"/>
      <c r="MM46" s="1085"/>
      <c r="MN46" s="1085"/>
      <c r="MO46" s="1085"/>
      <c r="MP46" s="1085"/>
      <c r="MQ46" s="1085"/>
      <c r="MR46" s="1085"/>
      <c r="MS46" s="1085"/>
      <c r="MT46" s="1089"/>
      <c r="MU46" s="1089"/>
      <c r="MV46" s="1089"/>
      <c r="MW46" s="1089"/>
      <c r="MX46" s="1089"/>
      <c r="MY46" s="1089"/>
      <c r="MZ46" s="1089"/>
      <c r="NA46" s="1089"/>
      <c r="NB46" s="1089"/>
      <c r="NC46" s="1489">
        <v>0</v>
      </c>
      <c r="ND46" s="1487"/>
      <c r="NE46" s="1445">
        <v>655131.91</v>
      </c>
      <c r="NF46" s="1487"/>
      <c r="NG46" s="1487"/>
      <c r="NH46" s="1445">
        <v>4977432.42</v>
      </c>
      <c r="NI46" s="1487"/>
      <c r="NJ46" s="1089"/>
      <c r="NK46" s="1089"/>
      <c r="NL46" s="1089"/>
      <c r="NM46" s="1089"/>
      <c r="NN46" s="1089"/>
      <c r="NO46" s="1089"/>
      <c r="NP46" s="1296"/>
      <c r="NQ46" s="1296"/>
      <c r="NR46" s="1296"/>
      <c r="NS46" s="1296"/>
      <c r="NT46" s="1296"/>
      <c r="NU46" s="1296"/>
      <c r="NV46" s="1296"/>
      <c r="NW46" s="1296"/>
      <c r="NX46" s="1296"/>
      <c r="NY46" s="1296"/>
      <c r="NZ46" s="1296"/>
      <c r="OA46" s="1296"/>
      <c r="OB46" s="1296"/>
      <c r="OC46" s="1296"/>
      <c r="OD46" s="1296"/>
      <c r="OE46" s="1296"/>
      <c r="OF46" s="1296"/>
      <c r="OG46" s="1490"/>
      <c r="OH46" s="1475"/>
      <c r="OI46" s="1475"/>
      <c r="OJ46" s="1085"/>
      <c r="OK46" s="1085"/>
      <c r="OL46" s="1085"/>
      <c r="OM46" s="1085"/>
      <c r="ON46" s="1085"/>
      <c r="OO46" s="1445">
        <v>233052815.62</v>
      </c>
      <c r="OP46" s="1487"/>
      <c r="OQ46" s="1487"/>
      <c r="OR46" s="1085"/>
      <c r="OS46" s="1085"/>
      <c r="OT46" s="1085"/>
      <c r="OU46" s="1085"/>
      <c r="OV46" s="1085"/>
      <c r="OW46" s="1085"/>
      <c r="OX46" s="1085"/>
      <c r="OY46" s="1085"/>
      <c r="OZ46" s="1085"/>
      <c r="PA46" s="1085"/>
      <c r="PB46" s="1085"/>
      <c r="PC46" s="1085"/>
      <c r="PD46" s="1085"/>
      <c r="PE46" s="1085"/>
      <c r="PF46" s="1085"/>
      <c r="PG46" s="1085"/>
      <c r="PH46" s="1085"/>
      <c r="PI46" s="1085"/>
      <c r="PJ46" s="1085"/>
      <c r="PK46" s="1085"/>
      <c r="PL46" s="1085"/>
      <c r="PM46" s="1085"/>
      <c r="PN46" s="1085"/>
      <c r="PO46" s="1085"/>
      <c r="PP46" s="1085"/>
      <c r="PQ46" s="1085"/>
      <c r="PR46" s="1085"/>
      <c r="PS46" s="1085"/>
      <c r="PT46" s="1085"/>
      <c r="PU46" s="1085"/>
      <c r="PV46" s="1445">
        <v>7560823.4699999997</v>
      </c>
      <c r="PW46" s="1487"/>
      <c r="PX46" s="1487"/>
      <c r="PY46" s="1487"/>
      <c r="PZ46" s="1100"/>
      <c r="QA46" s="1100"/>
      <c r="QB46" s="1100"/>
      <c r="QC46" s="1100"/>
      <c r="QD46" s="1100"/>
      <c r="QE46" s="1100"/>
      <c r="QF46" s="1100"/>
      <c r="QG46" s="1100"/>
      <c r="QH46" s="1100"/>
      <c r="QI46" s="1100"/>
      <c r="QJ46" s="1100"/>
      <c r="QK46" s="1100"/>
      <c r="QL46" s="1100"/>
      <c r="QM46" s="1100"/>
      <c r="QN46" s="1100"/>
      <c r="QO46" s="1100"/>
      <c r="QP46" s="1100"/>
      <c r="QQ46" s="1100"/>
      <c r="QR46" s="1475"/>
      <c r="QS46" s="1475"/>
      <c r="QT46" s="1475"/>
      <c r="QU46" s="1475"/>
      <c r="QV46" s="1445">
        <v>3281918.96</v>
      </c>
      <c r="QW46" s="1475"/>
      <c r="QX46" s="1475"/>
      <c r="QY46" s="1475"/>
      <c r="QZ46" s="1475"/>
      <c r="RA46" s="1475"/>
      <c r="RB46" s="1477"/>
      <c r="RC46" s="1475"/>
      <c r="RD46" s="1475"/>
      <c r="RE46" s="1475"/>
      <c r="RF46" s="1475"/>
      <c r="RG46" s="1475"/>
      <c r="RH46" s="1475"/>
      <c r="RI46" s="1475"/>
      <c r="RJ46" s="1475"/>
      <c r="RK46" s="1475"/>
      <c r="RL46" s="1475"/>
      <c r="RM46" s="1475"/>
      <c r="RN46" s="1475"/>
      <c r="RO46" s="1475"/>
      <c r="RP46" s="1475"/>
      <c r="RQ46" s="1475"/>
      <c r="RR46" s="1475"/>
      <c r="RS46" s="1475"/>
      <c r="RT46" s="1475"/>
      <c r="RU46" s="1475"/>
      <c r="RV46" s="1100"/>
      <c r="RW46" s="1100"/>
      <c r="RX46" s="1100"/>
      <c r="RY46" s="1100"/>
      <c r="RZ46" s="1100"/>
      <c r="SA46" s="1100"/>
      <c r="SB46" s="1100"/>
      <c r="SC46" s="1100"/>
      <c r="SD46" s="1100"/>
      <c r="SE46" s="1100"/>
      <c r="SF46" s="1100"/>
      <c r="SG46" s="1475"/>
      <c r="SH46" s="1445">
        <v>522119724</v>
      </c>
      <c r="SI46" s="1475"/>
      <c r="SJ46" s="1100"/>
      <c r="SK46" s="1100"/>
      <c r="SL46" s="1100"/>
      <c r="SM46" s="1100"/>
      <c r="SN46" s="1100"/>
      <c r="SO46" s="1100"/>
      <c r="SP46" s="1100"/>
      <c r="SQ46" s="1100"/>
      <c r="SR46" s="1100"/>
      <c r="SS46" s="1100"/>
      <c r="ST46" s="1100"/>
      <c r="SU46" s="1100"/>
      <c r="SV46" s="1100"/>
      <c r="SW46" s="1100"/>
      <c r="SX46" s="1445">
        <v>115120529.7</v>
      </c>
      <c r="SY46" s="1487"/>
      <c r="SZ46" s="1489">
        <v>0</v>
      </c>
      <c r="TA46" s="1487"/>
      <c r="TB46" s="1445">
        <v>994879501.71000004</v>
      </c>
      <c r="TC46" s="1487"/>
      <c r="TD46" s="1100"/>
      <c r="TE46" s="1100"/>
      <c r="TF46" s="1100"/>
      <c r="TG46" s="1100"/>
      <c r="TH46" s="1100"/>
      <c r="TI46" s="1100"/>
      <c r="TJ46" s="1100"/>
      <c r="TK46" s="1100"/>
      <c r="TL46" s="1100"/>
      <c r="TM46" s="1100"/>
      <c r="TN46" s="1100"/>
      <c r="TO46" s="1100"/>
      <c r="TP46" s="1100"/>
      <c r="TQ46" s="1100"/>
      <c r="TR46" s="1100"/>
      <c r="TS46" s="1100"/>
      <c r="TT46" s="1100"/>
      <c r="TU46" s="1100"/>
      <c r="TV46" s="1100"/>
      <c r="TW46" s="1100"/>
      <c r="TX46" s="1100"/>
      <c r="TY46" s="1100"/>
      <c r="TZ46" s="1100"/>
      <c r="UA46" s="1100"/>
      <c r="UB46" s="1100"/>
      <c r="UC46" s="1100"/>
      <c r="UD46" s="1100"/>
      <c r="UE46" s="1100"/>
      <c r="UF46" s="1100"/>
      <c r="UG46" s="1100"/>
      <c r="UH46" s="1100"/>
      <c r="UI46" s="1100"/>
      <c r="UJ46" s="1100"/>
      <c r="UK46" s="1100"/>
      <c r="UL46" s="1100"/>
      <c r="UM46" s="1100"/>
      <c r="UN46" s="1100"/>
      <c r="UO46" s="1100"/>
      <c r="UP46" s="1100"/>
      <c r="UQ46" s="1100"/>
      <c r="UR46" s="1100"/>
      <c r="US46" s="1100"/>
      <c r="UT46" s="1293"/>
      <c r="UU46" s="1293"/>
      <c r="UV46" s="1293"/>
      <c r="UW46" s="1293"/>
      <c r="UX46" s="1293"/>
      <c r="UY46" s="1293"/>
      <c r="UZ46" s="1293"/>
      <c r="VA46" s="1293"/>
      <c r="VB46" s="1086"/>
      <c r="VC46" s="791"/>
      <c r="VD46" s="791"/>
      <c r="VE46" s="1086"/>
      <c r="VF46" s="791"/>
      <c r="VG46" s="1086"/>
      <c r="VH46" s="1106"/>
      <c r="VI46" s="1106"/>
      <c r="VJ46" s="1106"/>
      <c r="VK46" s="1296"/>
      <c r="VL46" s="1296"/>
      <c r="VM46" s="1296"/>
      <c r="VN46" s="1293"/>
      <c r="VO46" s="1293"/>
      <c r="VP46" s="1293"/>
      <c r="VQ46" s="1293"/>
      <c r="VR46" s="1293"/>
      <c r="VS46" s="1293"/>
      <c r="VT46" s="1293"/>
      <c r="VU46" s="1293"/>
      <c r="VV46" s="1293"/>
      <c r="VW46" s="1293"/>
      <c r="VX46" s="1293"/>
      <c r="VY46" s="1293"/>
      <c r="VZ46" s="1293"/>
      <c r="WA46" s="1293"/>
      <c r="WB46" s="1445">
        <v>378748839.64999998</v>
      </c>
      <c r="WC46" s="1475"/>
      <c r="WD46" s="1293"/>
      <c r="WE46" s="1293"/>
      <c r="WF46" s="1293"/>
      <c r="WG46" s="1293"/>
      <c r="WH46" s="1293"/>
      <c r="WI46" s="1293"/>
      <c r="WJ46" s="1293"/>
      <c r="WK46" s="1293"/>
      <c r="WL46" s="1475"/>
      <c r="WM46" s="1475"/>
      <c r="WN46" s="1475"/>
      <c r="WO46" s="1475"/>
      <c r="WP46" s="1445"/>
      <c r="WQ46" s="1475"/>
      <c r="WR46" s="1475"/>
      <c r="WS46" s="1475"/>
      <c r="WT46" s="1475"/>
      <c r="WU46" s="1475"/>
      <c r="WV46" s="1445">
        <v>15963290.640000001</v>
      </c>
      <c r="WW46" s="1470">
        <v>15165125.710000001</v>
      </c>
      <c r="WX46" s="1293"/>
      <c r="WY46" s="1293"/>
      <c r="WZ46" s="1293"/>
      <c r="XA46" s="1293"/>
      <c r="XB46" s="1445">
        <v>44715259.520000003</v>
      </c>
      <c r="XC46" s="1475"/>
      <c r="XD46" s="1293"/>
      <c r="XE46" s="1293"/>
      <c r="XF46" s="1293"/>
      <c r="XG46" s="1293"/>
      <c r="XH46" s="1293"/>
      <c r="XI46" s="1445">
        <v>481578110.50999999</v>
      </c>
      <c r="XJ46" s="1293"/>
      <c r="XK46" s="1293"/>
      <c r="XL46" s="1293"/>
      <c r="XM46" s="1293"/>
      <c r="XN46" s="1293"/>
      <c r="XO46" s="1293"/>
      <c r="XP46" s="1293"/>
      <c r="XQ46" s="1293"/>
      <c r="XR46" s="1293"/>
      <c r="XS46" s="1293"/>
      <c r="XT46" s="1293"/>
      <c r="XU46" s="1293"/>
      <c r="XV46" s="1089"/>
      <c r="XW46" s="1089"/>
      <c r="XX46" s="1089"/>
      <c r="XY46" s="1089"/>
      <c r="XZ46" s="1089"/>
      <c r="YA46" s="1089"/>
      <c r="YB46" s="1089"/>
      <c r="YC46" s="1089"/>
      <c r="YD46" s="1089"/>
      <c r="YE46" s="1089"/>
      <c r="YF46" s="1089"/>
      <c r="YG46" s="1089"/>
      <c r="YH46" s="1089"/>
      <c r="YI46" s="1089"/>
      <c r="YJ46" s="1089"/>
      <c r="YK46" s="1089"/>
      <c r="YL46" s="1089"/>
      <c r="YM46" s="1089"/>
      <c r="YN46" s="1089"/>
      <c r="YO46" s="1089"/>
      <c r="YP46" s="1089"/>
      <c r="YQ46" s="1089"/>
      <c r="YR46" s="1097"/>
      <c r="YS46" s="1097"/>
      <c r="YT46" s="1097"/>
      <c r="YU46" s="1097"/>
      <c r="YV46" s="1097"/>
      <c r="YW46" s="1097"/>
      <c r="YX46" s="1097"/>
      <c r="YY46" s="1097"/>
      <c r="YZ46" s="1097"/>
      <c r="ZA46" s="1097"/>
      <c r="ZB46" s="1097"/>
      <c r="ZC46" s="1097"/>
      <c r="ZD46" s="1097"/>
      <c r="ZE46" s="1097"/>
      <c r="ZF46" s="1097"/>
      <c r="ZG46" s="1097"/>
      <c r="ZH46" s="1097"/>
      <c r="ZI46" s="1097"/>
      <c r="ZJ46" s="1097"/>
      <c r="ZK46" s="1097"/>
      <c r="ZL46" s="1097"/>
      <c r="ZM46" s="1097"/>
      <c r="ZN46" s="1097"/>
      <c r="ZO46" s="1097"/>
      <c r="ZP46" s="1097"/>
      <c r="ZQ46" s="1097"/>
      <c r="ZR46" s="1097"/>
      <c r="ZS46" s="1097"/>
      <c r="ZT46" s="1097"/>
      <c r="ZU46" s="1097"/>
      <c r="ZV46" s="1097"/>
      <c r="ZW46" s="1097"/>
      <c r="ZX46" s="1097"/>
      <c r="ZY46" s="1097"/>
      <c r="ZZ46" s="1097"/>
      <c r="AAA46" s="1097"/>
      <c r="AAB46" s="1086"/>
      <c r="AAC46" s="1086"/>
      <c r="AAD46" s="1491">
        <f>AAD45-AAD38</f>
        <v>0</v>
      </c>
      <c r="AAE46" s="1491">
        <f>AAE45-AAE38</f>
        <v>0</v>
      </c>
      <c r="AAF46" s="1087"/>
      <c r="AAG46" s="1087"/>
      <c r="AAH46" s="791"/>
      <c r="AAI46" s="791"/>
      <c r="AAJ46" s="791"/>
      <c r="AAK46" s="791"/>
      <c r="AAL46" s="1491">
        <f>AAL45-AAL38</f>
        <v>0</v>
      </c>
      <c r="AAM46" s="1491">
        <f>AAM45-AAM38</f>
        <v>0</v>
      </c>
      <c r="AAN46" s="1087"/>
      <c r="AAO46" s="1087"/>
      <c r="AAP46" s="791"/>
      <c r="AAQ46" s="791"/>
      <c r="AAR46" s="791"/>
      <c r="AAS46" s="791"/>
      <c r="AAT46" s="791"/>
      <c r="AAU46" s="791"/>
    </row>
    <row r="47" spans="1:723" ht="16.5" x14ac:dyDescent="0.25">
      <c r="A47" s="1293"/>
      <c r="B47" s="1452"/>
      <c r="C47" s="791"/>
      <c r="D47" s="1086"/>
      <c r="E47" s="1085"/>
      <c r="F47" s="1085"/>
      <c r="G47" s="1085"/>
      <c r="H47" s="1085"/>
      <c r="I47" s="1293"/>
      <c r="J47" s="1293"/>
      <c r="K47" s="1293"/>
      <c r="L47" s="1293"/>
      <c r="M47" s="1293"/>
      <c r="N47" s="1293"/>
      <c r="O47" s="1293"/>
      <c r="P47" s="1293"/>
      <c r="Q47" s="791"/>
      <c r="R47" s="791"/>
      <c r="S47" s="791"/>
      <c r="T47" s="791"/>
      <c r="U47" s="791"/>
      <c r="V47" s="1099"/>
      <c r="W47" s="1099"/>
      <c r="X47" s="1099"/>
      <c r="Y47" s="1099"/>
      <c r="Z47" s="791"/>
      <c r="AA47" s="791"/>
      <c r="AB47" s="791"/>
      <c r="AC47" s="791"/>
      <c r="AD47" s="1099"/>
      <c r="AE47" s="1099"/>
      <c r="AF47" s="1099"/>
      <c r="AG47" s="791"/>
      <c r="AH47" s="1099"/>
      <c r="AI47" s="1099"/>
      <c r="AJ47" s="1099"/>
      <c r="AK47" s="1099"/>
      <c r="AL47" s="1099"/>
      <c r="AM47" s="1099"/>
      <c r="AN47" s="1086"/>
      <c r="AO47" s="1107"/>
      <c r="AP47" s="1107"/>
      <c r="AQ47" s="1100"/>
      <c r="AR47" s="1100"/>
      <c r="AS47" s="1107"/>
      <c r="AT47" s="1459">
        <f>AT45-AT37</f>
        <v>0</v>
      </c>
      <c r="AU47" s="1459">
        <f>AU45-AU38</f>
        <v>0</v>
      </c>
      <c r="AV47" s="1107"/>
      <c r="AW47" s="1087"/>
      <c r="AX47" s="1107"/>
      <c r="AY47" s="1087"/>
      <c r="AZ47" s="1100"/>
      <c r="BA47" s="1100"/>
      <c r="BB47" s="1100"/>
      <c r="BC47" s="1459">
        <f>BC45-BC38</f>
        <v>0</v>
      </c>
      <c r="BD47" s="1100"/>
      <c r="BE47" s="1100"/>
      <c r="BF47" s="1100"/>
      <c r="BG47" s="1100"/>
      <c r="BH47" s="1101"/>
      <c r="BI47" s="1101"/>
      <c r="BJ47" s="1101"/>
      <c r="BK47" s="1101"/>
      <c r="BL47" s="1085"/>
      <c r="BM47" s="1085"/>
      <c r="BN47" s="1293"/>
      <c r="BO47" s="1293"/>
      <c r="BP47" s="1293"/>
      <c r="BQ47" s="1293"/>
      <c r="BR47" s="1293"/>
      <c r="BS47" s="1293"/>
      <c r="BT47" s="791"/>
      <c r="BU47" s="791"/>
      <c r="BV47" s="791"/>
      <c r="BW47" s="1459"/>
      <c r="BX47" s="1459">
        <f t="shared" ref="BX47:BY47" si="586">BX45-BX37</f>
        <v>0</v>
      </c>
      <c r="BY47" s="1459">
        <f t="shared" si="586"/>
        <v>0</v>
      </c>
      <c r="BZ47" s="1293"/>
      <c r="CA47" s="1459">
        <f>CA45-CA38</f>
        <v>0</v>
      </c>
      <c r="CB47" s="1293"/>
      <c r="CC47" s="1293"/>
      <c r="CD47" s="1293"/>
      <c r="CE47" s="1293"/>
      <c r="CF47" s="1293"/>
      <c r="CG47" s="1293"/>
      <c r="CH47" s="1100"/>
      <c r="CI47" s="1100"/>
      <c r="CJ47" s="1100"/>
      <c r="CK47" s="1100"/>
      <c r="CL47" s="1459">
        <f>CL45-CL37</f>
        <v>0</v>
      </c>
      <c r="CM47" s="1459">
        <f>CM45-CM37</f>
        <v>0</v>
      </c>
      <c r="CN47" s="1100"/>
      <c r="CO47" s="1100"/>
      <c r="CP47" s="1100"/>
      <c r="CQ47" s="1100"/>
      <c r="CR47" s="1100"/>
      <c r="CS47" s="1100"/>
      <c r="CT47" s="1100"/>
      <c r="CU47" s="1100"/>
      <c r="CV47" s="1459">
        <f>CV45-CV37</f>
        <v>0</v>
      </c>
      <c r="CW47" s="1459">
        <f>CW45-CW37</f>
        <v>0</v>
      </c>
      <c r="CX47" s="1459">
        <f>CX45-CX38</f>
        <v>0</v>
      </c>
      <c r="CY47" s="1459">
        <f>CY45-CY38</f>
        <v>0</v>
      </c>
      <c r="CZ47" s="1459">
        <f>CZ45-CZ37</f>
        <v>0</v>
      </c>
      <c r="DA47" s="1459">
        <f>DA45-DA37</f>
        <v>0</v>
      </c>
      <c r="DB47" s="1459"/>
      <c r="DC47" s="1459"/>
      <c r="DD47" s="1459"/>
      <c r="DE47" s="1459"/>
      <c r="DF47" s="1459"/>
      <c r="DG47" s="1459"/>
      <c r="DH47" s="1459"/>
      <c r="DI47" s="1459"/>
      <c r="DJ47" s="1459"/>
      <c r="DK47" s="1459"/>
      <c r="DL47" s="1459"/>
      <c r="DM47" s="1459"/>
      <c r="DN47" s="1459"/>
      <c r="DO47" s="1459"/>
      <c r="DP47" s="1459"/>
      <c r="DQ47" s="1459">
        <f>DQ45-DQ37</f>
        <v>0</v>
      </c>
      <c r="DR47" s="1459">
        <f>DR45-DR37</f>
        <v>0</v>
      </c>
      <c r="DS47" s="1459">
        <f>DS45-DS37</f>
        <v>0</v>
      </c>
      <c r="DT47" s="1100"/>
      <c r="DU47" s="1100"/>
      <c r="DV47" s="1100"/>
      <c r="DW47" s="1100"/>
      <c r="DX47" s="1459">
        <f>DX45-DX37</f>
        <v>2.6193447411060333E-10</v>
      </c>
      <c r="DY47" s="1459">
        <f>DY45-DY37</f>
        <v>0</v>
      </c>
      <c r="DZ47" s="1100"/>
      <c r="EA47" s="1100"/>
      <c r="EB47" s="1100"/>
      <c r="EC47" s="1100"/>
      <c r="ED47" s="1100"/>
      <c r="EE47" s="1100"/>
      <c r="EF47" s="1459"/>
      <c r="EG47" s="1459"/>
      <c r="EH47" s="1459"/>
      <c r="EI47" s="1459"/>
      <c r="EJ47" s="1459"/>
      <c r="EK47" s="1459">
        <f>EK45-EK37</f>
        <v>0</v>
      </c>
      <c r="EL47" s="1459">
        <f>EL45-EL37</f>
        <v>0</v>
      </c>
      <c r="EM47" s="1459">
        <f>EM45-EM37</f>
        <v>0</v>
      </c>
      <c r="EN47" s="1459"/>
      <c r="EO47" s="1459"/>
      <c r="EP47" s="1459"/>
      <c r="EQ47" s="1459"/>
      <c r="ER47" s="1459">
        <f>ER45-ER37</f>
        <v>0</v>
      </c>
      <c r="ES47" s="1459">
        <f>ES45-ES37</f>
        <v>0</v>
      </c>
      <c r="ET47" s="1459"/>
      <c r="EU47" s="1459"/>
      <c r="EV47" s="1459"/>
      <c r="EW47" s="1459"/>
      <c r="EX47" s="1459">
        <f>EX45-EX38</f>
        <v>0</v>
      </c>
      <c r="EY47" s="1459">
        <f>EY45-EY38</f>
        <v>0</v>
      </c>
      <c r="EZ47" s="1459"/>
      <c r="FA47" s="1459"/>
      <c r="FB47" s="1459"/>
      <c r="FC47" s="1459"/>
      <c r="FD47" s="1459"/>
      <c r="FE47" s="1459"/>
      <c r="FF47" s="1459"/>
      <c r="FG47" s="1459"/>
      <c r="FH47" s="1459"/>
      <c r="FI47" s="1459"/>
      <c r="FJ47" s="1459"/>
      <c r="FK47" s="1459"/>
      <c r="FL47" s="1459"/>
      <c r="FM47" s="1459"/>
      <c r="FN47" s="1459"/>
      <c r="FO47" s="1459"/>
      <c r="FP47" s="1459"/>
      <c r="FQ47" s="1459"/>
      <c r="FR47" s="1459"/>
      <c r="FS47" s="1459"/>
      <c r="FT47" s="1459"/>
      <c r="FU47" s="1459"/>
      <c r="FV47" s="1459">
        <f>FV45-FV37</f>
        <v>0</v>
      </c>
      <c r="FW47" s="1459">
        <f>FW45-FW37</f>
        <v>0</v>
      </c>
      <c r="FX47" s="1459"/>
      <c r="FY47" s="1459"/>
      <c r="FZ47" s="1459"/>
      <c r="GA47" s="1459"/>
      <c r="GB47" s="1459">
        <f>GB45-GB38</f>
        <v>0</v>
      </c>
      <c r="GC47" s="1459">
        <f>GC45-GC38</f>
        <v>0</v>
      </c>
      <c r="GD47" s="1459"/>
      <c r="GE47" s="1459"/>
      <c r="GF47" s="1459"/>
      <c r="GG47" s="1459"/>
      <c r="GH47" s="1459"/>
      <c r="GI47" s="1459"/>
      <c r="GJ47" s="1459"/>
      <c r="GK47" s="1459"/>
      <c r="GL47" s="1459"/>
      <c r="GM47" s="1459"/>
      <c r="GN47" s="1459"/>
      <c r="GO47" s="1459"/>
      <c r="GP47" s="1459"/>
      <c r="GQ47" s="1100"/>
      <c r="GR47" s="1459"/>
      <c r="GS47" s="1459">
        <f>GS45-GS37</f>
        <v>0</v>
      </c>
      <c r="GT47" s="1459">
        <f>GT45-GT37</f>
        <v>0</v>
      </c>
      <c r="GU47" s="1459">
        <f>GU45-GU38</f>
        <v>0</v>
      </c>
      <c r="GV47" s="1459"/>
      <c r="GW47" s="1100"/>
      <c r="GX47" s="1459"/>
      <c r="GY47" s="1100"/>
      <c r="GZ47" s="1459"/>
      <c r="HA47" s="1459"/>
      <c r="HB47" s="1459"/>
      <c r="HC47" s="1459"/>
      <c r="HD47" s="1459"/>
      <c r="HE47" s="1459"/>
      <c r="HF47" s="1459"/>
      <c r="HG47" s="1459"/>
      <c r="HH47" s="1459">
        <f>HH45-HH37</f>
        <v>0</v>
      </c>
      <c r="HI47" s="1459">
        <f>HI45-HI37</f>
        <v>0</v>
      </c>
      <c r="HJ47" s="1459"/>
      <c r="HK47" s="1459"/>
      <c r="HL47" s="1459"/>
      <c r="HM47" s="1459"/>
      <c r="HN47" s="1459">
        <f>HN45-HN38</f>
        <v>3.7252902984619141E-9</v>
      </c>
      <c r="HO47" s="1459">
        <f>HO45-HO38</f>
        <v>0</v>
      </c>
      <c r="HP47" s="1459"/>
      <c r="HQ47" s="1459"/>
      <c r="HR47" s="1459"/>
      <c r="HS47" s="1459"/>
      <c r="HT47" s="1459"/>
      <c r="HU47" s="1459"/>
      <c r="HV47" s="1459"/>
      <c r="HW47" s="1459"/>
      <c r="HX47" s="1459"/>
      <c r="HY47" s="1459"/>
      <c r="HZ47" s="1459"/>
      <c r="IA47" s="1459"/>
      <c r="IB47" s="1459"/>
      <c r="IC47" s="1459"/>
      <c r="ID47" s="1459"/>
      <c r="IE47" s="1459"/>
      <c r="IF47" s="1459"/>
      <c r="IG47" s="1459"/>
      <c r="IH47" s="1459"/>
      <c r="II47" s="1459"/>
      <c r="IJ47" s="1459"/>
      <c r="IK47" s="1459"/>
      <c r="IL47" s="1459">
        <f>IL45-IL38</f>
        <v>0</v>
      </c>
      <c r="IM47" s="1459">
        <f>IM45-IM38</f>
        <v>0</v>
      </c>
      <c r="IN47" s="1459"/>
      <c r="IO47" s="1459"/>
      <c r="IP47" s="1459"/>
      <c r="IQ47" s="1459"/>
      <c r="IR47" s="1459"/>
      <c r="IS47" s="1459"/>
      <c r="IT47" s="1459"/>
      <c r="IU47" s="1459"/>
      <c r="IV47" s="1459"/>
      <c r="IW47" s="1459"/>
      <c r="IX47" s="1459"/>
      <c r="IY47" s="1459"/>
      <c r="IZ47" s="1459"/>
      <c r="JA47" s="1459"/>
      <c r="JB47" s="1459">
        <f>JB45-JB37</f>
        <v>-1.3969838619232178E-9</v>
      </c>
      <c r="JC47" s="1459">
        <f>JC45-JC37</f>
        <v>0</v>
      </c>
      <c r="JD47" s="1459"/>
      <c r="JE47" s="1459"/>
      <c r="JF47" s="1459"/>
      <c r="JG47" s="1459"/>
      <c r="JH47" s="1459">
        <f>JH45-JH37</f>
        <v>0</v>
      </c>
      <c r="JI47" s="1459">
        <f>JI45-JI37</f>
        <v>0</v>
      </c>
      <c r="JJ47" s="1085"/>
      <c r="JK47" s="1085"/>
      <c r="JL47" s="1085"/>
      <c r="JM47" s="1085"/>
      <c r="JN47" s="1459">
        <f>JN45-JN38</f>
        <v>0</v>
      </c>
      <c r="JO47" s="1459">
        <f>JO45-JO38</f>
        <v>0</v>
      </c>
      <c r="JP47" s="1085"/>
      <c r="JQ47" s="1085"/>
      <c r="JR47" s="1085"/>
      <c r="JS47" s="1085"/>
      <c r="JT47" s="1085"/>
      <c r="JU47" s="1085"/>
      <c r="JV47" s="1085"/>
      <c r="JW47" s="1085"/>
      <c r="JX47" s="1085"/>
      <c r="JY47" s="1085"/>
      <c r="JZ47" s="1085"/>
      <c r="KA47" s="1085"/>
      <c r="KB47" s="1085"/>
      <c r="KC47" s="1085"/>
      <c r="KD47" s="1085"/>
      <c r="KE47" s="1085"/>
      <c r="KF47" s="1085"/>
      <c r="KG47" s="1085"/>
      <c r="KH47" s="1085"/>
      <c r="KI47" s="1085"/>
      <c r="KJ47" s="1085"/>
      <c r="KK47" s="1085"/>
      <c r="KL47" s="1085"/>
      <c r="KM47" s="1085"/>
      <c r="KN47" s="1459">
        <f>KN45-KN37</f>
        <v>0</v>
      </c>
      <c r="KO47" s="1459">
        <f>KO45-KO37</f>
        <v>0</v>
      </c>
      <c r="KP47" s="1459">
        <f>KP45-KP37</f>
        <v>0</v>
      </c>
      <c r="KQ47" s="1459">
        <f>KQ45-KQ37</f>
        <v>0</v>
      </c>
      <c r="KR47" s="1085"/>
      <c r="KS47" s="1085"/>
      <c r="KT47" s="1085"/>
      <c r="KU47" s="1085"/>
      <c r="KV47" s="1085"/>
      <c r="KW47" s="1085"/>
      <c r="KX47" s="1085"/>
      <c r="KY47" s="1085"/>
      <c r="KZ47" s="1085"/>
      <c r="LA47" s="1085"/>
      <c r="LB47" s="1085"/>
      <c r="LC47" s="1085"/>
      <c r="LD47" s="1085"/>
      <c r="LE47" s="1085"/>
      <c r="LF47" s="1085"/>
      <c r="LG47" s="1085"/>
      <c r="LH47" s="1085"/>
      <c r="LI47" s="1085"/>
      <c r="LJ47" s="1085"/>
      <c r="LK47" s="1085"/>
      <c r="LL47" s="1085"/>
      <c r="LM47" s="1085"/>
      <c r="LN47" s="1085"/>
      <c r="LO47" s="1085"/>
      <c r="LP47" s="1085"/>
      <c r="LQ47" s="1085"/>
      <c r="LR47" s="1085"/>
      <c r="LS47" s="1459">
        <f>LS45-LS37</f>
        <v>0</v>
      </c>
      <c r="LT47" s="1459">
        <f>LT45-LT38</f>
        <v>0</v>
      </c>
      <c r="LU47" s="1459">
        <f>LU45-LU38</f>
        <v>0</v>
      </c>
      <c r="LV47" s="1085"/>
      <c r="LW47" s="1085"/>
      <c r="LX47" s="1085"/>
      <c r="LY47" s="1085"/>
      <c r="LZ47" s="1085"/>
      <c r="MA47" s="1085"/>
      <c r="MB47" s="1085"/>
      <c r="MC47" s="1085"/>
      <c r="MD47" s="1085"/>
      <c r="ME47" s="1085"/>
      <c r="MF47" s="1085"/>
      <c r="MG47" s="1085"/>
      <c r="MH47" s="1085"/>
      <c r="MI47" s="1085"/>
      <c r="MJ47" s="1085"/>
      <c r="MK47" s="1085"/>
      <c r="ML47" s="1085"/>
      <c r="MM47" s="1085"/>
      <c r="MN47" s="1085"/>
      <c r="MO47" s="1085"/>
      <c r="MP47" s="1085"/>
      <c r="MQ47" s="1085"/>
      <c r="MR47" s="1085"/>
      <c r="MS47" s="1085"/>
      <c r="MT47" s="1089"/>
      <c r="MU47" s="1089"/>
      <c r="MV47" s="1089"/>
      <c r="MW47" s="1089"/>
      <c r="MX47" s="1089"/>
      <c r="MY47" s="1089"/>
      <c r="MZ47" s="1089"/>
      <c r="NA47" s="1089"/>
      <c r="NB47" s="1089"/>
      <c r="NC47" s="1459">
        <f>NC45-NC37</f>
        <v>0</v>
      </c>
      <c r="ND47" s="1459">
        <f>ND45-ND37</f>
        <v>0</v>
      </c>
      <c r="NE47" s="1459">
        <f>NE45-NE37</f>
        <v>0</v>
      </c>
      <c r="NF47" s="1459">
        <f>NF45-NF37</f>
        <v>0</v>
      </c>
      <c r="NG47" s="1089"/>
      <c r="NH47" s="1459">
        <f>NH45-NH38</f>
        <v>0</v>
      </c>
      <c r="NI47" s="1459">
        <f>NI45-NI38</f>
        <v>0</v>
      </c>
      <c r="NJ47" s="1089"/>
      <c r="NK47" s="1089"/>
      <c r="NL47" s="1089"/>
      <c r="NM47" s="1089"/>
      <c r="NN47" s="1089"/>
      <c r="NO47" s="1089"/>
      <c r="NP47" s="1296"/>
      <c r="NQ47" s="1296"/>
      <c r="NR47" s="1296"/>
      <c r="NS47" s="1296"/>
      <c r="NT47" s="1296"/>
      <c r="NU47" s="1296"/>
      <c r="NV47" s="1296"/>
      <c r="NW47" s="1296"/>
      <c r="NX47" s="1296"/>
      <c r="NY47" s="1296"/>
      <c r="NZ47" s="1296"/>
      <c r="OA47" s="1296"/>
      <c r="OB47" s="1296"/>
      <c r="OC47" s="1296"/>
      <c r="OD47" s="1296"/>
      <c r="OE47" s="1296"/>
      <c r="OF47" s="1296"/>
      <c r="OG47" s="1459">
        <f>OG45-OG37</f>
        <v>0</v>
      </c>
      <c r="OH47" s="1459">
        <f>OH45-OH37</f>
        <v>0</v>
      </c>
      <c r="OI47" s="1459">
        <f>OI45-OI37</f>
        <v>0</v>
      </c>
      <c r="OJ47" s="1085"/>
      <c r="OK47" s="1085"/>
      <c r="OL47" s="1085"/>
      <c r="OM47" s="1085"/>
      <c r="ON47" s="1085"/>
      <c r="OO47" s="1459">
        <f>OO45-OO38</f>
        <v>0</v>
      </c>
      <c r="OP47" s="1459">
        <f>OP45-OP38</f>
        <v>0</v>
      </c>
      <c r="OQ47" s="1459">
        <f>OQ45-OQ38</f>
        <v>0</v>
      </c>
      <c r="OR47" s="1085"/>
      <c r="OS47" s="1085"/>
      <c r="OT47" s="1085"/>
      <c r="OU47" s="1085"/>
      <c r="OV47" s="1085"/>
      <c r="OW47" s="1085"/>
      <c r="OX47" s="1085"/>
      <c r="OY47" s="1085"/>
      <c r="OZ47" s="1085"/>
      <c r="PA47" s="1085"/>
      <c r="PB47" s="1085"/>
      <c r="PC47" s="1085"/>
      <c r="PD47" s="1085"/>
      <c r="PE47" s="1085"/>
      <c r="PF47" s="1085"/>
      <c r="PG47" s="1085"/>
      <c r="PH47" s="1085"/>
      <c r="PI47" s="1085"/>
      <c r="PJ47" s="1085"/>
      <c r="PK47" s="1085"/>
      <c r="PL47" s="1085"/>
      <c r="PM47" s="1085"/>
      <c r="PN47" s="1085"/>
      <c r="PO47" s="1085"/>
      <c r="PP47" s="1085"/>
      <c r="PQ47" s="1085"/>
      <c r="PR47" s="1085"/>
      <c r="PS47" s="1085"/>
      <c r="PT47" s="1085"/>
      <c r="PU47" s="1085"/>
      <c r="PV47" s="1459">
        <f>PV45-PV38</f>
        <v>0</v>
      </c>
      <c r="PW47" s="1459">
        <f>PW45-PW38</f>
        <v>0</v>
      </c>
      <c r="PX47" s="1459"/>
      <c r="PY47" s="1459"/>
      <c r="PZ47" s="1100"/>
      <c r="QA47" s="1100"/>
      <c r="QB47" s="1100"/>
      <c r="QC47" s="1100"/>
      <c r="QD47" s="1100"/>
      <c r="QE47" s="1100"/>
      <c r="QF47" s="1100"/>
      <c r="QG47" s="1100"/>
      <c r="QH47" s="1100"/>
      <c r="QI47" s="1100"/>
      <c r="QJ47" s="1100"/>
      <c r="QK47" s="1100"/>
      <c r="QL47" s="1100"/>
      <c r="QM47" s="1100"/>
      <c r="QN47" s="1100"/>
      <c r="QO47" s="1100"/>
      <c r="QP47" s="1100"/>
      <c r="QQ47" s="1100"/>
      <c r="QR47" s="1459"/>
      <c r="QS47" s="1459"/>
      <c r="QT47" s="1459"/>
      <c r="QU47" s="1459"/>
      <c r="QV47" s="1459">
        <f>QV45-QV37</f>
        <v>0</v>
      </c>
      <c r="QW47" s="1459">
        <f>QW45-QW37</f>
        <v>0</v>
      </c>
      <c r="QX47" s="1459"/>
      <c r="QY47" s="1459"/>
      <c r="QZ47" s="1459"/>
      <c r="RA47" s="1459"/>
      <c r="RB47" s="1459">
        <f>RB45-RB37</f>
        <v>0</v>
      </c>
      <c r="RC47" s="1459">
        <f>RC45-RC37</f>
        <v>0</v>
      </c>
      <c r="RD47" s="1459"/>
      <c r="RE47" s="1459"/>
      <c r="RF47" s="1459"/>
      <c r="RG47" s="1459"/>
      <c r="RH47" s="1459"/>
      <c r="RI47" s="1459"/>
      <c r="RJ47" s="1459"/>
      <c r="RK47" s="1459"/>
      <c r="RL47" s="1459"/>
      <c r="RM47" s="1459"/>
      <c r="RN47" s="1459"/>
      <c r="RO47" s="1459"/>
      <c r="RP47" s="1459"/>
      <c r="RQ47" s="1459"/>
      <c r="RR47" s="1459"/>
      <c r="RS47" s="1459"/>
      <c r="RT47" s="1459"/>
      <c r="RU47" s="1459"/>
      <c r="RV47" s="1100"/>
      <c r="RW47" s="1100"/>
      <c r="RX47" s="1100"/>
      <c r="RY47" s="1100"/>
      <c r="RZ47" s="1100"/>
      <c r="SA47" s="1100"/>
      <c r="SB47" s="1100"/>
      <c r="SC47" s="1100"/>
      <c r="SD47" s="1100"/>
      <c r="SE47" s="1100"/>
      <c r="SF47" s="1100"/>
      <c r="SG47" s="1459">
        <f>SG45-SG37</f>
        <v>0</v>
      </c>
      <c r="SH47" s="1459">
        <f>SH45-SH37</f>
        <v>0</v>
      </c>
      <c r="SI47" s="1459">
        <f>SI45-SI37</f>
        <v>0</v>
      </c>
      <c r="SJ47" s="1100"/>
      <c r="SK47" s="1100"/>
      <c r="SL47" s="1100"/>
      <c r="SM47" s="1100"/>
      <c r="SN47" s="1100"/>
      <c r="SO47" s="1100"/>
      <c r="SP47" s="1100"/>
      <c r="SQ47" s="1100"/>
      <c r="SR47" s="1100"/>
      <c r="SS47" s="1100"/>
      <c r="ST47" s="1100"/>
      <c r="SU47" s="1100"/>
      <c r="SV47" s="1100"/>
      <c r="SW47" s="1100"/>
      <c r="SX47" s="1459">
        <f>SX45-SX38</f>
        <v>0</v>
      </c>
      <c r="SY47" s="1459">
        <f>SY45-SY38</f>
        <v>0</v>
      </c>
      <c r="SZ47" s="1459">
        <f t="shared" ref="SZ47:TA47" si="587">SZ45-SZ37</f>
        <v>0</v>
      </c>
      <c r="TA47" s="1459">
        <f t="shared" si="587"/>
        <v>0</v>
      </c>
      <c r="TB47" s="1459">
        <f>TB45-TB38</f>
        <v>0</v>
      </c>
      <c r="TC47" s="1459">
        <f>TC45-TC38</f>
        <v>0</v>
      </c>
      <c r="TD47" s="1100"/>
      <c r="TE47" s="1100"/>
      <c r="TF47" s="1100"/>
      <c r="TG47" s="1100"/>
      <c r="TH47" s="1100"/>
      <c r="TI47" s="1100"/>
      <c r="TJ47" s="1100"/>
      <c r="TK47" s="1100"/>
      <c r="TL47" s="1100"/>
      <c r="TM47" s="1100"/>
      <c r="TN47" s="1100"/>
      <c r="TO47" s="1100"/>
      <c r="TP47" s="1100"/>
      <c r="TQ47" s="1100"/>
      <c r="TR47" s="1100"/>
      <c r="TS47" s="1100"/>
      <c r="TT47" s="1100"/>
      <c r="TU47" s="1100"/>
      <c r="TV47" s="1100"/>
      <c r="TW47" s="1100"/>
      <c r="TX47" s="1100"/>
      <c r="TY47" s="1100"/>
      <c r="TZ47" s="1100"/>
      <c r="UA47" s="1100"/>
      <c r="UB47" s="1100"/>
      <c r="UC47" s="1100"/>
      <c r="UD47" s="1100"/>
      <c r="UE47" s="1100"/>
      <c r="UF47" s="1100"/>
      <c r="UG47" s="1100"/>
      <c r="UH47" s="1100"/>
      <c r="UI47" s="1100"/>
      <c r="UJ47" s="1100"/>
      <c r="UK47" s="1100"/>
      <c r="UL47" s="1100"/>
      <c r="UM47" s="1100"/>
      <c r="UN47" s="1100"/>
      <c r="UO47" s="1100"/>
      <c r="UP47" s="1100"/>
      <c r="UQ47" s="1100"/>
      <c r="UR47" s="1100"/>
      <c r="US47" s="1100"/>
      <c r="UT47" s="1293"/>
      <c r="UU47" s="1293"/>
      <c r="UV47" s="1293"/>
      <c r="UW47" s="1293"/>
      <c r="UX47" s="1293"/>
      <c r="UY47" s="1293"/>
      <c r="UZ47" s="1293"/>
      <c r="VA47" s="1293"/>
      <c r="VB47" s="1086"/>
      <c r="VC47" s="791"/>
      <c r="VD47" s="791"/>
      <c r="VE47" s="1086"/>
      <c r="VF47" s="791"/>
      <c r="VG47" s="1086"/>
      <c r="VH47" s="1296"/>
      <c r="VI47" s="1296"/>
      <c r="VJ47" s="1296"/>
      <c r="VK47" s="1296"/>
      <c r="VL47" s="1296"/>
      <c r="VM47" s="1296"/>
      <c r="VN47" s="1293"/>
      <c r="VO47" s="1293"/>
      <c r="VP47" s="1293"/>
      <c r="VQ47" s="1293"/>
      <c r="VR47" s="1293"/>
      <c r="VS47" s="1293"/>
      <c r="VT47" s="1293"/>
      <c r="VU47" s="1293"/>
      <c r="VV47" s="1293"/>
      <c r="VW47" s="1293"/>
      <c r="VX47" s="1293"/>
      <c r="VY47" s="1293"/>
      <c r="VZ47" s="1293"/>
      <c r="WA47" s="1293"/>
      <c r="WB47" s="1459">
        <f>WB45-WB37</f>
        <v>0</v>
      </c>
      <c r="WC47" s="1459">
        <f>WC45-WC37</f>
        <v>0</v>
      </c>
      <c r="WD47" s="1293"/>
      <c r="WE47" s="1293"/>
      <c r="WF47" s="1293"/>
      <c r="WG47" s="1293"/>
      <c r="WH47" s="1293"/>
      <c r="WI47" s="1293"/>
      <c r="WJ47" s="1293"/>
      <c r="WK47" s="1293"/>
      <c r="WL47" s="1459"/>
      <c r="WM47" s="1459"/>
      <c r="WN47" s="1459"/>
      <c r="WO47" s="1459"/>
      <c r="WP47" s="1459">
        <f>WP45-WP37</f>
        <v>0</v>
      </c>
      <c r="WQ47" s="1459">
        <f>WQ45-WQ37</f>
        <v>0</v>
      </c>
      <c r="WR47" s="1459"/>
      <c r="WS47" s="1459"/>
      <c r="WT47" s="1459"/>
      <c r="WU47" s="1459"/>
      <c r="WV47" s="1459">
        <f>WV45-WV37</f>
        <v>0</v>
      </c>
      <c r="WW47" s="1459">
        <f>WW45-WW37</f>
        <v>0</v>
      </c>
      <c r="WX47" s="1293"/>
      <c r="WY47" s="1293"/>
      <c r="WZ47" s="1293"/>
      <c r="XA47" s="1293"/>
      <c r="XB47" s="1459">
        <f>XB45-XB37</f>
        <v>5.5879354476928711E-9</v>
      </c>
      <c r="XC47" s="1459">
        <f>XC45-XC37</f>
        <v>0</v>
      </c>
      <c r="XD47" s="1293"/>
      <c r="XE47" s="1293"/>
      <c r="XF47" s="1293"/>
      <c r="XG47" s="1293"/>
      <c r="XH47" s="1293"/>
      <c r="XI47" s="1088">
        <f>XI46-XI37</f>
        <v>0</v>
      </c>
      <c r="XJ47" s="1293"/>
      <c r="XK47" s="1293"/>
      <c r="XL47" s="1293"/>
      <c r="XM47" s="1459">
        <f>XM45-XM38</f>
        <v>0</v>
      </c>
      <c r="XN47" s="1293"/>
      <c r="XO47" s="1293"/>
      <c r="XP47" s="1293"/>
      <c r="XQ47" s="1293"/>
      <c r="XR47" s="1293"/>
      <c r="XS47" s="1293"/>
      <c r="XT47" s="1293"/>
      <c r="XU47" s="1293"/>
      <c r="XV47" s="1089"/>
      <c r="XW47" s="1089"/>
      <c r="XX47" s="1089"/>
      <c r="XY47" s="1089"/>
      <c r="XZ47" s="1089"/>
      <c r="YA47" s="1089"/>
      <c r="YB47" s="1089"/>
      <c r="YC47" s="1089"/>
      <c r="YD47" s="1089"/>
      <c r="YE47" s="1089"/>
      <c r="YF47" s="1089"/>
      <c r="YG47" s="1089"/>
      <c r="YH47" s="1089">
        <f>YH45-YH37</f>
        <v>0</v>
      </c>
      <c r="YI47" s="1089">
        <f>YI45-YI37</f>
        <v>0</v>
      </c>
      <c r="YJ47" s="1089">
        <f>YJ45-YJ38</f>
        <v>0</v>
      </c>
      <c r="YK47" s="1089">
        <f>YK45-YK37</f>
        <v>0</v>
      </c>
      <c r="YL47" s="1089">
        <f t="shared" ref="YL47:YM47" si="588">YL45-YL38</f>
        <v>-18919600</v>
      </c>
      <c r="YM47" s="1089">
        <f t="shared" si="588"/>
        <v>0</v>
      </c>
      <c r="YN47" s="1089">
        <f>YN45-YN38</f>
        <v>0</v>
      </c>
      <c r="YO47" s="1089">
        <f>YO45-YO37</f>
        <v>0</v>
      </c>
      <c r="YP47" s="1089">
        <f>YP45-YP37</f>
        <v>0</v>
      </c>
      <c r="YQ47" s="1089">
        <f>YQ45-YQ38</f>
        <v>0</v>
      </c>
      <c r="YR47" s="1085"/>
      <c r="YS47" s="1085"/>
      <c r="YT47" s="1085"/>
      <c r="YU47" s="1085"/>
      <c r="YV47" s="1085"/>
      <c r="YW47" s="1085"/>
      <c r="YX47" s="1085"/>
      <c r="YY47" s="1085"/>
      <c r="YZ47" s="1085"/>
      <c r="ZA47" s="1085"/>
      <c r="ZB47" s="1085"/>
      <c r="ZC47" s="1085"/>
      <c r="ZD47" s="1097"/>
      <c r="ZE47" s="1097"/>
      <c r="ZF47" s="1097"/>
      <c r="ZG47" s="1097"/>
      <c r="ZH47" s="1097"/>
      <c r="ZI47" s="1097"/>
      <c r="ZJ47" s="1097"/>
      <c r="ZK47" s="1097"/>
      <c r="ZL47" s="1097"/>
      <c r="ZM47" s="1097"/>
      <c r="ZN47" s="1097"/>
      <c r="ZO47" s="1097"/>
      <c r="ZP47" s="1097"/>
      <c r="ZQ47" s="1097"/>
      <c r="ZR47" s="1097"/>
      <c r="ZS47" s="1097"/>
      <c r="ZT47" s="1097"/>
      <c r="ZU47" s="1097"/>
      <c r="ZV47" s="1097"/>
      <c r="ZW47" s="1097"/>
      <c r="ZX47" s="1097"/>
      <c r="ZY47" s="1097"/>
      <c r="ZZ47" s="1097"/>
      <c r="AAA47" s="1097"/>
      <c r="AAB47" s="1086"/>
      <c r="AAC47" s="1086"/>
      <c r="AAD47" s="791"/>
      <c r="AAE47" s="791"/>
      <c r="AAF47" s="1087"/>
      <c r="AAG47" s="1087"/>
      <c r="AAH47" s="791"/>
      <c r="AAI47" s="791"/>
      <c r="AAJ47" s="791"/>
      <c r="AAK47" s="791"/>
      <c r="AAL47" s="791"/>
      <c r="AAM47" s="791"/>
      <c r="AAN47" s="1087"/>
      <c r="AAO47" s="1087"/>
      <c r="AAP47" s="791"/>
      <c r="AAQ47" s="791"/>
      <c r="AAR47" s="791"/>
      <c r="AAS47" s="791"/>
      <c r="AAT47" s="791"/>
      <c r="AAU47" s="791"/>
    </row>
    <row r="48" spans="1:723" ht="16.5" x14ac:dyDescent="0.25">
      <c r="A48" s="1293"/>
      <c r="B48" s="1452"/>
      <c r="C48" s="791"/>
      <c r="D48" s="1086"/>
      <c r="E48" s="791"/>
      <c r="F48" s="1293"/>
      <c r="G48" s="1293"/>
      <c r="H48" s="1293"/>
      <c r="I48" s="1293"/>
      <c r="J48" s="1293"/>
      <c r="K48" s="1293"/>
      <c r="L48" s="1293"/>
      <c r="M48" s="1293"/>
      <c r="N48" s="1293"/>
      <c r="O48" s="1293"/>
      <c r="P48" s="1293"/>
      <c r="Q48" s="791"/>
      <c r="R48" s="791"/>
      <c r="S48" s="791"/>
      <c r="T48" s="791"/>
      <c r="U48" s="791"/>
      <c r="V48" s="1099"/>
      <c r="W48" s="1099"/>
      <c r="X48" s="1099"/>
      <c r="Y48" s="1099"/>
      <c r="Z48" s="791"/>
      <c r="AA48" s="791"/>
      <c r="AB48" s="791"/>
      <c r="AC48" s="791"/>
      <c r="AD48" s="1099"/>
      <c r="AE48" s="1099"/>
      <c r="AF48" s="1099"/>
      <c r="AG48" s="791"/>
      <c r="AH48" s="1099"/>
      <c r="AI48" s="1099"/>
      <c r="AJ48" s="1099"/>
      <c r="AK48" s="1099"/>
      <c r="AL48" s="1099"/>
      <c r="AM48" s="1099"/>
      <c r="AN48" s="1086"/>
      <c r="AO48" s="1107"/>
      <c r="AP48" s="1107"/>
      <c r="AQ48" s="1100"/>
      <c r="AR48" s="1100"/>
      <c r="AS48" s="1107"/>
      <c r="AT48" s="1107"/>
      <c r="AU48" s="1101"/>
      <c r="AV48" s="1107"/>
      <c r="AW48" s="1087"/>
      <c r="AX48" s="1107"/>
      <c r="AY48" s="1108"/>
      <c r="AZ48" s="1100"/>
      <c r="BA48" s="1100"/>
      <c r="BB48" s="1100"/>
      <c r="BC48" s="1100"/>
      <c r="BD48" s="1100"/>
      <c r="BE48" s="1100"/>
      <c r="BF48" s="1100"/>
      <c r="BG48" s="1100"/>
      <c r="BH48" s="1101"/>
      <c r="BI48" s="1101"/>
      <c r="BJ48" s="1101"/>
      <c r="BK48" s="1101"/>
      <c r="BL48" s="1293"/>
      <c r="BM48" s="1107"/>
      <c r="BN48" s="1293"/>
      <c r="BO48" s="1293"/>
      <c r="BP48" s="1293"/>
      <c r="BQ48" s="1293"/>
      <c r="BR48" s="1293"/>
      <c r="BS48" s="1293"/>
      <c r="BT48" s="1293"/>
      <c r="BU48" s="1293"/>
      <c r="BV48" s="1293"/>
      <c r="BW48" s="1293"/>
      <c r="BX48" s="1293"/>
      <c r="BY48" s="1293"/>
      <c r="BZ48" s="1293"/>
      <c r="CA48" s="1108"/>
      <c r="CB48" s="1293"/>
      <c r="CC48" s="1293"/>
      <c r="CD48" s="1293"/>
      <c r="CE48" s="1293"/>
      <c r="CF48" s="1293"/>
      <c r="CG48" s="1293"/>
      <c r="CH48" s="1293"/>
      <c r="CI48" s="1293"/>
      <c r="CJ48" s="1293"/>
      <c r="CK48" s="1293"/>
      <c r="CL48" s="1293"/>
      <c r="CM48" s="1293"/>
      <c r="CN48" s="1293"/>
      <c r="CO48" s="1293"/>
      <c r="CP48" s="1293"/>
      <c r="CQ48" s="1293"/>
      <c r="CR48" s="1293"/>
      <c r="CS48" s="1293"/>
      <c r="CT48" s="1293"/>
      <c r="CU48" s="1293"/>
      <c r="CV48" s="1293"/>
      <c r="CW48" s="1293"/>
      <c r="CX48" s="1293"/>
      <c r="CY48" s="1293"/>
      <c r="CZ48" s="1293"/>
      <c r="DA48" s="1293"/>
      <c r="DB48" s="1293"/>
      <c r="DC48" s="1293"/>
      <c r="DD48" s="1293"/>
      <c r="DE48" s="1293"/>
      <c r="DF48" s="1293"/>
      <c r="DG48" s="1293"/>
      <c r="DH48" s="1293"/>
      <c r="DI48" s="1293"/>
      <c r="DJ48" s="1293"/>
      <c r="DK48" s="1293"/>
      <c r="DL48" s="1101"/>
      <c r="DM48" s="1101"/>
      <c r="DN48" s="1101"/>
      <c r="DO48" s="1101"/>
      <c r="DP48" s="1101"/>
      <c r="DQ48" s="1101"/>
      <c r="DR48" s="1101"/>
      <c r="DS48" s="1101"/>
      <c r="DT48" s="1101"/>
      <c r="DU48" s="1101"/>
      <c r="DV48" s="1101"/>
      <c r="DW48" s="1101"/>
      <c r="DX48" s="1101"/>
      <c r="DY48" s="1101"/>
      <c r="DZ48" s="1100"/>
      <c r="EA48" s="1100"/>
      <c r="EB48" s="1100"/>
      <c r="EC48" s="1100"/>
      <c r="ED48" s="1100"/>
      <c r="EE48" s="1100"/>
      <c r="EF48" s="1101"/>
      <c r="EG48" s="1101"/>
      <c r="EH48" s="1101"/>
      <c r="EI48" s="1101"/>
      <c r="EJ48" s="1101"/>
      <c r="EK48" s="1101"/>
      <c r="EL48" s="1101"/>
      <c r="EM48" s="1101"/>
      <c r="EN48" s="1101"/>
      <c r="EO48" s="1101"/>
      <c r="EP48" s="1101"/>
      <c r="EQ48" s="1101"/>
      <c r="ER48" s="1101"/>
      <c r="ES48" s="1101"/>
      <c r="ET48" s="1101"/>
      <c r="EU48" s="1101"/>
      <c r="EV48" s="1101"/>
      <c r="EW48" s="1101"/>
      <c r="EX48" s="1101"/>
      <c r="EY48" s="1101"/>
      <c r="EZ48" s="1101"/>
      <c r="FA48" s="1101"/>
      <c r="FB48" s="1101"/>
      <c r="FC48" s="1101"/>
      <c r="FD48" s="1101"/>
      <c r="FE48" s="1101"/>
      <c r="FF48" s="1101"/>
      <c r="FG48" s="1101"/>
      <c r="FH48" s="1101"/>
      <c r="FI48" s="1101"/>
      <c r="FJ48" s="1101"/>
      <c r="FK48" s="1101"/>
      <c r="FL48" s="1101"/>
      <c r="FM48" s="1101"/>
      <c r="FN48" s="1101"/>
      <c r="FO48" s="1101"/>
      <c r="FP48" s="1101"/>
      <c r="FQ48" s="1101"/>
      <c r="FR48" s="1101"/>
      <c r="FS48" s="1101"/>
      <c r="FT48" s="1101"/>
      <c r="FU48" s="1101"/>
      <c r="FV48" s="1101"/>
      <c r="FW48" s="1101"/>
      <c r="FX48" s="1101"/>
      <c r="FY48" s="1101"/>
      <c r="FZ48" s="1101"/>
      <c r="GA48" s="1101"/>
      <c r="GB48" s="1101"/>
      <c r="GC48" s="1101"/>
      <c r="GD48" s="1101"/>
      <c r="GE48" s="1101"/>
      <c r="GF48" s="1101"/>
      <c r="GG48" s="1101"/>
      <c r="GH48" s="1101"/>
      <c r="GI48" s="1101"/>
      <c r="GJ48" s="1101"/>
      <c r="GK48" s="1101"/>
      <c r="GL48" s="1101"/>
      <c r="GM48" s="1101"/>
      <c r="GN48" s="1101"/>
      <c r="GO48" s="1101"/>
      <c r="GP48" s="1101"/>
      <c r="GQ48" s="1100"/>
      <c r="GR48" s="1101"/>
      <c r="GS48" s="1101"/>
      <c r="GT48" s="1101"/>
      <c r="GU48" s="1100"/>
      <c r="GV48" s="1100"/>
      <c r="GW48" s="1100"/>
      <c r="GX48" s="1100"/>
      <c r="GY48" s="1100"/>
      <c r="GZ48" s="1100"/>
      <c r="HA48" s="1100"/>
      <c r="HB48" s="1100"/>
      <c r="HC48" s="1100"/>
      <c r="HD48" s="1101"/>
      <c r="HE48" s="1101"/>
      <c r="HF48" s="1101"/>
      <c r="HG48" s="1101"/>
      <c r="HH48" s="1101"/>
      <c r="HI48" s="1101"/>
      <c r="HJ48" s="1101"/>
      <c r="HK48" s="1101"/>
      <c r="HL48" s="1101"/>
      <c r="HM48" s="1101"/>
      <c r="HN48" s="1101"/>
      <c r="HO48" s="1101"/>
      <c r="HP48" s="1101"/>
      <c r="HQ48" s="1101"/>
      <c r="HR48" s="1101"/>
      <c r="HS48" s="1101"/>
      <c r="HT48" s="1101"/>
      <c r="HU48" s="1101"/>
      <c r="HV48" s="1101"/>
      <c r="HW48" s="1101"/>
      <c r="HX48" s="1101"/>
      <c r="HY48" s="1101"/>
      <c r="HZ48" s="1101"/>
      <c r="IA48" s="1101"/>
      <c r="IB48" s="1101"/>
      <c r="IC48" s="1101"/>
      <c r="ID48" s="1101"/>
      <c r="IE48" s="1101"/>
      <c r="IF48" s="1101"/>
      <c r="IG48" s="1101"/>
      <c r="IH48" s="1101"/>
      <c r="II48" s="1101"/>
      <c r="IJ48" s="1101"/>
      <c r="IK48" s="1101"/>
      <c r="IL48" s="1101"/>
      <c r="IM48" s="1101"/>
      <c r="IN48" s="1101"/>
      <c r="IO48" s="1101"/>
      <c r="IP48" s="1101"/>
      <c r="IQ48" s="1101"/>
      <c r="IR48" s="1101"/>
      <c r="IS48" s="1101"/>
      <c r="IT48" s="1101"/>
      <c r="IU48" s="1101"/>
      <c r="IV48" s="1101"/>
      <c r="IW48" s="1101"/>
      <c r="IX48" s="1101"/>
      <c r="IY48" s="1101"/>
      <c r="IZ48" s="1101"/>
      <c r="JA48" s="1101"/>
      <c r="JB48" s="1101"/>
      <c r="JC48" s="1101"/>
      <c r="JD48" s="1101"/>
      <c r="JE48" s="1101"/>
      <c r="JF48" s="1101"/>
      <c r="JG48" s="1101"/>
      <c r="JH48" s="1101"/>
      <c r="JI48" s="1101"/>
      <c r="JJ48" s="1101"/>
      <c r="JK48" s="1101"/>
      <c r="JL48" s="1101"/>
      <c r="JM48" s="1101"/>
      <c r="JN48" s="1101"/>
      <c r="JO48" s="1101"/>
      <c r="JP48" s="1101"/>
      <c r="JQ48" s="1101"/>
      <c r="JR48" s="1101"/>
      <c r="JS48" s="1101"/>
      <c r="JT48" s="1101"/>
      <c r="JU48" s="1101"/>
      <c r="MT48" s="1097"/>
      <c r="MU48" s="1097"/>
      <c r="MV48" s="1097"/>
      <c r="MW48" s="1097"/>
      <c r="MX48" s="1097"/>
      <c r="MY48" s="1097"/>
      <c r="MZ48" s="1097"/>
      <c r="NA48" s="1097"/>
      <c r="NB48" s="1097"/>
      <c r="NC48" s="1097"/>
      <c r="ND48" s="1097"/>
      <c r="NE48" s="1097"/>
      <c r="NF48" s="1097"/>
      <c r="NG48" s="1097"/>
      <c r="NH48" s="1097"/>
      <c r="NI48" s="1097"/>
      <c r="NJ48" s="1097"/>
      <c r="NK48" s="1097"/>
      <c r="NL48" s="1097"/>
      <c r="NM48" s="1097"/>
      <c r="NN48" s="1097"/>
      <c r="NO48" s="1097"/>
      <c r="NP48" s="1296"/>
      <c r="NQ48" s="1296"/>
      <c r="NR48" s="1296"/>
      <c r="NS48" s="1296"/>
      <c r="NT48" s="1296"/>
      <c r="NU48" s="1296"/>
      <c r="NV48" s="1296"/>
      <c r="NW48" s="1296"/>
      <c r="NX48" s="1296"/>
      <c r="NY48" s="1296"/>
      <c r="NZ48" s="1296"/>
      <c r="OA48" s="1296"/>
      <c r="OB48" s="1296"/>
      <c r="OC48" s="1296"/>
      <c r="OD48" s="1296"/>
      <c r="OE48" s="1296"/>
      <c r="OF48" s="1296"/>
      <c r="OG48" s="791"/>
      <c r="PZ48" s="1100"/>
      <c r="QA48" s="1100"/>
      <c r="QB48" s="1100"/>
      <c r="QC48" s="1100"/>
      <c r="QD48" s="1100"/>
      <c r="QE48" s="1100"/>
      <c r="QF48" s="1100"/>
      <c r="QG48" s="1100"/>
      <c r="QH48" s="1100"/>
      <c r="QI48" s="1100"/>
      <c r="QJ48" s="1100"/>
      <c r="QK48" s="1100"/>
      <c r="QL48" s="1100"/>
      <c r="QM48" s="1100"/>
      <c r="QN48" s="1100"/>
      <c r="QO48" s="1100"/>
      <c r="QP48" s="1100"/>
      <c r="QQ48" s="1100"/>
      <c r="QR48" s="1101"/>
      <c r="QS48" s="1101"/>
      <c r="QT48" s="1101"/>
      <c r="QU48" s="1101"/>
      <c r="QV48" s="1101"/>
      <c r="QW48" s="1101"/>
      <c r="QX48" s="1101"/>
      <c r="QY48" s="1101"/>
      <c r="QZ48" s="1101"/>
      <c r="RA48" s="1101"/>
      <c r="RB48" s="1101"/>
      <c r="RC48" s="1101"/>
      <c r="RD48" s="1101"/>
      <c r="RE48" s="1101"/>
      <c r="RF48" s="1101"/>
      <c r="RG48" s="1101"/>
      <c r="RH48" s="1101"/>
      <c r="RI48" s="1101"/>
      <c r="RJ48" s="1101"/>
      <c r="RK48" s="1101"/>
      <c r="RL48" s="1101"/>
      <c r="RM48" s="1101"/>
      <c r="RN48" s="1101"/>
      <c r="RO48" s="1101"/>
      <c r="RP48" s="1101"/>
      <c r="RQ48" s="1101"/>
      <c r="RR48" s="1101"/>
      <c r="RS48" s="1101"/>
      <c r="RT48" s="1101"/>
      <c r="RU48" s="1101"/>
      <c r="RV48" s="1100"/>
      <c r="RW48" s="1100"/>
      <c r="RX48" s="1100"/>
      <c r="RY48" s="1100"/>
      <c r="RZ48" s="1100"/>
      <c r="SA48" s="1100"/>
      <c r="SB48" s="1100"/>
      <c r="SC48" s="1100"/>
      <c r="SD48" s="1100"/>
      <c r="SE48" s="1100"/>
      <c r="SF48" s="1100"/>
      <c r="SG48" s="1100"/>
      <c r="SH48" s="1100"/>
      <c r="SI48" s="1100"/>
      <c r="SJ48" s="1100"/>
      <c r="SK48" s="1100"/>
      <c r="SL48" s="1100"/>
      <c r="SM48" s="1100"/>
      <c r="SN48" s="1100"/>
      <c r="SO48" s="1100"/>
      <c r="SP48" s="1100"/>
      <c r="SQ48" s="1100"/>
      <c r="SR48" s="1100"/>
      <c r="SS48" s="1100"/>
      <c r="ST48" s="1100"/>
      <c r="SU48" s="1100"/>
      <c r="SV48" s="1100"/>
      <c r="SW48" s="1100"/>
      <c r="SX48" s="1100"/>
      <c r="SY48" s="1100"/>
      <c r="SZ48" s="1100"/>
      <c r="TA48" s="1100"/>
      <c r="TB48" s="1100"/>
      <c r="TC48" s="1100"/>
      <c r="TD48" s="1100"/>
      <c r="TE48" s="1100"/>
      <c r="TF48" s="1100"/>
      <c r="TG48" s="1100"/>
      <c r="TH48" s="1100"/>
      <c r="TI48" s="1100"/>
      <c r="TJ48" s="1100"/>
      <c r="TK48" s="1100"/>
      <c r="TL48" s="1100"/>
      <c r="TM48" s="1100"/>
      <c r="TN48" s="1100"/>
      <c r="TO48" s="1100"/>
      <c r="TP48" s="1100"/>
      <c r="TQ48" s="1100"/>
      <c r="TR48" s="1100"/>
      <c r="TS48" s="1100"/>
      <c r="TT48" s="1100"/>
      <c r="TU48" s="1100"/>
      <c r="TV48" s="1100"/>
      <c r="TW48" s="1100"/>
      <c r="TX48" s="1100"/>
      <c r="TY48" s="1100"/>
      <c r="TZ48" s="1100"/>
      <c r="UA48" s="1100"/>
      <c r="UB48" s="1100"/>
      <c r="UC48" s="1100"/>
      <c r="UD48" s="1100"/>
      <c r="UE48" s="1100"/>
      <c r="UF48" s="1100"/>
      <c r="UG48" s="1100"/>
      <c r="UH48" s="1100"/>
      <c r="UI48" s="1100"/>
      <c r="UJ48" s="1100"/>
      <c r="UK48" s="1100"/>
      <c r="UL48" s="1100"/>
      <c r="UM48" s="1100"/>
      <c r="UN48" s="1100"/>
      <c r="UO48" s="1100"/>
      <c r="UP48" s="1100"/>
      <c r="UQ48" s="1100"/>
      <c r="UR48" s="1100"/>
      <c r="US48" s="1100"/>
      <c r="UT48" s="1293"/>
      <c r="UU48" s="1293"/>
      <c r="UV48" s="1293"/>
      <c r="UW48" s="1293"/>
      <c r="UX48" s="1293"/>
      <c r="UY48" s="1293"/>
      <c r="UZ48" s="1293"/>
      <c r="VA48" s="1293"/>
      <c r="VB48" s="1086"/>
      <c r="VC48" s="791"/>
      <c r="VD48" s="791"/>
      <c r="VE48" s="1086"/>
      <c r="VF48" s="791"/>
      <c r="VG48" s="1086"/>
      <c r="VH48" s="1296"/>
      <c r="VI48" s="1296"/>
      <c r="VJ48" s="1296"/>
      <c r="VK48" s="1296"/>
      <c r="VL48" s="1296"/>
      <c r="VM48" s="1296"/>
      <c r="VN48" s="1293"/>
      <c r="VO48" s="1293"/>
      <c r="VP48" s="1293"/>
      <c r="VQ48" s="1293"/>
      <c r="VR48" s="1293"/>
      <c r="VS48" s="1293"/>
      <c r="VT48" s="1293"/>
      <c r="VU48" s="1293"/>
      <c r="VV48" s="1293"/>
      <c r="VW48" s="1293"/>
      <c r="VX48" s="1293"/>
      <c r="VY48" s="1293"/>
      <c r="VZ48" s="1293"/>
      <c r="WA48" s="1293"/>
      <c r="WB48" s="1293"/>
      <c r="WC48" s="1293"/>
      <c r="WD48" s="1293"/>
      <c r="WE48" s="1293"/>
      <c r="WF48" s="1293"/>
      <c r="WG48" s="1293"/>
      <c r="WH48" s="1293"/>
      <c r="WI48" s="1293"/>
      <c r="WJ48" s="1293"/>
      <c r="WK48" s="1293"/>
      <c r="WL48" s="1293"/>
      <c r="WM48" s="1293"/>
      <c r="WN48" s="1293"/>
      <c r="WO48" s="1293"/>
      <c r="WP48" s="1293"/>
      <c r="WQ48" s="1293"/>
      <c r="WR48" s="1293"/>
      <c r="WS48" s="1293"/>
      <c r="WT48" s="1293"/>
      <c r="WU48" s="1293"/>
      <c r="WV48" s="1293"/>
      <c r="WW48" s="1293"/>
      <c r="WX48" s="1293"/>
      <c r="WY48" s="1293"/>
      <c r="WZ48" s="1293"/>
      <c r="XA48" s="1293"/>
      <c r="XB48" s="1293"/>
      <c r="XC48" s="1293"/>
      <c r="XD48" s="1293"/>
      <c r="XE48" s="1293"/>
      <c r="XF48" s="1293"/>
      <c r="XG48" s="1293"/>
      <c r="XH48" s="1293"/>
      <c r="XI48" s="1293"/>
      <c r="XJ48" s="1097"/>
      <c r="XK48" s="1097"/>
      <c r="XL48" s="1097"/>
      <c r="XM48" s="1097"/>
      <c r="XN48" s="1097"/>
      <c r="XO48" s="1097"/>
      <c r="XP48" s="1097"/>
      <c r="XQ48" s="1097"/>
      <c r="XR48" s="1097"/>
      <c r="XS48" s="1097"/>
      <c r="XT48" s="1097"/>
      <c r="XU48" s="1097"/>
      <c r="XV48" s="1097"/>
      <c r="XW48" s="1097"/>
      <c r="XX48" s="1097"/>
      <c r="XY48" s="1097"/>
      <c r="XZ48" s="1097"/>
      <c r="YA48" s="1097"/>
      <c r="YB48" s="1097"/>
      <c r="YC48" s="1097"/>
      <c r="YD48" s="1097"/>
      <c r="YE48" s="1097"/>
      <c r="YF48" s="1097"/>
      <c r="YG48" s="1097"/>
      <c r="YH48" s="1097"/>
      <c r="YI48" s="1097"/>
      <c r="YJ48" s="1097"/>
      <c r="YK48" s="1097"/>
      <c r="YL48" s="1097"/>
      <c r="YM48" s="1097"/>
      <c r="YN48" s="1097"/>
      <c r="YO48" s="1097"/>
      <c r="YP48" s="1097"/>
      <c r="YQ48" s="1097"/>
      <c r="YR48" s="1097"/>
      <c r="YS48" s="1097"/>
      <c r="YT48" s="1097"/>
      <c r="YU48" s="1097"/>
      <c r="YV48" s="1097"/>
      <c r="YW48" s="1097"/>
      <c r="YX48" s="1097"/>
      <c r="YY48" s="1097"/>
      <c r="YZ48" s="1097"/>
      <c r="ZA48" s="1097"/>
      <c r="ZB48" s="1097"/>
      <c r="ZC48" s="1097"/>
      <c r="ZD48" s="1097"/>
      <c r="ZE48" s="1097"/>
      <c r="ZF48" s="1097"/>
      <c r="ZG48" s="1097"/>
      <c r="ZH48" s="1097"/>
      <c r="ZI48" s="1097"/>
      <c r="ZJ48" s="1097"/>
      <c r="ZK48" s="1097"/>
      <c r="ZL48" s="1097"/>
      <c r="ZM48" s="1097"/>
      <c r="ZN48" s="1097"/>
      <c r="ZO48" s="1097"/>
      <c r="ZP48" s="1097"/>
      <c r="ZQ48" s="1097"/>
      <c r="ZR48" s="1097"/>
      <c r="ZS48" s="1097"/>
      <c r="ZT48" s="1097"/>
      <c r="ZU48" s="1097"/>
      <c r="ZV48" s="1097"/>
      <c r="ZW48" s="1097"/>
      <c r="ZX48" s="1097"/>
      <c r="ZY48" s="1097"/>
      <c r="ZZ48" s="1097"/>
      <c r="AAA48" s="1097"/>
      <c r="AAB48" s="1086"/>
      <c r="AAC48" s="1086"/>
      <c r="AAD48" s="1087"/>
      <c r="AAE48" s="1087"/>
      <c r="AAF48" s="791"/>
      <c r="AAG48" s="791"/>
      <c r="AAH48" s="791"/>
      <c r="AAI48" s="791"/>
      <c r="AAJ48" s="791"/>
      <c r="AAK48" s="791"/>
      <c r="AAL48" s="1087"/>
      <c r="AAM48" s="1087"/>
      <c r="AAN48" s="791"/>
      <c r="AAO48" s="791"/>
      <c r="AAP48" s="791"/>
      <c r="AAQ48" s="791"/>
      <c r="AAR48" s="791"/>
      <c r="AAS48" s="791"/>
      <c r="AAT48" s="791"/>
      <c r="AAU48" s="791"/>
    </row>
    <row r="49" spans="1:723" ht="16.5" x14ac:dyDescent="0.25">
      <c r="A49" s="1308" t="s">
        <v>1257</v>
      </c>
      <c r="B49" s="1492">
        <f>D49+AN49+'Проверочная  таблица'!VB49+'Проверочная  таблица'!WJ49</f>
        <v>23688219434.939999</v>
      </c>
      <c r="C49" s="1492">
        <f>E49+'Проверочная  таблица'!VE49+AO49+'Проверочная  таблица'!WK49</f>
        <v>15362136104.34</v>
      </c>
      <c r="D49" s="1493">
        <f>D34</f>
        <v>4763210443.3000002</v>
      </c>
      <c r="E49" s="1493">
        <f>E34</f>
        <v>3063082895.73</v>
      </c>
      <c r="F49" s="1293"/>
      <c r="G49" s="1293"/>
      <c r="H49" s="1109"/>
      <c r="I49" s="1293"/>
      <c r="J49" s="1293"/>
      <c r="K49" s="1293"/>
      <c r="L49" s="1293"/>
      <c r="M49" s="1293"/>
      <c r="N49" s="1293"/>
      <c r="O49" s="1293"/>
      <c r="P49" s="1293"/>
      <c r="Q49" s="1293"/>
      <c r="R49" s="1293"/>
      <c r="S49" s="1293"/>
      <c r="T49" s="1293"/>
      <c r="U49" s="1293"/>
      <c r="V49" s="1293"/>
      <c r="W49" s="1293"/>
      <c r="X49" s="1293"/>
      <c r="Y49" s="1293"/>
      <c r="Z49" s="1293"/>
      <c r="AA49" s="1293"/>
      <c r="AB49" s="1293"/>
      <c r="AC49" s="1293"/>
      <c r="AD49" s="1293"/>
      <c r="AE49" s="1293"/>
      <c r="AF49" s="1293"/>
      <c r="AG49" s="1293"/>
      <c r="AH49" s="1293"/>
      <c r="AI49" s="1293"/>
      <c r="AJ49" s="1293"/>
      <c r="AK49" s="1293"/>
      <c r="AL49" s="1293"/>
      <c r="AM49" s="1308" t="s">
        <v>1257</v>
      </c>
      <c r="AN49" s="1493">
        <f>AN34</f>
        <v>8713453072.8499985</v>
      </c>
      <c r="AO49" s="1493">
        <f>AO34</f>
        <v>5154198535.789999</v>
      </c>
      <c r="AP49" s="1089"/>
      <c r="AQ49" s="1089"/>
      <c r="AR49" s="1089"/>
      <c r="AS49" s="1089"/>
      <c r="AT49" s="1089"/>
      <c r="AU49" s="1089"/>
      <c r="AV49" s="1089"/>
      <c r="AW49" s="1089"/>
      <c r="AX49" s="1089"/>
      <c r="AY49" s="1089"/>
      <c r="AZ49" s="1089"/>
      <c r="BA49" s="1089"/>
      <c r="BB49" s="1089"/>
      <c r="BC49" s="1089"/>
      <c r="BD49" s="1089"/>
      <c r="BE49" s="1089"/>
      <c r="BF49" s="1089"/>
      <c r="BG49" s="1089"/>
      <c r="BH49" s="1089"/>
      <c r="BI49" s="1089"/>
      <c r="BJ49" s="1089"/>
      <c r="BK49" s="1089"/>
      <c r="BL49" s="1293"/>
      <c r="BM49" s="1293"/>
      <c r="BN49" s="1293"/>
      <c r="BO49" s="1293"/>
      <c r="BP49" s="1293"/>
      <c r="BQ49" s="1293"/>
      <c r="BR49" s="1293"/>
      <c r="BS49" s="1293"/>
      <c r="BT49" s="1293"/>
      <c r="BU49" s="1293"/>
      <c r="BV49" s="1293"/>
      <c r="BW49" s="1293"/>
      <c r="BX49" s="1293"/>
      <c r="BY49" s="1293"/>
      <c r="BZ49" s="1293"/>
      <c r="CA49" s="1293"/>
      <c r="CB49" s="1293"/>
      <c r="CC49" s="1293"/>
      <c r="CD49" s="1293"/>
      <c r="CE49" s="1293"/>
      <c r="CF49" s="1293"/>
      <c r="CG49" s="1293"/>
      <c r="CH49" s="1293"/>
      <c r="CI49" s="1293"/>
      <c r="CJ49" s="1293"/>
      <c r="CK49" s="1293"/>
      <c r="CL49" s="1293"/>
      <c r="CM49" s="1293"/>
      <c r="CN49" s="1293"/>
      <c r="CO49" s="1293"/>
      <c r="CP49" s="1293"/>
      <c r="CQ49" s="1293"/>
      <c r="CR49" s="1293"/>
      <c r="CS49" s="1293"/>
      <c r="CT49" s="1293"/>
      <c r="CU49" s="1293"/>
      <c r="CV49" s="1293"/>
      <c r="CW49" s="1293"/>
      <c r="CX49" s="1293"/>
      <c r="CY49" s="1293"/>
      <c r="CZ49" s="1293"/>
      <c r="DA49" s="1293"/>
      <c r="DB49" s="1293"/>
      <c r="DC49" s="1293"/>
      <c r="DD49" s="1293"/>
      <c r="DE49" s="1293"/>
      <c r="DF49" s="1293"/>
      <c r="DG49" s="1293"/>
      <c r="DH49" s="1293"/>
      <c r="DI49" s="1293"/>
      <c r="DJ49" s="1293"/>
      <c r="DK49" s="1293"/>
      <c r="DL49" s="1293"/>
      <c r="DM49" s="1293"/>
      <c r="DN49" s="1293"/>
      <c r="DO49" s="1293"/>
      <c r="DP49" s="1293"/>
      <c r="DQ49" s="1293"/>
      <c r="DR49" s="1293"/>
      <c r="DS49" s="1293"/>
      <c r="DT49" s="1293"/>
      <c r="DU49" s="1293"/>
      <c r="DV49" s="1293"/>
      <c r="DW49" s="1293"/>
      <c r="DX49" s="1293"/>
      <c r="DY49" s="1293"/>
      <c r="DZ49" s="1089"/>
      <c r="EA49" s="1089"/>
      <c r="EB49" s="1089"/>
      <c r="EC49" s="1089"/>
      <c r="ED49" s="1089"/>
      <c r="EE49" s="1089"/>
      <c r="EF49" s="1293"/>
      <c r="EG49" s="1293"/>
      <c r="EH49" s="1293"/>
      <c r="EI49" s="1293"/>
      <c r="EJ49" s="1293"/>
      <c r="EK49" s="1293"/>
      <c r="EL49" s="1293"/>
      <c r="EM49" s="1293"/>
      <c r="EN49" s="1293"/>
      <c r="EO49" s="1293"/>
      <c r="EP49" s="1293"/>
      <c r="EQ49" s="1293"/>
      <c r="ER49" s="1293"/>
      <c r="ES49" s="1293"/>
      <c r="ET49" s="1293"/>
      <c r="EU49" s="1293"/>
      <c r="EV49" s="1293"/>
      <c r="EW49" s="1293"/>
      <c r="EX49" s="1293"/>
      <c r="EY49" s="1293"/>
      <c r="EZ49" s="1293"/>
      <c r="FA49" s="1293"/>
      <c r="FB49" s="1293"/>
      <c r="FC49" s="1293"/>
      <c r="FD49" s="1293"/>
      <c r="FE49" s="1293"/>
      <c r="FF49" s="1293"/>
      <c r="FG49" s="1293"/>
      <c r="FH49" s="1293"/>
      <c r="FI49" s="1293"/>
      <c r="FJ49" s="1293"/>
      <c r="FK49" s="1293"/>
      <c r="FL49" s="1293"/>
      <c r="FM49" s="1293"/>
      <c r="FN49" s="1293"/>
      <c r="FO49" s="1293"/>
      <c r="FP49" s="1293"/>
      <c r="FQ49" s="1293"/>
      <c r="FR49" s="1293"/>
      <c r="FS49" s="1293"/>
      <c r="FT49" s="1293"/>
      <c r="FU49" s="1293"/>
      <c r="FV49" s="1293"/>
      <c r="FW49" s="1293"/>
      <c r="FX49" s="1293"/>
      <c r="FY49" s="1293"/>
      <c r="FZ49" s="1293"/>
      <c r="GA49" s="1293"/>
      <c r="GB49" s="1293"/>
      <c r="GC49" s="1293"/>
      <c r="GD49" s="1293"/>
      <c r="GE49" s="1293"/>
      <c r="GF49" s="1293"/>
      <c r="GG49" s="1293"/>
      <c r="GH49" s="1293"/>
      <c r="GI49" s="1293"/>
      <c r="GJ49" s="1293"/>
      <c r="GK49" s="1293"/>
      <c r="GL49" s="1293"/>
      <c r="GM49" s="1293"/>
      <c r="GN49" s="1293"/>
      <c r="GO49" s="1293"/>
      <c r="GP49" s="1293"/>
      <c r="GQ49" s="1089"/>
      <c r="GR49" s="1293"/>
      <c r="GS49" s="1293"/>
      <c r="GT49" s="1293"/>
      <c r="GU49" s="1089"/>
      <c r="GV49" s="1089"/>
      <c r="GW49" s="1089"/>
      <c r="GX49" s="1089"/>
      <c r="GY49" s="1089"/>
      <c r="GZ49" s="1089"/>
      <c r="HA49" s="1089"/>
      <c r="HB49" s="1089"/>
      <c r="HC49" s="1089"/>
      <c r="HD49" s="1293"/>
      <c r="HE49" s="1293"/>
      <c r="HF49" s="1293"/>
      <c r="HG49" s="1293"/>
      <c r="HH49" s="1293"/>
      <c r="HI49" s="1293"/>
      <c r="HJ49" s="1293"/>
      <c r="HK49" s="1293"/>
      <c r="HL49" s="1293"/>
      <c r="HM49" s="1293"/>
      <c r="HN49" s="1293"/>
      <c r="HO49" s="1293"/>
      <c r="HP49" s="1293"/>
      <c r="HQ49" s="1293"/>
      <c r="HR49" s="1293"/>
      <c r="HS49" s="1293"/>
      <c r="HT49" s="1293"/>
      <c r="HU49" s="1293"/>
      <c r="HV49" s="1293"/>
      <c r="HW49" s="1293"/>
      <c r="HX49" s="1293"/>
      <c r="HY49" s="1293"/>
      <c r="HZ49" s="1293"/>
      <c r="IA49" s="1293"/>
      <c r="IB49" s="1293"/>
      <c r="IC49" s="1293"/>
      <c r="ID49" s="1293"/>
      <c r="IE49" s="1293"/>
      <c r="IF49" s="1293"/>
      <c r="IG49" s="1293"/>
      <c r="IH49" s="1293"/>
      <c r="II49" s="1293"/>
      <c r="IJ49" s="1293"/>
      <c r="IK49" s="1293"/>
      <c r="IL49" s="1293"/>
      <c r="IM49" s="1293"/>
      <c r="IN49" s="1293"/>
      <c r="IO49" s="1293"/>
      <c r="IP49" s="1293"/>
      <c r="IQ49" s="1293"/>
      <c r="IR49" s="1293"/>
      <c r="IS49" s="1293"/>
      <c r="IT49" s="1293"/>
      <c r="IU49" s="1293"/>
      <c r="IV49" s="1293"/>
      <c r="IW49" s="1293"/>
      <c r="IX49" s="1293"/>
      <c r="IY49" s="1293"/>
      <c r="IZ49" s="1293"/>
      <c r="JA49" s="1293"/>
      <c r="JB49" s="1293"/>
      <c r="JC49" s="1293"/>
      <c r="JD49" s="1293"/>
      <c r="JE49" s="1293"/>
      <c r="JF49" s="1293"/>
      <c r="JG49" s="1293"/>
      <c r="JH49" s="1293"/>
      <c r="JI49" s="1293"/>
      <c r="JJ49" s="1089"/>
      <c r="JK49" s="1089"/>
      <c r="JL49" s="1089"/>
      <c r="JM49" s="1089"/>
      <c r="JN49" s="1089"/>
      <c r="JO49" s="1089"/>
      <c r="JP49" s="1089"/>
      <c r="JQ49" s="1089"/>
      <c r="JR49" s="1089"/>
      <c r="JS49" s="1089"/>
      <c r="JT49" s="1089"/>
      <c r="JU49" s="1089"/>
      <c r="JV49" s="1293"/>
      <c r="JW49" s="1293"/>
      <c r="JX49" s="1293"/>
      <c r="JY49" s="1293"/>
      <c r="JZ49" s="1293"/>
      <c r="KA49" s="1293"/>
      <c r="KB49" s="1293"/>
      <c r="KC49" s="1293"/>
      <c r="KD49" s="1293"/>
      <c r="KE49" s="1293"/>
      <c r="KF49" s="1293"/>
      <c r="KG49" s="1293"/>
      <c r="KH49" s="1293"/>
      <c r="KI49" s="1293"/>
      <c r="KJ49" s="1293"/>
      <c r="KK49" s="1293"/>
      <c r="KL49" s="1293"/>
      <c r="KM49" s="1293"/>
      <c r="KN49" s="1293"/>
      <c r="KO49" s="1293"/>
      <c r="KP49" s="1293"/>
      <c r="KQ49" s="1293"/>
      <c r="KR49" s="1293"/>
      <c r="KS49" s="1293"/>
      <c r="KT49" s="1293"/>
      <c r="KU49" s="1293"/>
      <c r="KV49" s="1293"/>
      <c r="KW49" s="1293"/>
      <c r="KX49" s="1293"/>
      <c r="KY49" s="1293"/>
      <c r="KZ49" s="1293"/>
      <c r="LA49" s="1293"/>
      <c r="LB49" s="1293"/>
      <c r="LC49" s="1293"/>
      <c r="LD49" s="1293"/>
      <c r="LE49" s="1293"/>
      <c r="LF49" s="1293"/>
      <c r="LG49" s="1293"/>
      <c r="LH49" s="1293"/>
      <c r="LI49" s="1293"/>
      <c r="LJ49" s="1293"/>
      <c r="LK49" s="1293"/>
      <c r="LL49" s="1293"/>
      <c r="LM49" s="1293"/>
      <c r="LN49" s="1293"/>
      <c r="LO49" s="1293"/>
      <c r="LP49" s="1293"/>
      <c r="LQ49" s="1293"/>
      <c r="LR49" s="1293"/>
      <c r="LS49" s="1293"/>
      <c r="LT49" s="1293"/>
      <c r="LU49" s="1293"/>
      <c r="LV49" s="1293"/>
      <c r="LW49" s="1293"/>
      <c r="LX49" s="1293"/>
      <c r="LY49" s="1293"/>
      <c r="LZ49" s="1293"/>
      <c r="MA49" s="1293"/>
      <c r="MB49" s="1293"/>
      <c r="MC49" s="1293"/>
      <c r="MD49" s="1293"/>
      <c r="ME49" s="1293"/>
      <c r="MF49" s="1293"/>
      <c r="MG49" s="1293"/>
      <c r="MH49" s="1293"/>
      <c r="MI49" s="1293"/>
      <c r="MJ49" s="1293"/>
      <c r="MK49" s="1293"/>
      <c r="ML49" s="1293"/>
      <c r="MM49" s="1293"/>
      <c r="MN49" s="1293"/>
      <c r="MO49" s="1293"/>
      <c r="MP49" s="1293"/>
      <c r="MQ49" s="1293"/>
      <c r="MR49" s="1293"/>
      <c r="MS49" s="1293"/>
      <c r="MT49" s="1097"/>
      <c r="MU49" s="1097"/>
      <c r="MV49" s="1097"/>
      <c r="MW49" s="1097"/>
      <c r="MX49" s="1097"/>
      <c r="MY49" s="1097"/>
      <c r="MZ49" s="1097"/>
      <c r="NA49" s="1097"/>
      <c r="NB49" s="1097"/>
      <c r="NC49" s="1097"/>
      <c r="ND49" s="1097"/>
      <c r="NE49" s="1097"/>
      <c r="NF49" s="1097"/>
      <c r="NG49" s="1097"/>
      <c r="NH49" s="1097"/>
      <c r="NI49" s="1097"/>
      <c r="NJ49" s="1097"/>
      <c r="NK49" s="1097"/>
      <c r="NL49" s="1097"/>
      <c r="NM49" s="1097"/>
      <c r="NN49" s="1097"/>
      <c r="NO49" s="1097"/>
      <c r="NP49" s="1296"/>
      <c r="NQ49" s="1296"/>
      <c r="NR49" s="1296"/>
      <c r="NS49" s="1296"/>
      <c r="NT49" s="1296"/>
      <c r="NU49" s="1296"/>
      <c r="NV49" s="1296"/>
      <c r="NW49" s="1296"/>
      <c r="NX49" s="1296"/>
      <c r="NY49" s="1296"/>
      <c r="NZ49" s="1296"/>
      <c r="OA49" s="1296"/>
      <c r="OB49" s="1296"/>
      <c r="OC49" s="1296"/>
      <c r="OD49" s="1296"/>
      <c r="OE49" s="1296"/>
      <c r="OF49" s="1296"/>
      <c r="OG49" s="1296"/>
      <c r="OH49" s="1085"/>
      <c r="OI49" s="1085"/>
      <c r="OJ49" s="1293"/>
      <c r="OK49" s="1293"/>
      <c r="OL49" s="1293"/>
      <c r="OM49" s="1293"/>
      <c r="ON49" s="1293"/>
      <c r="OO49" s="1293"/>
      <c r="OP49" s="1293"/>
      <c r="OQ49" s="1293"/>
      <c r="OR49" s="1293"/>
      <c r="OS49" s="1293"/>
      <c r="OT49" s="1293"/>
      <c r="OU49" s="1293"/>
      <c r="OV49" s="1293"/>
      <c r="OW49" s="1293"/>
      <c r="OX49" s="1293"/>
      <c r="OY49" s="1293"/>
      <c r="OZ49" s="1293"/>
      <c r="PA49" s="1293"/>
      <c r="PB49" s="1293"/>
      <c r="PC49" s="1293"/>
      <c r="PD49" s="1293"/>
      <c r="PE49" s="1293"/>
      <c r="PF49" s="1293"/>
      <c r="PG49" s="1293"/>
      <c r="PH49" s="1293"/>
      <c r="PI49" s="1293"/>
      <c r="PJ49" s="1293"/>
      <c r="PK49" s="1293"/>
      <c r="PL49" s="1293"/>
      <c r="PM49" s="1293"/>
      <c r="PN49" s="1293"/>
      <c r="PO49" s="1293"/>
      <c r="PP49" s="1293"/>
      <c r="PQ49" s="1293"/>
      <c r="PR49" s="1293"/>
      <c r="PS49" s="1293"/>
      <c r="PT49" s="1293"/>
      <c r="PU49" s="1293"/>
      <c r="PV49" s="1293"/>
      <c r="PW49" s="1293"/>
      <c r="PX49" s="1293"/>
      <c r="PY49" s="1293"/>
      <c r="PZ49" s="1089"/>
      <c r="QA49" s="1089"/>
      <c r="QB49" s="1089"/>
      <c r="QC49" s="1089"/>
      <c r="QD49" s="1089"/>
      <c r="QE49" s="1089"/>
      <c r="QF49" s="1089"/>
      <c r="QG49" s="1089"/>
      <c r="QH49" s="1089"/>
      <c r="QI49" s="1089"/>
      <c r="QJ49" s="1089"/>
      <c r="QK49" s="1089"/>
      <c r="QL49" s="1089"/>
      <c r="QM49" s="1089"/>
      <c r="QN49" s="1089"/>
      <c r="QO49" s="1089"/>
      <c r="QP49" s="1089"/>
      <c r="QQ49" s="1089"/>
      <c r="QR49" s="1293"/>
      <c r="QS49" s="1293"/>
      <c r="QT49" s="1293"/>
      <c r="QU49" s="1293"/>
      <c r="QV49" s="1293"/>
      <c r="QW49" s="1293"/>
      <c r="QX49" s="1293"/>
      <c r="QY49" s="1293"/>
      <c r="QZ49" s="1293"/>
      <c r="RA49" s="1293"/>
      <c r="RB49" s="1293"/>
      <c r="RC49" s="1293"/>
      <c r="RD49" s="1293"/>
      <c r="RE49" s="1293"/>
      <c r="RF49" s="1293"/>
      <c r="RG49" s="1293"/>
      <c r="RH49" s="1293"/>
      <c r="RI49" s="1293"/>
      <c r="RJ49" s="1293"/>
      <c r="RK49" s="1293"/>
      <c r="RL49" s="1293"/>
      <c r="RM49" s="1293"/>
      <c r="RN49" s="1293"/>
      <c r="RO49" s="1293"/>
      <c r="RP49" s="1293"/>
      <c r="RQ49" s="1293"/>
      <c r="RR49" s="1293"/>
      <c r="RS49" s="1293"/>
      <c r="RT49" s="1293"/>
      <c r="RU49" s="1293"/>
      <c r="RV49" s="1089"/>
      <c r="RW49" s="1089"/>
      <c r="RX49" s="1089"/>
      <c r="RY49" s="1089"/>
      <c r="RZ49" s="1089"/>
      <c r="SA49" s="1089"/>
      <c r="SB49" s="1089"/>
      <c r="SC49" s="1089"/>
      <c r="SD49" s="1089"/>
      <c r="SE49" s="1089"/>
      <c r="SF49" s="1089"/>
      <c r="SG49" s="1089"/>
      <c r="SH49" s="1089"/>
      <c r="SI49" s="1089"/>
      <c r="SJ49" s="1089"/>
      <c r="SK49" s="1089"/>
      <c r="SL49" s="1089"/>
      <c r="SM49" s="1089"/>
      <c r="SN49" s="1089"/>
      <c r="SO49" s="1089"/>
      <c r="SP49" s="1089"/>
      <c r="SQ49" s="1089"/>
      <c r="SR49" s="1089"/>
      <c r="SS49" s="1089"/>
      <c r="ST49" s="1089"/>
      <c r="SU49" s="1089"/>
      <c r="SV49" s="1089"/>
      <c r="SW49" s="1089"/>
      <c r="SX49" s="1089"/>
      <c r="SY49" s="1089"/>
      <c r="SZ49" s="1089"/>
      <c r="TA49" s="1089"/>
      <c r="TB49" s="1089"/>
      <c r="TC49" s="1089"/>
      <c r="TD49" s="1089"/>
      <c r="TE49" s="1089"/>
      <c r="TF49" s="1089"/>
      <c r="TG49" s="1089"/>
      <c r="TH49" s="1089"/>
      <c r="TI49" s="1089"/>
      <c r="TJ49" s="1089"/>
      <c r="TK49" s="1089"/>
      <c r="TL49" s="1089"/>
      <c r="TM49" s="1089"/>
      <c r="TN49" s="1089"/>
      <c r="TO49" s="1089"/>
      <c r="TP49" s="1089"/>
      <c r="TQ49" s="1089"/>
      <c r="TR49" s="1089"/>
      <c r="TS49" s="1089"/>
      <c r="TT49" s="1089"/>
      <c r="TU49" s="1089"/>
      <c r="TV49" s="1089"/>
      <c r="TW49" s="1089"/>
      <c r="TX49" s="1089"/>
      <c r="TY49" s="1089"/>
      <c r="TZ49" s="1089"/>
      <c r="UA49" s="1089"/>
      <c r="UB49" s="1089"/>
      <c r="UC49" s="1089"/>
      <c r="UD49" s="1089"/>
      <c r="UE49" s="1089"/>
      <c r="UF49" s="1089"/>
      <c r="UG49" s="1089"/>
      <c r="UH49" s="1089"/>
      <c r="UI49" s="1089"/>
      <c r="UJ49" s="1089"/>
      <c r="UK49" s="1089"/>
      <c r="UL49" s="1089"/>
      <c r="UM49" s="1089"/>
      <c r="UN49" s="1089"/>
      <c r="UO49" s="1089"/>
      <c r="UP49" s="1089"/>
      <c r="UQ49" s="1089"/>
      <c r="UR49" s="1089"/>
      <c r="US49" s="1089"/>
      <c r="UT49" s="1293"/>
      <c r="UU49" s="1293"/>
      <c r="UV49" s="1293"/>
      <c r="UW49" s="1293"/>
      <c r="UX49" s="1293"/>
      <c r="UY49" s="1293"/>
      <c r="UZ49" s="1293"/>
      <c r="VA49" s="1293"/>
      <c r="VB49" s="1493">
        <f>VB34</f>
        <v>8706116796.8400021</v>
      </c>
      <c r="VC49" s="1308"/>
      <c r="VD49" s="1308"/>
      <c r="VE49" s="1493">
        <f>VE34</f>
        <v>6440121009.8699999</v>
      </c>
      <c r="VF49" s="1293"/>
      <c r="VG49" s="1293"/>
      <c r="VH49" s="1293"/>
      <c r="VI49" s="1293"/>
      <c r="VJ49" s="1293"/>
      <c r="VK49" s="1293"/>
      <c r="VL49" s="1293"/>
      <c r="VM49" s="1293"/>
      <c r="VN49" s="1293"/>
      <c r="VO49" s="1293"/>
      <c r="VP49" s="1293"/>
      <c r="VQ49" s="1293"/>
      <c r="VR49" s="1293"/>
      <c r="VS49" s="1293"/>
      <c r="VT49" s="1293"/>
      <c r="VU49" s="1293"/>
      <c r="VV49" s="1293"/>
      <c r="VW49" s="1293"/>
      <c r="VX49" s="1293"/>
      <c r="VY49" s="1293"/>
      <c r="VZ49" s="1293"/>
      <c r="WA49" s="1293"/>
      <c r="WB49" s="1293"/>
      <c r="WC49" s="1293"/>
      <c r="WD49" s="1293"/>
      <c r="WE49" s="1293"/>
      <c r="WF49" s="1293"/>
      <c r="WG49" s="1293"/>
      <c r="WH49" s="1293"/>
      <c r="WI49" s="1293"/>
      <c r="WJ49" s="1493">
        <f>WJ34</f>
        <v>1505439121.9500003</v>
      </c>
      <c r="WK49" s="1493">
        <f>WK34</f>
        <v>704733662.95000005</v>
      </c>
      <c r="WL49" s="1089"/>
      <c r="WM49" s="1089"/>
      <c r="WN49" s="1089"/>
      <c r="WO49" s="1089"/>
      <c r="WP49" s="1089"/>
      <c r="WQ49" s="1089"/>
      <c r="WR49" s="1089"/>
      <c r="WS49" s="1089"/>
      <c r="WT49" s="1089"/>
      <c r="WU49" s="1089"/>
      <c r="WV49" s="1089"/>
      <c r="WW49" s="1089"/>
      <c r="WX49" s="1089"/>
      <c r="WY49" s="1089"/>
      <c r="WZ49" s="1089"/>
      <c r="XA49" s="1494"/>
      <c r="XB49" s="1494"/>
      <c r="XC49" s="1494"/>
      <c r="XD49" s="1089"/>
      <c r="XE49" s="1089"/>
      <c r="XF49" s="1089"/>
      <c r="XG49" s="1089"/>
      <c r="XH49" s="1089"/>
      <c r="XI49" s="1089"/>
      <c r="XJ49" s="1089"/>
      <c r="XK49" s="1089"/>
      <c r="XL49" s="1089"/>
      <c r="XM49" s="1089"/>
      <c r="XN49" s="1089"/>
      <c r="XO49" s="1089"/>
      <c r="XP49" s="1089"/>
      <c r="XQ49" s="1089"/>
      <c r="XR49" s="1089"/>
      <c r="XS49" s="1089"/>
      <c r="XT49" s="1089"/>
      <c r="XU49" s="1089"/>
      <c r="XV49" s="1097"/>
      <c r="XW49" s="1097"/>
      <c r="XX49" s="1097"/>
      <c r="XY49" s="1097"/>
      <c r="XZ49" s="1097"/>
      <c r="YA49" s="1097"/>
      <c r="YB49" s="1097"/>
      <c r="YC49" s="1097"/>
      <c r="YD49" s="1097"/>
      <c r="YE49" s="1097"/>
      <c r="YF49" s="1097"/>
      <c r="YG49" s="1097"/>
      <c r="YH49" s="1097"/>
      <c r="YI49" s="1097"/>
      <c r="YJ49" s="1097"/>
      <c r="YK49" s="1097"/>
      <c r="YL49" s="1097"/>
      <c r="YM49" s="1097"/>
      <c r="YN49" s="1097"/>
      <c r="YO49" s="1097"/>
      <c r="YP49" s="1097"/>
      <c r="YQ49" s="1097"/>
      <c r="YR49" s="1097"/>
      <c r="YS49" s="1097"/>
      <c r="YT49" s="1097"/>
      <c r="YU49" s="1097"/>
      <c r="YV49" s="1097"/>
      <c r="YW49" s="1097"/>
      <c r="YX49" s="1097"/>
      <c r="YY49" s="1097"/>
      <c r="YZ49" s="1097"/>
      <c r="ZA49" s="1097"/>
      <c r="ZB49" s="1097"/>
      <c r="ZC49" s="1097"/>
      <c r="ZD49" s="1097"/>
      <c r="ZE49" s="1097"/>
      <c r="ZF49" s="1097"/>
      <c r="ZG49" s="1097"/>
      <c r="ZH49" s="1097"/>
      <c r="ZI49" s="1097"/>
      <c r="ZJ49" s="1097"/>
      <c r="ZK49" s="1097"/>
      <c r="ZL49" s="1097"/>
      <c r="ZM49" s="1097"/>
      <c r="ZN49" s="1097"/>
      <c r="ZO49" s="1097"/>
      <c r="ZP49" s="1097"/>
      <c r="ZQ49" s="1097"/>
      <c r="ZR49" s="1097"/>
      <c r="ZS49" s="1097"/>
      <c r="ZT49" s="1097"/>
      <c r="ZU49" s="1097"/>
      <c r="ZV49" s="1097"/>
      <c r="ZW49" s="1097"/>
      <c r="ZX49" s="1097"/>
      <c r="ZY49" s="1097"/>
      <c r="ZZ49" s="1097"/>
      <c r="AAA49" s="1097"/>
      <c r="AAB49" s="1086"/>
      <c r="AAC49" s="1086"/>
      <c r="AAD49" s="1087"/>
      <c r="AAE49" s="1087"/>
      <c r="AAF49" s="791"/>
      <c r="AAG49" s="791"/>
      <c r="AAH49" s="791"/>
      <c r="AAI49" s="791"/>
      <c r="AAJ49" s="791"/>
      <c r="AAK49" s="791"/>
      <c r="AAL49" s="791"/>
      <c r="AAM49" s="791"/>
      <c r="AAN49" s="791"/>
      <c r="AAO49" s="791"/>
      <c r="AAP49" s="791"/>
      <c r="AAQ49" s="791"/>
      <c r="AAR49" s="791"/>
      <c r="AAS49" s="791"/>
      <c r="AAT49" s="791"/>
      <c r="AAU49" s="791"/>
    </row>
    <row r="50" spans="1:723" ht="16.5" x14ac:dyDescent="0.25">
      <c r="A50" s="1308" t="s">
        <v>1258</v>
      </c>
      <c r="B50" s="1492">
        <f>D50+AN50+'Проверочная  таблица'!VB50+'Проверочная  таблица'!WJ50</f>
        <v>19939019931.360004</v>
      </c>
      <c r="C50" s="1492">
        <f>E50+'Проверочная  таблица'!VE50+AO50+'Проверочная  таблица'!WK50</f>
        <v>11751447443.5</v>
      </c>
      <c r="D50" s="1495">
        <f>D30-D51</f>
        <v>1996614965.000001</v>
      </c>
      <c r="E50" s="1495">
        <f>E30-E51</f>
        <v>1381007576.9899993</v>
      </c>
      <c r="F50" s="791"/>
      <c r="G50" s="791"/>
      <c r="H50" s="791"/>
      <c r="I50" s="791"/>
      <c r="J50" s="791"/>
      <c r="K50" s="791"/>
      <c r="L50" s="791"/>
      <c r="M50" s="791"/>
      <c r="N50" s="791"/>
      <c r="O50" s="791"/>
      <c r="P50" s="791"/>
      <c r="Q50" s="791"/>
      <c r="R50" s="791"/>
      <c r="S50" s="791"/>
      <c r="T50" s="791"/>
      <c r="U50" s="791"/>
      <c r="V50" s="1293"/>
      <c r="W50" s="1293"/>
      <c r="X50" s="1293"/>
      <c r="Y50" s="1293"/>
      <c r="Z50" s="791"/>
      <c r="AA50" s="791"/>
      <c r="AB50" s="791"/>
      <c r="AC50" s="791"/>
      <c r="AD50" s="1293"/>
      <c r="AE50" s="1293"/>
      <c r="AF50" s="1293"/>
      <c r="AG50" s="791"/>
      <c r="AH50" s="1293"/>
      <c r="AI50" s="1293"/>
      <c r="AJ50" s="1293"/>
      <c r="AK50" s="1293"/>
      <c r="AL50" s="1293"/>
      <c r="AM50" s="1308" t="s">
        <v>1258</v>
      </c>
      <c r="AN50" s="1495">
        <f>AN30-AN51</f>
        <v>7657642756.6700001</v>
      </c>
      <c r="AO50" s="1495">
        <f>AO30-AO51</f>
        <v>3048555442.9000006</v>
      </c>
      <c r="AP50" s="1086"/>
      <c r="AQ50" s="1086"/>
      <c r="AR50" s="1086"/>
      <c r="AS50" s="1086"/>
      <c r="AT50" s="1086"/>
      <c r="AU50" s="1086"/>
      <c r="AV50" s="1086"/>
      <c r="AW50" s="1086"/>
      <c r="AX50" s="1086"/>
      <c r="AY50" s="1086"/>
      <c r="AZ50" s="1086"/>
      <c r="BA50" s="1086"/>
      <c r="BB50" s="1086"/>
      <c r="BC50" s="1086"/>
      <c r="BD50" s="1086"/>
      <c r="BE50" s="1086"/>
      <c r="BF50" s="1086"/>
      <c r="BG50" s="1086"/>
      <c r="BH50" s="1086"/>
      <c r="BI50" s="1086"/>
      <c r="BJ50" s="1086"/>
      <c r="BK50" s="1086"/>
      <c r="BL50" s="791"/>
      <c r="BM50" s="791"/>
      <c r="BN50" s="791"/>
      <c r="BO50" s="791"/>
      <c r="BP50" s="791"/>
      <c r="BQ50" s="791"/>
      <c r="BR50" s="791"/>
      <c r="BS50" s="791"/>
      <c r="BT50" s="1293"/>
      <c r="BU50" s="1293"/>
      <c r="BV50" s="1293"/>
      <c r="BW50" s="1293"/>
      <c r="BX50" s="1293"/>
      <c r="BY50" s="1293"/>
      <c r="BZ50" s="791"/>
      <c r="CA50" s="791"/>
      <c r="CB50" s="791"/>
      <c r="CC50" s="791"/>
      <c r="CD50" s="791"/>
      <c r="CE50" s="791"/>
      <c r="CF50" s="791"/>
      <c r="CG50" s="791"/>
      <c r="CH50" s="791"/>
      <c r="CI50" s="791"/>
      <c r="CJ50" s="791"/>
      <c r="CK50" s="791"/>
      <c r="CL50" s="791"/>
      <c r="CM50" s="791"/>
      <c r="CN50" s="791"/>
      <c r="CO50" s="791"/>
      <c r="CP50" s="791"/>
      <c r="CQ50" s="791"/>
      <c r="CR50" s="791"/>
      <c r="CS50" s="791"/>
      <c r="CT50" s="791"/>
      <c r="CU50" s="791"/>
      <c r="CV50" s="791"/>
      <c r="CW50" s="791"/>
      <c r="CX50" s="791"/>
      <c r="CY50" s="791"/>
      <c r="CZ50" s="791"/>
      <c r="DA50" s="791"/>
      <c r="DB50" s="791"/>
      <c r="DC50" s="791"/>
      <c r="DD50" s="791"/>
      <c r="DE50" s="791"/>
      <c r="DF50" s="791"/>
      <c r="DG50" s="791"/>
      <c r="DH50" s="791"/>
      <c r="DI50" s="791"/>
      <c r="DJ50" s="791"/>
      <c r="DK50" s="791"/>
      <c r="DL50" s="791"/>
      <c r="DM50" s="791"/>
      <c r="DN50" s="791"/>
      <c r="DO50" s="791"/>
      <c r="DP50" s="791"/>
      <c r="DQ50" s="791"/>
      <c r="DR50" s="791"/>
      <c r="DS50" s="791"/>
      <c r="DT50" s="791"/>
      <c r="DU50" s="791"/>
      <c r="DV50" s="791"/>
      <c r="DW50" s="791"/>
      <c r="DX50" s="791"/>
      <c r="DY50" s="791"/>
      <c r="DZ50" s="1086"/>
      <c r="EA50" s="1086"/>
      <c r="EB50" s="1086"/>
      <c r="EC50" s="1086"/>
      <c r="ED50" s="1086"/>
      <c r="EE50" s="1086"/>
      <c r="EF50" s="791"/>
      <c r="EG50" s="791"/>
      <c r="EH50" s="791"/>
      <c r="EI50" s="791"/>
      <c r="EJ50" s="791"/>
      <c r="EK50" s="791"/>
      <c r="EL50" s="791"/>
      <c r="EM50" s="791"/>
      <c r="EN50" s="791"/>
      <c r="EO50" s="791"/>
      <c r="EP50" s="791"/>
      <c r="EQ50" s="791"/>
      <c r="ER50" s="791"/>
      <c r="ES50" s="791"/>
      <c r="ET50" s="791"/>
      <c r="EU50" s="791"/>
      <c r="EV50" s="791"/>
      <c r="EW50" s="791"/>
      <c r="EX50" s="791"/>
      <c r="EY50" s="791"/>
      <c r="EZ50" s="791"/>
      <c r="FA50" s="791"/>
      <c r="FB50" s="791"/>
      <c r="FC50" s="791"/>
      <c r="FD50" s="791"/>
      <c r="FE50" s="791"/>
      <c r="FF50" s="791"/>
      <c r="FG50" s="791"/>
      <c r="FH50" s="791"/>
      <c r="FI50" s="791"/>
      <c r="FJ50" s="791"/>
      <c r="FK50" s="791"/>
      <c r="FL50" s="791"/>
      <c r="FM50" s="791"/>
      <c r="FN50" s="791"/>
      <c r="FO50" s="791"/>
      <c r="FP50" s="791"/>
      <c r="FQ50" s="791"/>
      <c r="FR50" s="791"/>
      <c r="FS50" s="791"/>
      <c r="FT50" s="791"/>
      <c r="FU50" s="791"/>
      <c r="FV50" s="791"/>
      <c r="FW50" s="791"/>
      <c r="FX50" s="791"/>
      <c r="FY50" s="791"/>
      <c r="FZ50" s="791"/>
      <c r="GA50" s="791"/>
      <c r="GB50" s="791"/>
      <c r="GC50" s="791"/>
      <c r="GD50" s="791"/>
      <c r="GE50" s="791"/>
      <c r="GF50" s="791"/>
      <c r="GG50" s="791"/>
      <c r="GH50" s="791"/>
      <c r="GI50" s="791"/>
      <c r="GJ50" s="791"/>
      <c r="GK50" s="791"/>
      <c r="GL50" s="791"/>
      <c r="GM50" s="791"/>
      <c r="GN50" s="791"/>
      <c r="GO50" s="791"/>
      <c r="GP50" s="791"/>
      <c r="GQ50" s="1086"/>
      <c r="GR50" s="791"/>
      <c r="GS50" s="791"/>
      <c r="GT50" s="791"/>
      <c r="GU50" s="1086"/>
      <c r="GV50" s="1086"/>
      <c r="GW50" s="1086"/>
      <c r="GX50" s="1086"/>
      <c r="GY50" s="1086"/>
      <c r="GZ50" s="1086"/>
      <c r="HA50" s="1086"/>
      <c r="HB50" s="1086"/>
      <c r="HC50" s="1086"/>
      <c r="HD50" s="791"/>
      <c r="HE50" s="791"/>
      <c r="HF50" s="791"/>
      <c r="HG50" s="791"/>
      <c r="HH50" s="791"/>
      <c r="HI50" s="791"/>
      <c r="HJ50" s="791"/>
      <c r="HK50" s="791"/>
      <c r="HL50" s="791"/>
      <c r="HM50" s="791"/>
      <c r="HN50" s="791"/>
      <c r="HO50" s="791"/>
      <c r="HP50" s="791"/>
      <c r="HQ50" s="791"/>
      <c r="HR50" s="791"/>
      <c r="HS50" s="791"/>
      <c r="HT50" s="791"/>
      <c r="HU50" s="791"/>
      <c r="HV50" s="791"/>
      <c r="HW50" s="791"/>
      <c r="HX50" s="791"/>
      <c r="HY50" s="791"/>
      <c r="HZ50" s="791"/>
      <c r="IA50" s="791"/>
      <c r="IB50" s="791"/>
      <c r="IC50" s="791"/>
      <c r="ID50" s="791"/>
      <c r="IE50" s="791"/>
      <c r="IF50" s="791"/>
      <c r="IG50" s="791"/>
      <c r="IH50" s="791"/>
      <c r="II50" s="791"/>
      <c r="IJ50" s="791"/>
      <c r="IK50" s="791"/>
      <c r="IL50" s="791"/>
      <c r="IM50" s="791"/>
      <c r="IN50" s="791"/>
      <c r="IO50" s="791"/>
      <c r="IP50" s="791"/>
      <c r="IQ50" s="791"/>
      <c r="IR50" s="791"/>
      <c r="IS50" s="791"/>
      <c r="IT50" s="791"/>
      <c r="IU50" s="791"/>
      <c r="IV50" s="791"/>
      <c r="IW50" s="791"/>
      <c r="IX50" s="791"/>
      <c r="IY50" s="791"/>
      <c r="IZ50" s="791"/>
      <c r="JA50" s="791"/>
      <c r="JB50" s="791"/>
      <c r="JC50" s="791"/>
      <c r="JD50" s="791"/>
      <c r="JE50" s="791"/>
      <c r="JF50" s="791"/>
      <c r="JG50" s="791"/>
      <c r="JH50" s="791"/>
      <c r="JI50" s="791"/>
      <c r="JJ50" s="1086"/>
      <c r="JK50" s="1086"/>
      <c r="JL50" s="1086"/>
      <c r="JM50" s="1086"/>
      <c r="JN50" s="1086"/>
      <c r="JO50" s="1086"/>
      <c r="JP50" s="1086"/>
      <c r="JQ50" s="1086"/>
      <c r="JR50" s="1086"/>
      <c r="JS50" s="1086"/>
      <c r="JT50" s="1086"/>
      <c r="JU50" s="1086"/>
      <c r="MT50" s="1097"/>
      <c r="MU50" s="1097"/>
      <c r="MV50" s="1097"/>
      <c r="MW50" s="1097"/>
      <c r="MX50" s="1097"/>
      <c r="MY50" s="1097"/>
      <c r="MZ50" s="1097"/>
      <c r="NA50" s="1097"/>
      <c r="NB50" s="1097"/>
      <c r="NC50" s="1097"/>
      <c r="ND50" s="1097"/>
      <c r="NE50" s="1097"/>
      <c r="NF50" s="1097"/>
      <c r="NG50" s="1097"/>
      <c r="NH50" s="1097"/>
      <c r="NI50" s="1097"/>
      <c r="NJ50" s="1097"/>
      <c r="NK50" s="1097"/>
      <c r="NL50" s="1097"/>
      <c r="NM50" s="1097"/>
      <c r="NN50" s="1097"/>
      <c r="NO50" s="1097"/>
      <c r="NP50" s="1296"/>
      <c r="NQ50" s="1296"/>
      <c r="NR50" s="1296"/>
      <c r="NS50" s="1296"/>
      <c r="NT50" s="1296"/>
      <c r="NU50" s="1296"/>
      <c r="NV50" s="1296"/>
      <c r="NW50" s="1296"/>
      <c r="NX50" s="1296"/>
      <c r="NY50" s="1296"/>
      <c r="NZ50" s="1296"/>
      <c r="OA50" s="1296"/>
      <c r="OB50" s="1296"/>
      <c r="OC50" s="1296"/>
      <c r="OD50" s="1296"/>
      <c r="OE50" s="1296"/>
      <c r="OF50" s="1296"/>
      <c r="OG50" s="1296"/>
      <c r="OH50" s="1085"/>
      <c r="OI50" s="1085"/>
      <c r="PZ50" s="1086"/>
      <c r="QA50" s="1086"/>
      <c r="QB50" s="1086"/>
      <c r="QC50" s="1086"/>
      <c r="QD50" s="1086"/>
      <c r="QE50" s="1086"/>
      <c r="QF50" s="1086"/>
      <c r="QG50" s="1086"/>
      <c r="QH50" s="1086"/>
      <c r="QI50" s="1086"/>
      <c r="QJ50" s="1086"/>
      <c r="QK50" s="1086"/>
      <c r="QL50" s="1086"/>
      <c r="QM50" s="1086"/>
      <c r="QN50" s="1086"/>
      <c r="QO50" s="1086"/>
      <c r="QP50" s="1086"/>
      <c r="QQ50" s="1086"/>
      <c r="QR50" s="791"/>
      <c r="QS50" s="791"/>
      <c r="QT50" s="791"/>
      <c r="QU50" s="791"/>
      <c r="QV50" s="791"/>
      <c r="QW50" s="791"/>
      <c r="QX50" s="791"/>
      <c r="QY50" s="791"/>
      <c r="QZ50" s="791"/>
      <c r="RA50" s="791"/>
      <c r="RB50" s="791"/>
      <c r="RC50" s="791"/>
      <c r="RD50" s="791"/>
      <c r="RE50" s="791"/>
      <c r="RF50" s="791"/>
      <c r="RG50" s="791"/>
      <c r="RH50" s="791"/>
      <c r="RI50" s="791"/>
      <c r="RJ50" s="791"/>
      <c r="RK50" s="791"/>
      <c r="RL50" s="791"/>
      <c r="RM50" s="791"/>
      <c r="RN50" s="791"/>
      <c r="RO50" s="791"/>
      <c r="RP50" s="791"/>
      <c r="RQ50" s="791"/>
      <c r="RR50" s="791"/>
      <c r="RS50" s="791"/>
      <c r="RT50" s="791"/>
      <c r="RU50" s="791"/>
      <c r="RV50" s="1086"/>
      <c r="RW50" s="1086"/>
      <c r="RX50" s="1086"/>
      <c r="RY50" s="1086"/>
      <c r="RZ50" s="1086"/>
      <c r="SA50" s="1086"/>
      <c r="SB50" s="1086"/>
      <c r="SC50" s="1086"/>
      <c r="SD50" s="1086"/>
      <c r="SE50" s="1086"/>
      <c r="SF50" s="1086"/>
      <c r="SG50" s="1086"/>
      <c r="SH50" s="1086"/>
      <c r="SI50" s="1086"/>
      <c r="SJ50" s="1086"/>
      <c r="SK50" s="1086"/>
      <c r="SL50" s="1086"/>
      <c r="SM50" s="1086"/>
      <c r="SN50" s="1086"/>
      <c r="SO50" s="1086"/>
      <c r="SP50" s="1086"/>
      <c r="SQ50" s="1086"/>
      <c r="SR50" s="1086"/>
      <c r="SS50" s="1086"/>
      <c r="ST50" s="1086"/>
      <c r="SU50" s="1086"/>
      <c r="SV50" s="1086"/>
      <c r="SW50" s="1086"/>
      <c r="SX50" s="1086"/>
      <c r="SY50" s="1086"/>
      <c r="SZ50" s="1086"/>
      <c r="TA50" s="1086"/>
      <c r="TB50" s="1086"/>
      <c r="TC50" s="1086"/>
      <c r="TD50" s="1086"/>
      <c r="TE50" s="1086"/>
      <c r="TF50" s="1086"/>
      <c r="TG50" s="1086"/>
      <c r="TH50" s="1086"/>
      <c r="TI50" s="1086"/>
      <c r="TJ50" s="1086"/>
      <c r="TK50" s="1086"/>
      <c r="TL50" s="1086"/>
      <c r="TM50" s="1086"/>
      <c r="TN50" s="1086"/>
      <c r="TO50" s="1086"/>
      <c r="TP50" s="1086"/>
      <c r="TQ50" s="1086"/>
      <c r="TR50" s="1086"/>
      <c r="TS50" s="1086"/>
      <c r="TT50" s="1086"/>
      <c r="TU50" s="1086"/>
      <c r="TV50" s="1086"/>
      <c r="TW50" s="1086"/>
      <c r="TX50" s="1086"/>
      <c r="TY50" s="1086"/>
      <c r="TZ50" s="1086"/>
      <c r="UA50" s="1086"/>
      <c r="UB50" s="1086"/>
      <c r="UC50" s="1086"/>
      <c r="UD50" s="1086"/>
      <c r="UE50" s="1086"/>
      <c r="UF50" s="1086"/>
      <c r="UG50" s="1086"/>
      <c r="UH50" s="1086"/>
      <c r="UI50" s="1086"/>
      <c r="UJ50" s="1086"/>
      <c r="UK50" s="1086"/>
      <c r="UL50" s="1086"/>
      <c r="UM50" s="1086"/>
      <c r="UN50" s="1086"/>
      <c r="UO50" s="1086"/>
      <c r="UP50" s="1086"/>
      <c r="UQ50" s="1086"/>
      <c r="UR50" s="1086"/>
      <c r="US50" s="1086"/>
      <c r="UT50" s="791"/>
      <c r="UU50" s="791"/>
      <c r="UV50" s="791"/>
      <c r="UW50" s="791"/>
      <c r="UX50" s="1293"/>
      <c r="UY50" s="1293"/>
      <c r="UZ50" s="1293"/>
      <c r="VA50" s="1293"/>
      <c r="VB50" s="1495">
        <f>VB30-VB51</f>
        <v>8407047780.1700001</v>
      </c>
      <c r="VC50" s="1496"/>
      <c r="VD50" s="1496"/>
      <c r="VE50" s="1495">
        <f>VE30-VE51</f>
        <v>6503014127.3200006</v>
      </c>
      <c r="VF50" s="791"/>
      <c r="VG50" s="791"/>
      <c r="VH50" s="791"/>
      <c r="VI50" s="791"/>
      <c r="VJ50" s="791"/>
      <c r="VK50" s="791"/>
      <c r="VL50" s="791"/>
      <c r="VM50" s="791"/>
      <c r="VN50" s="791"/>
      <c r="VO50" s="791"/>
      <c r="VP50" s="791"/>
      <c r="VQ50" s="791"/>
      <c r="VR50" s="1296"/>
      <c r="VS50" s="1296"/>
      <c r="VT50" s="1296"/>
      <c r="VU50" s="1296"/>
      <c r="VV50" s="1296"/>
      <c r="VW50" s="1296"/>
      <c r="VX50" s="1296"/>
      <c r="VY50" s="1296"/>
      <c r="VZ50" s="1296"/>
      <c r="WA50" s="1296"/>
      <c r="WB50" s="1296"/>
      <c r="WC50" s="1296"/>
      <c r="WD50" s="791"/>
      <c r="WE50" s="791"/>
      <c r="WF50" s="791"/>
      <c r="WG50" s="791"/>
      <c r="WH50" s="791"/>
      <c r="WI50" s="791"/>
      <c r="WJ50" s="1493">
        <f>WJ30-WJ51</f>
        <v>1877714429.52</v>
      </c>
      <c r="WK50" s="1493">
        <f>WK30-WK51</f>
        <v>818870296.29000008</v>
      </c>
      <c r="WL50" s="1089"/>
      <c r="WM50" s="1089"/>
      <c r="WN50" s="1089"/>
      <c r="WO50" s="1089"/>
      <c r="WP50" s="1089"/>
      <c r="WQ50" s="1089"/>
      <c r="WR50" s="1089"/>
      <c r="WS50" s="1089"/>
      <c r="WT50" s="1089"/>
      <c r="WU50" s="1089"/>
      <c r="WV50" s="1089"/>
      <c r="WW50" s="1089"/>
      <c r="WX50" s="1089"/>
      <c r="WY50" s="1089"/>
      <c r="WZ50" s="1089"/>
      <c r="XA50" s="1494"/>
      <c r="XB50" s="1494"/>
      <c r="XC50" s="1494"/>
      <c r="XD50" s="1089"/>
      <c r="XE50" s="1089"/>
      <c r="XF50" s="1089"/>
      <c r="XG50" s="1089"/>
      <c r="XH50" s="1089"/>
      <c r="XI50" s="1089"/>
      <c r="XJ50" s="1097"/>
      <c r="XK50" s="1097"/>
      <c r="XL50" s="1097"/>
      <c r="XM50" s="1097"/>
      <c r="XN50" s="1097"/>
      <c r="XO50" s="1097"/>
      <c r="XP50" s="1097"/>
      <c r="XQ50" s="1097"/>
      <c r="XR50" s="1097"/>
      <c r="XS50" s="1097"/>
      <c r="XT50" s="1097"/>
      <c r="XU50" s="1097"/>
      <c r="XV50" s="1097"/>
      <c r="XW50" s="1097"/>
      <c r="XX50" s="1097"/>
      <c r="XY50" s="1097"/>
      <c r="XZ50" s="1097"/>
      <c r="YA50" s="1097"/>
      <c r="YB50" s="1097"/>
      <c r="YC50" s="1097"/>
      <c r="YD50" s="1097"/>
      <c r="YE50" s="1097"/>
      <c r="YF50" s="1097"/>
      <c r="YG50" s="1097"/>
      <c r="YH50" s="1097"/>
      <c r="YI50" s="1097"/>
      <c r="YJ50" s="1097"/>
      <c r="YK50" s="1097"/>
      <c r="YL50" s="1097"/>
      <c r="YM50" s="1097"/>
      <c r="YN50" s="1097"/>
      <c r="YO50" s="1097"/>
      <c r="YP50" s="1097"/>
      <c r="YQ50" s="1097"/>
      <c r="YR50" s="1097"/>
      <c r="YS50" s="1097"/>
      <c r="YT50" s="1097"/>
      <c r="YU50" s="1097"/>
      <c r="YV50" s="1097"/>
      <c r="YW50" s="1097"/>
      <c r="YX50" s="1097"/>
      <c r="YY50" s="1097"/>
      <c r="YZ50" s="1097"/>
      <c r="ZA50" s="1097"/>
      <c r="ZB50" s="1097"/>
      <c r="ZC50" s="1097"/>
      <c r="ZD50" s="1097"/>
      <c r="ZE50" s="1097"/>
      <c r="ZF50" s="1097"/>
      <c r="ZG50" s="1097"/>
      <c r="ZH50" s="1097"/>
      <c r="ZI50" s="1097"/>
      <c r="ZJ50" s="1097"/>
      <c r="ZK50" s="1097"/>
      <c r="ZL50" s="1097"/>
      <c r="ZM50" s="1097"/>
      <c r="ZN50" s="1097"/>
      <c r="ZO50" s="1097"/>
      <c r="ZP50" s="1097"/>
      <c r="ZQ50" s="1097"/>
      <c r="ZR50" s="1097"/>
      <c r="ZS50" s="1097"/>
      <c r="ZT50" s="1097"/>
      <c r="ZU50" s="1097"/>
      <c r="ZV50" s="1097"/>
      <c r="ZW50" s="1097"/>
      <c r="ZX50" s="1097"/>
      <c r="ZY50" s="1097"/>
      <c r="ZZ50" s="1097"/>
      <c r="AAA50" s="1097"/>
      <c r="AAB50" s="1086"/>
      <c r="AAC50" s="1086"/>
      <c r="AAD50" s="1087"/>
      <c r="AAE50" s="1087"/>
      <c r="AAF50" s="791"/>
      <c r="AAG50" s="791"/>
      <c r="AAH50" s="791"/>
      <c r="AAI50" s="791"/>
      <c r="AAJ50" s="791"/>
      <c r="AAK50" s="791"/>
      <c r="AAL50" s="1087"/>
      <c r="AAM50" s="1087"/>
      <c r="AAN50" s="791"/>
      <c r="AAO50" s="791"/>
      <c r="AAP50" s="791"/>
      <c r="AAQ50" s="791"/>
      <c r="AAR50" s="791"/>
      <c r="AAS50" s="791"/>
      <c r="AAT50" s="791"/>
      <c r="AAU50" s="791"/>
    </row>
    <row r="51" spans="1:723" ht="16.5" x14ac:dyDescent="0.25">
      <c r="A51" s="1308" t="s">
        <v>802</v>
      </c>
      <c r="B51" s="1492">
        <f>D51+AN51+'Проверочная  таблица'!VB51+'Проверочная  таблица'!WJ51</f>
        <v>4042084877.5500002</v>
      </c>
      <c r="C51" s="1492">
        <f>E51+'Проверочная  таблица'!VE51+AO51+'Проверочная  таблица'!WK51</f>
        <v>2566375017.1500006</v>
      </c>
      <c r="D51" s="1495">
        <f>P30+AD30+H37</f>
        <v>1794447222.54</v>
      </c>
      <c r="E51" s="1495">
        <f>Q30+AG30+I37</f>
        <v>1263600405.5900002</v>
      </c>
      <c r="F51" s="791"/>
      <c r="G51" s="791"/>
      <c r="H51" s="791"/>
      <c r="I51" s="791"/>
      <c r="J51" s="791"/>
      <c r="K51" s="791"/>
      <c r="L51" s="791"/>
      <c r="M51" s="791"/>
      <c r="N51" s="791"/>
      <c r="O51" s="791"/>
      <c r="P51" s="791"/>
      <c r="Q51" s="791"/>
      <c r="R51" s="791"/>
      <c r="S51" s="791"/>
      <c r="T51" s="791"/>
      <c r="U51" s="791"/>
      <c r="V51" s="1293"/>
      <c r="W51" s="1293"/>
      <c r="X51" s="1293"/>
      <c r="Y51" s="1293"/>
      <c r="Z51" s="791"/>
      <c r="AA51" s="791"/>
      <c r="AB51" s="791"/>
      <c r="AC51" s="791"/>
      <c r="AD51" s="1293"/>
      <c r="AE51" s="1293"/>
      <c r="AF51" s="1293"/>
      <c r="AG51" s="791"/>
      <c r="AH51" s="1293"/>
      <c r="AI51" s="1293"/>
      <c r="AJ51" s="1293"/>
      <c r="AK51" s="1293"/>
      <c r="AL51" s="1293"/>
      <c r="AM51" s="1308" t="s">
        <v>802</v>
      </c>
      <c r="AN51" s="1495">
        <f>'Проверочная  таблица'!UV37+BN37+CB37+BD37+'Проверочная  таблица'!OR37+'Проверочная  таблица'!JP37+'Проверочная  таблица'!NJ37+AV37+EZ37+DB37+PZ37+TD37+LV37+KR37+RD37+HP37+GV37+GD37+IN37</f>
        <v>1493581844.1000001</v>
      </c>
      <c r="AO51" s="1495">
        <f>'Проверочная  таблица'!UW37+BO37+CC37+BF37+'Проверочная  таблица'!OV37+'Проверочная  таблица'!JS37+'Проверочная  таблица'!NM37+AX37+FC37+DE37+QC37+TK37+LZ37+KW37+RG37+HS37+GX37+GG37+IQ37</f>
        <v>890840702.81000018</v>
      </c>
      <c r="AP51" s="1086"/>
      <c r="AQ51" s="1086"/>
      <c r="AR51" s="1086"/>
      <c r="AS51" s="1086"/>
      <c r="AT51" s="1086"/>
      <c r="AU51" s="1086"/>
      <c r="AV51" s="1086"/>
      <c r="AW51" s="1086"/>
      <c r="AX51" s="1086"/>
      <c r="AY51" s="1086"/>
      <c r="AZ51" s="1086"/>
      <c r="BA51" s="1086"/>
      <c r="BB51" s="1086"/>
      <c r="BC51" s="1086"/>
      <c r="BD51" s="1086"/>
      <c r="BE51" s="1086"/>
      <c r="BF51" s="1086"/>
      <c r="BG51" s="1086"/>
      <c r="BH51" s="1086"/>
      <c r="BI51" s="1086"/>
      <c r="BJ51" s="1086"/>
      <c r="BK51" s="1086"/>
      <c r="BL51" s="791"/>
      <c r="BM51" s="791"/>
      <c r="BN51" s="791"/>
      <c r="BO51" s="791"/>
      <c r="BP51" s="791"/>
      <c r="BQ51" s="791"/>
      <c r="BR51" s="791"/>
      <c r="BS51" s="791"/>
      <c r="BT51" s="791"/>
      <c r="BU51" s="791"/>
      <c r="BV51" s="791"/>
      <c r="BW51" s="791"/>
      <c r="BX51" s="791"/>
      <c r="BY51" s="791"/>
      <c r="BZ51" s="791"/>
      <c r="CA51" s="791"/>
      <c r="CB51" s="791"/>
      <c r="CC51" s="791"/>
      <c r="CD51" s="791"/>
      <c r="CE51" s="791"/>
      <c r="CF51" s="791"/>
      <c r="CG51" s="791"/>
      <c r="CH51" s="791"/>
      <c r="CI51" s="791"/>
      <c r="CJ51" s="791"/>
      <c r="CK51" s="791"/>
      <c r="CL51" s="791"/>
      <c r="CM51" s="791"/>
      <c r="CN51" s="791"/>
      <c r="CO51" s="791"/>
      <c r="CP51" s="791"/>
      <c r="CQ51" s="791"/>
      <c r="CR51" s="791"/>
      <c r="CS51" s="791"/>
      <c r="CT51" s="791"/>
      <c r="CU51" s="791"/>
      <c r="CV51" s="791"/>
      <c r="CW51" s="791"/>
      <c r="CX51" s="791"/>
      <c r="CY51" s="791"/>
      <c r="CZ51" s="791"/>
      <c r="DA51" s="791"/>
      <c r="DB51" s="791"/>
      <c r="DC51" s="791"/>
      <c r="DD51" s="791"/>
      <c r="DE51" s="791"/>
      <c r="DF51" s="791"/>
      <c r="DG51" s="791"/>
      <c r="DH51" s="791"/>
      <c r="DI51" s="791"/>
      <c r="DJ51" s="791"/>
      <c r="DK51" s="791"/>
      <c r="DL51" s="791"/>
      <c r="DM51" s="791"/>
      <c r="DN51" s="791"/>
      <c r="DO51" s="791"/>
      <c r="DP51" s="791"/>
      <c r="DQ51" s="791"/>
      <c r="DR51" s="791"/>
      <c r="DS51" s="791"/>
      <c r="DT51" s="791"/>
      <c r="DU51" s="791"/>
      <c r="DV51" s="791"/>
      <c r="DW51" s="791"/>
      <c r="DX51" s="791"/>
      <c r="DY51" s="791"/>
      <c r="DZ51" s="1086"/>
      <c r="EA51" s="1086"/>
      <c r="EB51" s="1086"/>
      <c r="EC51" s="1086"/>
      <c r="ED51" s="1086"/>
      <c r="EE51" s="1086"/>
      <c r="EF51" s="791"/>
      <c r="EG51" s="791"/>
      <c r="EH51" s="791"/>
      <c r="EI51" s="791"/>
      <c r="EJ51" s="791"/>
      <c r="EK51" s="791"/>
      <c r="EL51" s="791"/>
      <c r="EM51" s="791"/>
      <c r="EN51" s="791"/>
      <c r="EO51" s="791"/>
      <c r="EP51" s="791"/>
      <c r="EQ51" s="791"/>
      <c r="ER51" s="791"/>
      <c r="ES51" s="791"/>
      <c r="ET51" s="791"/>
      <c r="EU51" s="791"/>
      <c r="EV51" s="791"/>
      <c r="EW51" s="791"/>
      <c r="EX51" s="791"/>
      <c r="EY51" s="791"/>
      <c r="EZ51" s="791"/>
      <c r="FA51" s="791"/>
      <c r="FB51" s="791"/>
      <c r="FC51" s="791"/>
      <c r="FD51" s="791"/>
      <c r="FE51" s="791"/>
      <c r="FF51" s="791"/>
      <c r="FG51" s="791"/>
      <c r="FH51" s="791"/>
      <c r="FI51" s="791"/>
      <c r="FJ51" s="791"/>
      <c r="FK51" s="791"/>
      <c r="FL51" s="791"/>
      <c r="FM51" s="791"/>
      <c r="FN51" s="791"/>
      <c r="FO51" s="791"/>
      <c r="FP51" s="791"/>
      <c r="FQ51" s="791"/>
      <c r="FR51" s="791"/>
      <c r="FS51" s="791"/>
      <c r="FT51" s="791"/>
      <c r="FU51" s="791"/>
      <c r="FV51" s="791"/>
      <c r="FW51" s="791"/>
      <c r="FX51" s="791"/>
      <c r="FY51" s="791"/>
      <c r="FZ51" s="791"/>
      <c r="GA51" s="791"/>
      <c r="GB51" s="791"/>
      <c r="GC51" s="791"/>
      <c r="GD51" s="791"/>
      <c r="GE51" s="791"/>
      <c r="GF51" s="791"/>
      <c r="GG51" s="791"/>
      <c r="GH51" s="791"/>
      <c r="GI51" s="791"/>
      <c r="GJ51" s="791"/>
      <c r="GK51" s="791"/>
      <c r="GL51" s="791"/>
      <c r="GM51" s="791"/>
      <c r="GN51" s="791"/>
      <c r="GO51" s="791"/>
      <c r="GP51" s="791"/>
      <c r="GQ51" s="1086"/>
      <c r="GR51" s="791"/>
      <c r="GS51" s="791"/>
      <c r="GT51" s="791"/>
      <c r="GU51" s="1086"/>
      <c r="GV51" s="1086"/>
      <c r="GW51" s="1086"/>
      <c r="GX51" s="1086"/>
      <c r="GY51" s="1086"/>
      <c r="GZ51" s="1086"/>
      <c r="HA51" s="1086"/>
      <c r="HB51" s="1086"/>
      <c r="HC51" s="1086"/>
      <c r="HD51" s="791"/>
      <c r="HE51" s="791"/>
      <c r="HF51" s="791"/>
      <c r="HG51" s="791"/>
      <c r="HH51" s="791"/>
      <c r="HI51" s="791"/>
      <c r="HJ51" s="791"/>
      <c r="HK51" s="791"/>
      <c r="HL51" s="791"/>
      <c r="HM51" s="791"/>
      <c r="HN51" s="791"/>
      <c r="HO51" s="791"/>
      <c r="HP51" s="791"/>
      <c r="HQ51" s="791"/>
      <c r="HR51" s="791"/>
      <c r="HS51" s="791"/>
      <c r="HT51" s="791"/>
      <c r="HU51" s="791"/>
      <c r="HV51" s="791"/>
      <c r="HW51" s="791"/>
      <c r="HX51" s="791"/>
      <c r="HY51" s="791"/>
      <c r="HZ51" s="791"/>
      <c r="IA51" s="791"/>
      <c r="IB51" s="791"/>
      <c r="IC51" s="791"/>
      <c r="ID51" s="791"/>
      <c r="IE51" s="791"/>
      <c r="IF51" s="791"/>
      <c r="IG51" s="791"/>
      <c r="IH51" s="791"/>
      <c r="II51" s="791"/>
      <c r="IJ51" s="791"/>
      <c r="IK51" s="791"/>
      <c r="IL51" s="791"/>
      <c r="IM51" s="791"/>
      <c r="IN51" s="791"/>
      <c r="IO51" s="791"/>
      <c r="IP51" s="791"/>
      <c r="IQ51" s="791"/>
      <c r="IR51" s="791"/>
      <c r="IS51" s="791"/>
      <c r="IT51" s="791"/>
      <c r="IU51" s="791"/>
      <c r="IV51" s="791"/>
      <c r="IW51" s="791"/>
      <c r="IX51" s="791"/>
      <c r="IY51" s="791"/>
      <c r="IZ51" s="791"/>
      <c r="JA51" s="791"/>
      <c r="JB51" s="791"/>
      <c r="JC51" s="791"/>
      <c r="JD51" s="791"/>
      <c r="JE51" s="791"/>
      <c r="JF51" s="791"/>
      <c r="JG51" s="791"/>
      <c r="JH51" s="791"/>
      <c r="JI51" s="791"/>
      <c r="JJ51" s="1086"/>
      <c r="JK51" s="1086"/>
      <c r="JL51" s="1086"/>
      <c r="JM51" s="1086"/>
      <c r="JN51" s="1086"/>
      <c r="JO51" s="1086"/>
      <c r="JP51" s="1086"/>
      <c r="JQ51" s="1086"/>
      <c r="JR51" s="1086"/>
      <c r="JS51" s="1086"/>
      <c r="JT51" s="1086"/>
      <c r="JU51" s="1086"/>
      <c r="MT51" s="1293"/>
      <c r="MU51" s="1293"/>
      <c r="MV51" s="1293"/>
      <c r="MW51" s="1293"/>
      <c r="MX51" s="1293"/>
      <c r="MY51" s="1293"/>
      <c r="MZ51" s="1293"/>
      <c r="NA51" s="1293"/>
      <c r="NB51" s="1293"/>
      <c r="NC51" s="1293"/>
      <c r="ND51" s="1293"/>
      <c r="NE51" s="1293"/>
      <c r="NF51" s="1293"/>
      <c r="NG51" s="1293"/>
      <c r="NH51" s="1293"/>
      <c r="NI51" s="1293"/>
      <c r="NJ51" s="1293"/>
      <c r="NK51" s="1293"/>
      <c r="NL51" s="1293"/>
      <c r="NM51" s="1293"/>
      <c r="NN51" s="1293"/>
      <c r="NO51" s="1293"/>
      <c r="NP51" s="1296"/>
      <c r="NQ51" s="1296"/>
      <c r="NR51" s="1296"/>
      <c r="NS51" s="1296"/>
      <c r="NT51" s="1296"/>
      <c r="NU51" s="1296"/>
      <c r="NV51" s="1296"/>
      <c r="NW51" s="1296"/>
      <c r="NX51" s="1296"/>
      <c r="NY51" s="1296"/>
      <c r="NZ51" s="1296"/>
      <c r="OA51" s="1296"/>
      <c r="OB51" s="1296"/>
      <c r="OC51" s="1296"/>
      <c r="OD51" s="1296"/>
      <c r="OE51" s="1296"/>
      <c r="OF51" s="1296"/>
      <c r="OG51" s="1296"/>
      <c r="OH51" s="1085"/>
      <c r="OI51" s="1085"/>
      <c r="PZ51" s="1086"/>
      <c r="QA51" s="1086"/>
      <c r="QB51" s="1086"/>
      <c r="QC51" s="1086"/>
      <c r="QD51" s="1086"/>
      <c r="QE51" s="1086"/>
      <c r="QF51" s="1086"/>
      <c r="QG51" s="1086"/>
      <c r="QH51" s="1086"/>
      <c r="QI51" s="1086"/>
      <c r="QJ51" s="1086"/>
      <c r="QK51" s="1086"/>
      <c r="QL51" s="1086"/>
      <c r="QM51" s="1086"/>
      <c r="QN51" s="1086"/>
      <c r="QO51" s="1086"/>
      <c r="QP51" s="1086"/>
      <c r="QQ51" s="1086"/>
      <c r="QR51" s="791"/>
      <c r="QS51" s="791"/>
      <c r="QT51" s="791"/>
      <c r="QU51" s="791"/>
      <c r="QV51" s="791"/>
      <c r="QW51" s="791"/>
      <c r="QX51" s="791"/>
      <c r="QY51" s="791"/>
      <c r="QZ51" s="791"/>
      <c r="RA51" s="791"/>
      <c r="RB51" s="791"/>
      <c r="RC51" s="791"/>
      <c r="RD51" s="791"/>
      <c r="RE51" s="791"/>
      <c r="RF51" s="791"/>
      <c r="RG51" s="791"/>
      <c r="RH51" s="791"/>
      <c r="RI51" s="791"/>
      <c r="RJ51" s="791"/>
      <c r="RK51" s="791"/>
      <c r="RL51" s="791"/>
      <c r="RM51" s="791"/>
      <c r="RN51" s="791"/>
      <c r="RO51" s="791"/>
      <c r="RP51" s="791"/>
      <c r="RQ51" s="791"/>
      <c r="RR51" s="791"/>
      <c r="RS51" s="791"/>
      <c r="RT51" s="791"/>
      <c r="RU51" s="791"/>
      <c r="RV51" s="1086"/>
      <c r="RW51" s="1086"/>
      <c r="RX51" s="1086"/>
      <c r="RY51" s="1086"/>
      <c r="RZ51" s="1086"/>
      <c r="SA51" s="1086"/>
      <c r="SB51" s="1086"/>
      <c r="SC51" s="1086"/>
      <c r="SD51" s="1086"/>
      <c r="SE51" s="1086"/>
      <c r="SF51" s="1086"/>
      <c r="SG51" s="1086"/>
      <c r="SH51" s="1086"/>
      <c r="SI51" s="1086"/>
      <c r="SJ51" s="1086"/>
      <c r="SK51" s="1086"/>
      <c r="SL51" s="1086"/>
      <c r="SM51" s="1086"/>
      <c r="SN51" s="1086"/>
      <c r="SO51" s="1086"/>
      <c r="SP51" s="1086"/>
      <c r="SQ51" s="1086"/>
      <c r="SR51" s="1086"/>
      <c r="SS51" s="1086"/>
      <c r="ST51" s="1086"/>
      <c r="SU51" s="1086"/>
      <c r="SV51" s="1086"/>
      <c r="SW51" s="1086"/>
      <c r="SX51" s="1086"/>
      <c r="SY51" s="1086"/>
      <c r="SZ51" s="1086"/>
      <c r="TA51" s="1086"/>
      <c r="TB51" s="1086"/>
      <c r="TC51" s="1086"/>
      <c r="TD51" s="1086"/>
      <c r="TE51" s="1086"/>
      <c r="TF51" s="1086"/>
      <c r="TG51" s="1086"/>
      <c r="TH51" s="1086"/>
      <c r="TI51" s="1086"/>
      <c r="TJ51" s="1086"/>
      <c r="TK51" s="1086"/>
      <c r="TL51" s="1086"/>
      <c r="TM51" s="1086"/>
      <c r="TN51" s="1086"/>
      <c r="TO51" s="1086"/>
      <c r="TP51" s="1086"/>
      <c r="TQ51" s="1086"/>
      <c r="TR51" s="1086"/>
      <c r="TS51" s="1086"/>
      <c r="TT51" s="1086"/>
      <c r="TU51" s="1086"/>
      <c r="TV51" s="1086"/>
      <c r="TW51" s="1086"/>
      <c r="TX51" s="1086"/>
      <c r="TY51" s="1086"/>
      <c r="TZ51" s="1086"/>
      <c r="UA51" s="1086"/>
      <c r="UB51" s="1086"/>
      <c r="UC51" s="1086"/>
      <c r="UD51" s="1086"/>
      <c r="UE51" s="1086"/>
      <c r="UF51" s="1086"/>
      <c r="UG51" s="1086"/>
      <c r="UH51" s="1086"/>
      <c r="UI51" s="1086"/>
      <c r="UJ51" s="1086"/>
      <c r="UK51" s="1086"/>
      <c r="UL51" s="1086"/>
      <c r="UM51" s="1086"/>
      <c r="UN51" s="1086"/>
      <c r="UO51" s="1086"/>
      <c r="UP51" s="1086"/>
      <c r="UQ51" s="1086"/>
      <c r="UR51" s="1086"/>
      <c r="US51" s="1086"/>
      <c r="UT51" s="791"/>
      <c r="UU51" s="791"/>
      <c r="UV51" s="791"/>
      <c r="UW51" s="791"/>
      <c r="UX51" s="1293"/>
      <c r="UY51" s="1293"/>
      <c r="UZ51" s="1293"/>
      <c r="VA51" s="1293"/>
      <c r="VB51" s="1495">
        <f>'Проверочная  таблица'!VN30</f>
        <v>36969300</v>
      </c>
      <c r="VC51" s="1496"/>
      <c r="VD51" s="1496"/>
      <c r="VE51" s="1495">
        <f>'Проверочная  таблица'!VO30</f>
        <v>22695174.790000003</v>
      </c>
      <c r="VF51" s="791"/>
      <c r="VG51" s="791"/>
      <c r="VH51" s="791"/>
      <c r="VI51" s="791"/>
      <c r="VJ51" s="791"/>
      <c r="VK51" s="791"/>
      <c r="VL51" s="791"/>
      <c r="VM51" s="791"/>
      <c r="VN51" s="791"/>
      <c r="VO51" s="791"/>
      <c r="VP51" s="791"/>
      <c r="VQ51" s="791"/>
      <c r="VR51" s="791"/>
      <c r="VS51" s="791"/>
      <c r="VT51" s="791"/>
      <c r="VU51" s="791"/>
      <c r="VV51" s="791"/>
      <c r="VW51" s="791"/>
      <c r="VX51" s="791"/>
      <c r="VY51" s="791"/>
      <c r="VZ51" s="791"/>
      <c r="WA51" s="791"/>
      <c r="WB51" s="791"/>
      <c r="WC51" s="791"/>
      <c r="WD51" s="791"/>
      <c r="WE51" s="791"/>
      <c r="WF51" s="791"/>
      <c r="WG51" s="791"/>
      <c r="WH51" s="791"/>
      <c r="WI51" s="791"/>
      <c r="WJ51" s="1493">
        <f>YR37+XN37</f>
        <v>717086510.90999985</v>
      </c>
      <c r="WK51" s="1493">
        <f>YX37+XP37</f>
        <v>389238733.95999992</v>
      </c>
      <c r="WL51" s="1086"/>
      <c r="WM51" s="1086"/>
      <c r="WN51" s="1086"/>
      <c r="WO51" s="1086"/>
      <c r="WP51" s="1086"/>
      <c r="WQ51" s="1086"/>
      <c r="WR51" s="1086"/>
      <c r="WS51" s="1086"/>
      <c r="WT51" s="1086"/>
      <c r="WU51" s="1086"/>
      <c r="WV51" s="1086"/>
      <c r="WW51" s="1086"/>
      <c r="WX51" s="1089"/>
      <c r="WY51" s="1089"/>
      <c r="WZ51" s="1089"/>
      <c r="XA51" s="1494"/>
      <c r="XB51" s="1494"/>
      <c r="XC51" s="1494"/>
      <c r="XD51" s="1089"/>
      <c r="XE51" s="1089"/>
      <c r="XF51" s="1089"/>
      <c r="XG51" s="1089"/>
      <c r="XH51" s="1089"/>
      <c r="XI51" s="1089"/>
      <c r="XJ51" s="1089"/>
      <c r="XK51" s="1089"/>
      <c r="XL51" s="1089"/>
      <c r="XM51" s="1089"/>
      <c r="XN51" s="1089"/>
      <c r="XO51" s="1089"/>
      <c r="XP51" s="1089"/>
      <c r="XQ51" s="1089"/>
      <c r="XR51" s="1089"/>
      <c r="XS51" s="1089"/>
      <c r="XT51" s="1089"/>
      <c r="XU51" s="1089"/>
      <c r="XV51" s="1293"/>
      <c r="XW51" s="1293"/>
      <c r="XX51" s="1293"/>
      <c r="XY51" s="1293"/>
      <c r="XZ51" s="1293"/>
      <c r="YA51" s="1293"/>
      <c r="YB51" s="1293"/>
      <c r="YC51" s="1293"/>
      <c r="YD51" s="1293"/>
      <c r="YE51" s="1293"/>
      <c r="YF51" s="1293"/>
      <c r="YG51" s="1293"/>
      <c r="YH51" s="1293"/>
      <c r="YI51" s="1293"/>
      <c r="YJ51" s="1293"/>
      <c r="YK51" s="1293"/>
      <c r="YL51" s="1293"/>
      <c r="YM51" s="1293"/>
      <c r="YN51" s="1293"/>
      <c r="YO51" s="1293"/>
      <c r="YP51" s="1293"/>
      <c r="YQ51" s="1293"/>
      <c r="YR51" s="1293"/>
      <c r="YS51" s="1293"/>
      <c r="YT51" s="1293"/>
      <c r="YU51" s="1293"/>
      <c r="YV51" s="1293"/>
      <c r="YW51" s="1293"/>
      <c r="YX51" s="1293"/>
      <c r="YY51" s="1293"/>
      <c r="YZ51" s="1293"/>
      <c r="ZA51" s="1293"/>
      <c r="ZB51" s="1293"/>
      <c r="ZC51" s="1293"/>
      <c r="ZD51" s="1293"/>
      <c r="ZE51" s="1293"/>
      <c r="ZF51" s="1293"/>
      <c r="ZG51" s="1293"/>
      <c r="ZH51" s="1293"/>
      <c r="ZI51" s="1293"/>
      <c r="ZJ51" s="1293"/>
      <c r="ZK51" s="1293"/>
      <c r="ZL51" s="1293"/>
      <c r="ZM51" s="1293"/>
      <c r="ZN51" s="1293"/>
      <c r="ZO51" s="1293"/>
      <c r="ZP51" s="1293"/>
      <c r="ZQ51" s="1293"/>
      <c r="ZR51" s="1293"/>
      <c r="ZS51" s="1293"/>
      <c r="ZT51" s="1293"/>
      <c r="ZU51" s="1293"/>
      <c r="ZV51" s="1293"/>
      <c r="ZW51" s="1293"/>
      <c r="ZX51" s="1293"/>
      <c r="ZY51" s="1293"/>
      <c r="ZZ51" s="1293"/>
      <c r="AAA51" s="1293"/>
      <c r="AAB51" s="1293"/>
      <c r="AAC51" s="1293"/>
      <c r="AAD51" s="1293"/>
      <c r="AAE51" s="1293"/>
      <c r="AAF51" s="1293"/>
      <c r="AAG51" s="1293"/>
      <c r="AAH51" s="1293"/>
      <c r="AAI51" s="1293"/>
      <c r="AAJ51" s="1293"/>
      <c r="AAK51" s="1293"/>
      <c r="AAL51" s="1293"/>
      <c r="AAM51" s="1293"/>
      <c r="AAN51" s="1293"/>
      <c r="AAO51" s="1293"/>
      <c r="AAP51" s="1293"/>
      <c r="AAQ51" s="1293"/>
      <c r="AAR51" s="1293"/>
      <c r="AAS51" s="1293"/>
      <c r="AAT51" s="1293"/>
      <c r="AAU51" s="1293"/>
    </row>
    <row r="52" spans="1:723" ht="16.5" x14ac:dyDescent="0.25">
      <c r="A52" s="1308" t="s">
        <v>267</v>
      </c>
      <c r="B52" s="1492">
        <f>D52+AN52+'Проверочная  таблица'!VB52+'Проверочная  таблица'!WJ52</f>
        <v>2153616605.8299999</v>
      </c>
      <c r="C52" s="1492">
        <f>E52+'Проверочная  таблица'!VE52+AO52+'Проверочная  таблица'!WK52</f>
        <v>1419714172.5899999</v>
      </c>
      <c r="D52" s="1495">
        <f>L37+T37+AL37</f>
        <v>703762055.46000004</v>
      </c>
      <c r="E52" s="1495">
        <f>M37+U37+AM37</f>
        <v>501024105</v>
      </c>
      <c r="F52" s="791"/>
      <c r="G52" s="791"/>
      <c r="H52" s="791"/>
      <c r="I52" s="791"/>
      <c r="J52" s="791"/>
      <c r="K52" s="791"/>
      <c r="L52" s="791"/>
      <c r="M52" s="791"/>
      <c r="N52" s="791"/>
      <c r="O52" s="791"/>
      <c r="P52" s="791"/>
      <c r="Q52" s="791"/>
      <c r="R52" s="791"/>
      <c r="S52" s="791"/>
      <c r="T52" s="791"/>
      <c r="U52" s="791"/>
      <c r="V52" s="1293"/>
      <c r="W52" s="1293"/>
      <c r="X52" s="1293"/>
      <c r="Y52" s="1293"/>
      <c r="Z52" s="791"/>
      <c r="AA52" s="791"/>
      <c r="AB52" s="791"/>
      <c r="AC52" s="791"/>
      <c r="AD52" s="1293"/>
      <c r="AE52" s="1293"/>
      <c r="AF52" s="1293"/>
      <c r="AG52" s="791"/>
      <c r="AH52" s="1293"/>
      <c r="AI52" s="1293"/>
      <c r="AJ52" s="1293"/>
      <c r="AK52" s="1293"/>
      <c r="AL52" s="1293"/>
      <c r="AM52" s="1308" t="s">
        <v>267</v>
      </c>
      <c r="AN52" s="1495">
        <f>BR37+CF37+BJ37+'Проверочная  таблица'!UZ37+'Проверочная  таблица'!KB37+'Проверочная  таблица'!NV37+PH37+FL37+DJ37+QL37+UF37+ML37+LH37+RP37+IB37+HB37+GL37+IV37</f>
        <v>1123848442.52</v>
      </c>
      <c r="AO52" s="1495">
        <f>BS37+CG37+BK37+'Проверочная  таблица'!VA37+'Проверочная  таблица'!KE37+'Проверочная  таблица'!NY37+PL37+FO37+DK37+QO37+UM37+MP37+LK37+RS37+IE37+HC37+GM37+IW37</f>
        <v>694325548.99000001</v>
      </c>
      <c r="AP52" s="1086"/>
      <c r="AQ52" s="1086"/>
      <c r="AR52" s="1086"/>
      <c r="AS52" s="1086"/>
      <c r="AT52" s="1086"/>
      <c r="AU52" s="1086"/>
      <c r="AV52" s="1086"/>
      <c r="AW52" s="1086"/>
      <c r="AX52" s="1086"/>
      <c r="AY52" s="1086"/>
      <c r="AZ52" s="1086"/>
      <c r="BA52" s="1086"/>
      <c r="BB52" s="1086"/>
      <c r="BC52" s="1086"/>
      <c r="BD52" s="1086"/>
      <c r="BE52" s="1086"/>
      <c r="BF52" s="1086"/>
      <c r="BG52" s="1086"/>
      <c r="BH52" s="1086"/>
      <c r="BI52" s="1086"/>
      <c r="BJ52" s="1086"/>
      <c r="BK52" s="1086"/>
      <c r="BL52" s="791"/>
      <c r="BM52" s="791"/>
      <c r="BN52" s="791"/>
      <c r="BO52" s="791"/>
      <c r="BP52" s="791"/>
      <c r="BQ52" s="791"/>
      <c r="BR52" s="791"/>
      <c r="BS52" s="791"/>
      <c r="BT52" s="791"/>
      <c r="BU52" s="791"/>
      <c r="BV52" s="791"/>
      <c r="BW52" s="791"/>
      <c r="BX52" s="791"/>
      <c r="BY52" s="791"/>
      <c r="BZ52" s="791"/>
      <c r="CA52" s="791"/>
      <c r="CB52" s="791"/>
      <c r="CC52" s="791"/>
      <c r="CD52" s="791"/>
      <c r="CE52" s="791"/>
      <c r="CF52" s="791"/>
      <c r="CG52" s="791"/>
      <c r="CH52" s="791"/>
      <c r="CI52" s="791"/>
      <c r="CJ52" s="791"/>
      <c r="CK52" s="791"/>
      <c r="CL52" s="791"/>
      <c r="CM52" s="791"/>
      <c r="CN52" s="791"/>
      <c r="CO52" s="791"/>
      <c r="CP52" s="791"/>
      <c r="CQ52" s="791"/>
      <c r="CR52" s="791"/>
      <c r="CS52" s="791"/>
      <c r="CT52" s="791"/>
      <c r="CU52" s="791"/>
      <c r="CV52" s="791"/>
      <c r="CW52" s="791"/>
      <c r="CX52" s="791"/>
      <c r="CY52" s="791"/>
      <c r="CZ52" s="791"/>
      <c r="DA52" s="791"/>
      <c r="DB52" s="791"/>
      <c r="DC52" s="791"/>
      <c r="DD52" s="791"/>
      <c r="DE52" s="791"/>
      <c r="DF52" s="791"/>
      <c r="DG52" s="791"/>
      <c r="DH52" s="791"/>
      <c r="DI52" s="791"/>
      <c r="DJ52" s="791"/>
      <c r="DK52" s="791"/>
      <c r="DL52" s="791"/>
      <c r="DM52" s="791"/>
      <c r="DN52" s="791"/>
      <c r="DO52" s="791"/>
      <c r="DP52" s="791"/>
      <c r="DQ52" s="791"/>
      <c r="DR52" s="791"/>
      <c r="DS52" s="791"/>
      <c r="DT52" s="791"/>
      <c r="DU52" s="791"/>
      <c r="DV52" s="791"/>
      <c r="DW52" s="791"/>
      <c r="DX52" s="791"/>
      <c r="DY52" s="791"/>
      <c r="DZ52" s="1086"/>
      <c r="EA52" s="1086"/>
      <c r="EB52" s="1086"/>
      <c r="EC52" s="1086"/>
      <c r="ED52" s="1086"/>
      <c r="EE52" s="1086"/>
      <c r="EF52" s="791"/>
      <c r="EG52" s="791"/>
      <c r="EH52" s="791"/>
      <c r="EI52" s="791"/>
      <c r="EJ52" s="791"/>
      <c r="EK52" s="791"/>
      <c r="EL52" s="791"/>
      <c r="EM52" s="791"/>
      <c r="EN52" s="791"/>
      <c r="EO52" s="791"/>
      <c r="EP52" s="791"/>
      <c r="EQ52" s="791"/>
      <c r="ER52" s="791"/>
      <c r="ES52" s="791"/>
      <c r="ET52" s="791"/>
      <c r="EU52" s="791"/>
      <c r="EV52" s="791"/>
      <c r="EW52" s="791"/>
      <c r="EX52" s="791"/>
      <c r="EY52" s="791"/>
      <c r="EZ52" s="791"/>
      <c r="FA52" s="791"/>
      <c r="FB52" s="791"/>
      <c r="FC52" s="791"/>
      <c r="FD52" s="791"/>
      <c r="FE52" s="791"/>
      <c r="FF52" s="791"/>
      <c r="FG52" s="791"/>
      <c r="FH52" s="791"/>
      <c r="FI52" s="791"/>
      <c r="FJ52" s="791"/>
      <c r="FK52" s="791"/>
      <c r="FL52" s="791"/>
      <c r="FM52" s="791"/>
      <c r="FN52" s="791"/>
      <c r="FO52" s="791"/>
      <c r="FP52" s="791"/>
      <c r="FQ52" s="791"/>
      <c r="FR52" s="791"/>
      <c r="FS52" s="791"/>
      <c r="FT52" s="791"/>
      <c r="FU52" s="791"/>
      <c r="FV52" s="791"/>
      <c r="FW52" s="791"/>
      <c r="FX52" s="791"/>
      <c r="FY52" s="791"/>
      <c r="FZ52" s="791"/>
      <c r="GA52" s="791"/>
      <c r="GB52" s="791"/>
      <c r="GC52" s="791"/>
      <c r="GD52" s="791"/>
      <c r="GE52" s="791"/>
      <c r="GF52" s="791"/>
      <c r="GG52" s="791"/>
      <c r="GH52" s="791"/>
      <c r="GI52" s="791"/>
      <c r="GJ52" s="791"/>
      <c r="GK52" s="791"/>
      <c r="GL52" s="791"/>
      <c r="GM52" s="791"/>
      <c r="GN52" s="791"/>
      <c r="GO52" s="791"/>
      <c r="GP52" s="791"/>
      <c r="GQ52" s="1086"/>
      <c r="GR52" s="791"/>
      <c r="GS52" s="791"/>
      <c r="GT52" s="791"/>
      <c r="GU52" s="1086"/>
      <c r="GV52" s="1086"/>
      <c r="GW52" s="1086"/>
      <c r="GX52" s="1086"/>
      <c r="GY52" s="1086"/>
      <c r="GZ52" s="1086"/>
      <c r="HA52" s="1086"/>
      <c r="HB52" s="1086"/>
      <c r="HC52" s="1086"/>
      <c r="HD52" s="791"/>
      <c r="HE52" s="791"/>
      <c r="HF52" s="791"/>
      <c r="HG52" s="791"/>
      <c r="HH52" s="791"/>
      <c r="HI52" s="791"/>
      <c r="HJ52" s="791"/>
      <c r="HK52" s="791"/>
      <c r="HL52" s="791"/>
      <c r="HM52" s="791"/>
      <c r="HN52" s="791"/>
      <c r="HO52" s="791"/>
      <c r="HP52" s="791"/>
      <c r="HQ52" s="791"/>
      <c r="HR52" s="791"/>
      <c r="HS52" s="791"/>
      <c r="HT52" s="791"/>
      <c r="HU52" s="791"/>
      <c r="HV52" s="791"/>
      <c r="HW52" s="791"/>
      <c r="HX52" s="791"/>
      <c r="HY52" s="791"/>
      <c r="HZ52" s="791"/>
      <c r="IA52" s="791"/>
      <c r="IB52" s="791"/>
      <c r="IC52" s="791"/>
      <c r="ID52" s="791"/>
      <c r="IE52" s="791"/>
      <c r="IF52" s="791"/>
      <c r="IG52" s="791"/>
      <c r="IH52" s="791"/>
      <c r="II52" s="791"/>
      <c r="IJ52" s="791"/>
      <c r="IK52" s="791"/>
      <c r="IL52" s="791"/>
      <c r="IM52" s="791"/>
      <c r="IN52" s="791"/>
      <c r="IO52" s="791"/>
      <c r="IP52" s="791"/>
      <c r="IQ52" s="791"/>
      <c r="IR52" s="791"/>
      <c r="IS52" s="791"/>
      <c r="IT52" s="791"/>
      <c r="IU52" s="791"/>
      <c r="IV52" s="791"/>
      <c r="IW52" s="791"/>
      <c r="IX52" s="791"/>
      <c r="IY52" s="791"/>
      <c r="IZ52" s="791"/>
      <c r="JA52" s="791"/>
      <c r="JB52" s="791"/>
      <c r="JC52" s="791"/>
      <c r="JD52" s="791"/>
      <c r="JE52" s="791"/>
      <c r="JF52" s="791"/>
      <c r="JG52" s="791"/>
      <c r="JH52" s="791"/>
      <c r="JI52" s="791"/>
      <c r="JJ52" s="1086"/>
      <c r="JK52" s="1086"/>
      <c r="JL52" s="1086"/>
      <c r="JM52" s="1086"/>
      <c r="JN52" s="1086"/>
      <c r="JO52" s="1086"/>
      <c r="JP52" s="1086"/>
      <c r="JQ52" s="1086"/>
      <c r="JR52" s="1086"/>
      <c r="JS52" s="1086"/>
      <c r="JT52" s="1086"/>
      <c r="JU52" s="1086"/>
      <c r="MT52" s="1293"/>
      <c r="MU52" s="1293"/>
      <c r="MV52" s="1293"/>
      <c r="MW52" s="1293"/>
      <c r="MX52" s="1293"/>
      <c r="MY52" s="1293"/>
      <c r="MZ52" s="1293"/>
      <c r="NA52" s="1293"/>
      <c r="NB52" s="1293"/>
      <c r="NC52" s="1293"/>
      <c r="ND52" s="1293"/>
      <c r="NE52" s="1293"/>
      <c r="NF52" s="1293"/>
      <c r="NG52" s="1293"/>
      <c r="NH52" s="1293"/>
      <c r="NI52" s="1293"/>
      <c r="NJ52" s="1293"/>
      <c r="NK52" s="1293"/>
      <c r="NL52" s="1293"/>
      <c r="NM52" s="1293"/>
      <c r="NN52" s="1293"/>
      <c r="NO52" s="1293"/>
      <c r="NP52" s="1089"/>
      <c r="NQ52" s="1089"/>
      <c r="NR52" s="1089"/>
      <c r="NS52" s="1089"/>
      <c r="NT52" s="1089"/>
      <c r="NU52" s="1089"/>
      <c r="NV52" s="1089"/>
      <c r="NW52" s="1089"/>
      <c r="NX52" s="1089"/>
      <c r="NY52" s="1089"/>
      <c r="NZ52" s="1089"/>
      <c r="OA52" s="1089"/>
      <c r="OB52" s="1101"/>
      <c r="OC52" s="1101"/>
      <c r="OD52" s="1101"/>
      <c r="OE52" s="1101"/>
      <c r="OF52" s="1101"/>
      <c r="OG52" s="791"/>
      <c r="PZ52" s="1086"/>
      <c r="QA52" s="1086"/>
      <c r="QB52" s="1086"/>
      <c r="QC52" s="1086"/>
      <c r="QD52" s="1086"/>
      <c r="QE52" s="1086"/>
      <c r="QF52" s="1086"/>
      <c r="QG52" s="1086"/>
      <c r="QH52" s="1086"/>
      <c r="QI52" s="1086"/>
      <c r="QJ52" s="1086"/>
      <c r="QK52" s="1086"/>
      <c r="QL52" s="1086"/>
      <c r="QM52" s="1086"/>
      <c r="QN52" s="1086"/>
      <c r="QO52" s="1086"/>
      <c r="QP52" s="1086"/>
      <c r="QQ52" s="1086"/>
      <c r="QR52" s="791"/>
      <c r="QS52" s="791"/>
      <c r="QT52" s="791"/>
      <c r="QU52" s="791"/>
      <c r="QV52" s="791"/>
      <c r="QW52" s="791"/>
      <c r="QX52" s="791"/>
      <c r="QY52" s="791"/>
      <c r="QZ52" s="791"/>
      <c r="RA52" s="791"/>
      <c r="RB52" s="791"/>
      <c r="RC52" s="791"/>
      <c r="RD52" s="791"/>
      <c r="RE52" s="791"/>
      <c r="RF52" s="791"/>
      <c r="RG52" s="791"/>
      <c r="RH52" s="791"/>
      <c r="RI52" s="791"/>
      <c r="RJ52" s="791"/>
      <c r="RK52" s="791"/>
      <c r="RL52" s="791"/>
      <c r="RM52" s="791"/>
      <c r="RN52" s="791"/>
      <c r="RO52" s="791"/>
      <c r="RP52" s="791"/>
      <c r="RQ52" s="791"/>
      <c r="RR52" s="791"/>
      <c r="RS52" s="791"/>
      <c r="RT52" s="791"/>
      <c r="RU52" s="791"/>
      <c r="RV52" s="1086"/>
      <c r="RW52" s="1086"/>
      <c r="RX52" s="1086"/>
      <c r="RY52" s="1086"/>
      <c r="RZ52" s="1086"/>
      <c r="SA52" s="1086"/>
      <c r="SB52" s="1086"/>
      <c r="SC52" s="1086"/>
      <c r="SD52" s="1086"/>
      <c r="SE52" s="1086"/>
      <c r="SF52" s="1086"/>
      <c r="SG52" s="1086"/>
      <c r="SH52" s="1086"/>
      <c r="SI52" s="1086"/>
      <c r="SJ52" s="1086"/>
      <c r="SK52" s="1086"/>
      <c r="SL52" s="1086"/>
      <c r="SM52" s="1086"/>
      <c r="SN52" s="1086"/>
      <c r="SO52" s="1086"/>
      <c r="SP52" s="1086"/>
      <c r="SQ52" s="1086"/>
      <c r="SR52" s="1086"/>
      <c r="SS52" s="1086"/>
      <c r="ST52" s="1086"/>
      <c r="SU52" s="1086"/>
      <c r="SV52" s="1086"/>
      <c r="SW52" s="1086"/>
      <c r="SX52" s="1086"/>
      <c r="SY52" s="1086"/>
      <c r="SZ52" s="1086"/>
      <c r="TA52" s="1086"/>
      <c r="TB52" s="1086"/>
      <c r="TC52" s="1086"/>
      <c r="TD52" s="1086"/>
      <c r="TE52" s="1086"/>
      <c r="TF52" s="1086"/>
      <c r="TG52" s="1086"/>
      <c r="TH52" s="1086"/>
      <c r="TI52" s="1086"/>
      <c r="TJ52" s="1086"/>
      <c r="TK52" s="1086"/>
      <c r="TL52" s="1086"/>
      <c r="TM52" s="1086"/>
      <c r="TN52" s="1086"/>
      <c r="TO52" s="1086"/>
      <c r="TP52" s="1086"/>
      <c r="TQ52" s="1086"/>
      <c r="TR52" s="1086"/>
      <c r="TS52" s="1086"/>
      <c r="TT52" s="1086"/>
      <c r="TU52" s="1086"/>
      <c r="TV52" s="1086"/>
      <c r="TW52" s="1086"/>
      <c r="TX52" s="1086"/>
      <c r="TY52" s="1086"/>
      <c r="TZ52" s="1086"/>
      <c r="UA52" s="1086"/>
      <c r="UB52" s="1086"/>
      <c r="UC52" s="1086"/>
      <c r="UD52" s="1086"/>
      <c r="UE52" s="1086"/>
      <c r="UF52" s="1086"/>
      <c r="UG52" s="1086"/>
      <c r="UH52" s="1086"/>
      <c r="UI52" s="1086"/>
      <c r="UJ52" s="1086"/>
      <c r="UK52" s="1086"/>
      <c r="UL52" s="1086"/>
      <c r="UM52" s="1086"/>
      <c r="UN52" s="1086"/>
      <c r="UO52" s="1086"/>
      <c r="UP52" s="1086"/>
      <c r="UQ52" s="1086"/>
      <c r="UR52" s="1086"/>
      <c r="US52" s="1086"/>
      <c r="UT52" s="791"/>
      <c r="UU52" s="791"/>
      <c r="UV52" s="791"/>
      <c r="UW52" s="791"/>
      <c r="UX52" s="1293"/>
      <c r="UY52" s="1293"/>
      <c r="UZ52" s="1293"/>
      <c r="VA52" s="1293"/>
      <c r="VB52" s="1495"/>
      <c r="VC52" s="1495">
        <f>'Проверочная  таблица'!WG37</f>
        <v>41612638.960000008</v>
      </c>
      <c r="VD52" s="1496"/>
      <c r="VE52" s="1495"/>
      <c r="VF52" s="1086">
        <f>'Проверочная  таблица'!VP37</f>
        <v>63100</v>
      </c>
      <c r="VG52" s="791"/>
      <c r="VH52" s="791"/>
      <c r="VI52" s="791"/>
      <c r="VJ52" s="791"/>
      <c r="VK52" s="791"/>
      <c r="VL52" s="791"/>
      <c r="VM52" s="791"/>
      <c r="VN52" s="791"/>
      <c r="VO52" s="791"/>
      <c r="VP52" s="791"/>
      <c r="VQ52" s="791"/>
      <c r="VR52" s="791"/>
      <c r="VS52" s="791"/>
      <c r="VT52" s="791"/>
      <c r="VU52" s="791"/>
      <c r="VV52" s="791"/>
      <c r="VW52" s="791"/>
      <c r="VX52" s="791"/>
      <c r="VY52" s="791"/>
      <c r="VZ52" s="791"/>
      <c r="WA52" s="791"/>
      <c r="WB52" s="791"/>
      <c r="WC52" s="791"/>
      <c r="WD52" s="791"/>
      <c r="WE52" s="791"/>
      <c r="WF52" s="791"/>
      <c r="WG52" s="791"/>
      <c r="WH52" s="791"/>
      <c r="WI52" s="791"/>
      <c r="WJ52" s="1495">
        <f>ZP37+XT37</f>
        <v>326006107.84999996</v>
      </c>
      <c r="WK52" s="1495">
        <f>ZV37+XU37</f>
        <v>224364518.59999996</v>
      </c>
      <c r="WL52" s="1086"/>
      <c r="WM52" s="1086"/>
      <c r="WN52" s="1086"/>
      <c r="WO52" s="1086"/>
      <c r="WP52" s="1086"/>
      <c r="WQ52" s="1086"/>
      <c r="WR52" s="1086"/>
      <c r="WS52" s="1086"/>
      <c r="WT52" s="1086"/>
      <c r="WU52" s="1086"/>
      <c r="WV52" s="1086"/>
      <c r="WW52" s="1086"/>
      <c r="WX52" s="1086"/>
      <c r="WY52" s="1086"/>
      <c r="WZ52" s="1086"/>
      <c r="XA52" s="1497"/>
      <c r="XB52" s="1497"/>
      <c r="XC52" s="1497"/>
      <c r="XD52" s="1089"/>
      <c r="XE52" s="1089"/>
      <c r="XF52" s="1089"/>
      <c r="XG52" s="1089"/>
      <c r="XH52" s="1086"/>
      <c r="XI52" s="1086"/>
      <c r="XJ52" s="1086"/>
      <c r="XK52" s="1086"/>
      <c r="XL52" s="1086"/>
      <c r="XM52" s="1086"/>
      <c r="XN52" s="1086"/>
      <c r="XO52" s="1086"/>
      <c r="XP52" s="1086"/>
      <c r="XQ52" s="1086"/>
      <c r="XR52" s="1086"/>
      <c r="XS52" s="1086"/>
      <c r="XT52" s="1086"/>
      <c r="XU52" s="1086"/>
      <c r="XV52" s="1293"/>
      <c r="XW52" s="1293"/>
      <c r="XX52" s="1293"/>
      <c r="XY52" s="1293"/>
      <c r="XZ52" s="1293"/>
      <c r="YA52" s="1293"/>
      <c r="YB52" s="1293"/>
      <c r="YC52" s="1293"/>
      <c r="YD52" s="1293"/>
      <c r="YE52" s="1293"/>
      <c r="YF52" s="1293"/>
      <c r="YG52" s="1293"/>
      <c r="YH52" s="1293"/>
      <c r="YI52" s="1293"/>
      <c r="YJ52" s="1293"/>
      <c r="YK52" s="1293"/>
      <c r="YL52" s="1293"/>
      <c r="YM52" s="1293"/>
      <c r="YN52" s="1293"/>
      <c r="YO52" s="1293"/>
      <c r="YP52" s="1293"/>
      <c r="YQ52" s="1293"/>
      <c r="YR52" s="1293"/>
      <c r="YS52" s="1293"/>
      <c r="YT52" s="1293"/>
      <c r="YU52" s="1293"/>
      <c r="YV52" s="1293"/>
      <c r="YW52" s="1293"/>
      <c r="YX52" s="1293"/>
      <c r="YY52" s="1293"/>
      <c r="YZ52" s="1293"/>
      <c r="ZA52" s="1293"/>
      <c r="ZB52" s="1293"/>
      <c r="ZC52" s="1293"/>
      <c r="ZD52" s="1293"/>
      <c r="ZE52" s="1293"/>
      <c r="ZF52" s="1293"/>
      <c r="ZG52" s="1293"/>
      <c r="ZH52" s="1293"/>
      <c r="ZI52" s="1293"/>
      <c r="ZJ52" s="1293"/>
      <c r="ZK52" s="1293"/>
      <c r="ZL52" s="1293"/>
      <c r="ZM52" s="1293"/>
      <c r="ZN52" s="1293"/>
      <c r="ZO52" s="1293"/>
      <c r="ZP52" s="1293"/>
      <c r="ZQ52" s="1293"/>
      <c r="ZR52" s="1293"/>
      <c r="ZS52" s="1293"/>
      <c r="ZT52" s="1293"/>
      <c r="ZU52" s="1293"/>
      <c r="ZV52" s="1293"/>
      <c r="ZW52" s="1293"/>
      <c r="ZX52" s="1293"/>
      <c r="ZY52" s="1293"/>
      <c r="ZZ52" s="1293"/>
      <c r="AAA52" s="1293"/>
      <c r="AAB52" s="791"/>
      <c r="AAC52" s="791"/>
      <c r="AAD52" s="791"/>
      <c r="AAE52" s="791"/>
      <c r="AAF52" s="791"/>
      <c r="AAG52" s="791"/>
      <c r="AAH52" s="791"/>
      <c r="AAI52" s="791"/>
      <c r="AAJ52" s="791"/>
      <c r="AAK52" s="791"/>
      <c r="AAL52" s="791"/>
      <c r="AAM52" s="791"/>
      <c r="AAN52" s="791"/>
      <c r="AAO52" s="791"/>
      <c r="AAP52" s="791"/>
      <c r="AAQ52" s="791"/>
      <c r="AAR52" s="791"/>
      <c r="AAS52" s="791"/>
      <c r="AAT52" s="791"/>
      <c r="AAU52" s="791"/>
    </row>
    <row r="53" spans="1:723" ht="16.5" x14ac:dyDescent="0.25">
      <c r="A53" s="1308" t="s">
        <v>266</v>
      </c>
      <c r="B53" s="1492">
        <f>D53+AN53+'Проверочная  таблица'!VB53+'Проверочная  таблица'!WJ53</f>
        <v>1888468271.72</v>
      </c>
      <c r="C53" s="1492">
        <f>E53+'Проверочная  таблица'!VE53+AO53+'Проверочная  таблица'!WK53</f>
        <v>1146660844.5600002</v>
      </c>
      <c r="D53" s="1495">
        <f>D51-D52</f>
        <v>1090685167.0799999</v>
      </c>
      <c r="E53" s="1495">
        <f>E51-E52</f>
        <v>762576300.59000015</v>
      </c>
      <c r="F53" s="791"/>
      <c r="G53" s="791"/>
      <c r="H53" s="791"/>
      <c r="I53" s="791"/>
      <c r="J53" s="791"/>
      <c r="K53" s="791"/>
      <c r="L53" s="791"/>
      <c r="M53" s="791"/>
      <c r="N53" s="791"/>
      <c r="O53" s="791"/>
      <c r="P53" s="791"/>
      <c r="Q53" s="791"/>
      <c r="R53" s="791"/>
      <c r="S53" s="791"/>
      <c r="T53" s="791"/>
      <c r="U53" s="791"/>
      <c r="V53" s="1293"/>
      <c r="W53" s="1293"/>
      <c r="X53" s="1293"/>
      <c r="Y53" s="1293"/>
      <c r="Z53" s="791"/>
      <c r="AA53" s="791"/>
      <c r="AB53" s="791"/>
      <c r="AC53" s="791"/>
      <c r="AD53" s="1293"/>
      <c r="AE53" s="1293"/>
      <c r="AF53" s="1293"/>
      <c r="AG53" s="791"/>
      <c r="AH53" s="1293"/>
      <c r="AI53" s="1293"/>
      <c r="AJ53" s="1293"/>
      <c r="AK53" s="1293"/>
      <c r="AL53" s="1293"/>
      <c r="AM53" s="1308" t="s">
        <v>266</v>
      </c>
      <c r="AN53" s="1495">
        <f>AN51-AN52</f>
        <v>369733401.58000016</v>
      </c>
      <c r="AO53" s="1495">
        <f>AO51-AO52</f>
        <v>196515153.82000017</v>
      </c>
      <c r="AP53" s="1086"/>
      <c r="AQ53" s="1086"/>
      <c r="AR53" s="1086"/>
      <c r="AS53" s="1086"/>
      <c r="AT53" s="1086"/>
      <c r="AU53" s="1086"/>
      <c r="AV53" s="1086"/>
      <c r="AW53" s="1086"/>
      <c r="AX53" s="1086"/>
      <c r="AY53" s="1086"/>
      <c r="AZ53" s="1086"/>
      <c r="BA53" s="1086"/>
      <c r="BB53" s="1086"/>
      <c r="BC53" s="1086"/>
      <c r="BD53" s="1086"/>
      <c r="BE53" s="1086"/>
      <c r="BF53" s="1086"/>
      <c r="BG53" s="1086"/>
      <c r="BH53" s="1086"/>
      <c r="BI53" s="1086"/>
      <c r="BJ53" s="1086"/>
      <c r="BK53" s="1086"/>
      <c r="BL53" s="791"/>
      <c r="BM53" s="791"/>
      <c r="BN53" s="791"/>
      <c r="BO53" s="791"/>
      <c r="BP53" s="791"/>
      <c r="BQ53" s="791"/>
      <c r="BR53" s="791"/>
      <c r="BS53" s="791"/>
      <c r="BT53" s="791"/>
      <c r="BU53" s="791"/>
      <c r="BV53" s="791"/>
      <c r="BW53" s="791"/>
      <c r="BX53" s="791"/>
      <c r="BY53" s="791"/>
      <c r="BZ53" s="791"/>
      <c r="CA53" s="791"/>
      <c r="CB53" s="791"/>
      <c r="CC53" s="791"/>
      <c r="CD53" s="791"/>
      <c r="CE53" s="791"/>
      <c r="CF53" s="791"/>
      <c r="CG53" s="791"/>
      <c r="CH53" s="791"/>
      <c r="CI53" s="791"/>
      <c r="CJ53" s="791"/>
      <c r="CK53" s="791"/>
      <c r="CL53" s="791"/>
      <c r="CM53" s="791"/>
      <c r="CN53" s="791"/>
      <c r="CO53" s="791"/>
      <c r="CP53" s="791"/>
      <c r="CQ53" s="791"/>
      <c r="CR53" s="791"/>
      <c r="CS53" s="791"/>
      <c r="CT53" s="791"/>
      <c r="CU53" s="791"/>
      <c r="CV53" s="791"/>
      <c r="CW53" s="791"/>
      <c r="CX53" s="791"/>
      <c r="CY53" s="791"/>
      <c r="CZ53" s="791"/>
      <c r="DA53" s="791"/>
      <c r="DB53" s="791"/>
      <c r="DC53" s="791"/>
      <c r="DD53" s="791"/>
      <c r="DE53" s="791"/>
      <c r="DF53" s="791"/>
      <c r="DG53" s="791"/>
      <c r="DH53" s="791"/>
      <c r="DI53" s="791"/>
      <c r="DJ53" s="791"/>
      <c r="DK53" s="791"/>
      <c r="DL53" s="791"/>
      <c r="DM53" s="791"/>
      <c r="DN53" s="791"/>
      <c r="DO53" s="791"/>
      <c r="DP53" s="791"/>
      <c r="DQ53" s="791"/>
      <c r="DR53" s="791"/>
      <c r="DS53" s="791"/>
      <c r="DT53" s="791"/>
      <c r="DU53" s="791"/>
      <c r="DV53" s="791"/>
      <c r="DW53" s="791"/>
      <c r="DX53" s="791"/>
      <c r="DY53" s="791"/>
      <c r="DZ53" s="1086"/>
      <c r="EA53" s="1086"/>
      <c r="EB53" s="1086"/>
      <c r="EC53" s="1086"/>
      <c r="ED53" s="1086"/>
      <c r="EE53" s="1086"/>
      <c r="EF53" s="791"/>
      <c r="EG53" s="791"/>
      <c r="EH53" s="791"/>
      <c r="EI53" s="791"/>
      <c r="EJ53" s="791"/>
      <c r="EK53" s="791"/>
      <c r="EL53" s="791"/>
      <c r="EM53" s="791"/>
      <c r="EN53" s="791"/>
      <c r="EO53" s="791"/>
      <c r="EP53" s="791"/>
      <c r="EQ53" s="791"/>
      <c r="ER53" s="791"/>
      <c r="ES53" s="791"/>
      <c r="ET53" s="791"/>
      <c r="EU53" s="791"/>
      <c r="EV53" s="791"/>
      <c r="EW53" s="791"/>
      <c r="EX53" s="791"/>
      <c r="EY53" s="791"/>
      <c r="EZ53" s="791"/>
      <c r="FA53" s="791"/>
      <c r="FB53" s="791"/>
      <c r="FC53" s="791"/>
      <c r="FD53" s="791"/>
      <c r="FE53" s="791"/>
      <c r="FF53" s="791"/>
      <c r="FG53" s="791"/>
      <c r="FH53" s="791"/>
      <c r="FI53" s="791"/>
      <c r="FJ53" s="791"/>
      <c r="FK53" s="791"/>
      <c r="FL53" s="791"/>
      <c r="FM53" s="791"/>
      <c r="FN53" s="791"/>
      <c r="FO53" s="791"/>
      <c r="FP53" s="791"/>
      <c r="FQ53" s="791"/>
      <c r="FR53" s="791"/>
      <c r="FS53" s="791"/>
      <c r="FT53" s="791"/>
      <c r="FU53" s="791"/>
      <c r="FV53" s="791"/>
      <c r="FW53" s="791"/>
      <c r="FX53" s="791"/>
      <c r="FY53" s="791"/>
      <c r="FZ53" s="791"/>
      <c r="GA53" s="791"/>
      <c r="GB53" s="791"/>
      <c r="GC53" s="791"/>
      <c r="GD53" s="791"/>
      <c r="GE53" s="791"/>
      <c r="GF53" s="791"/>
      <c r="GG53" s="791"/>
      <c r="GH53" s="791"/>
      <c r="GI53" s="791"/>
      <c r="GJ53" s="791"/>
      <c r="GK53" s="791"/>
      <c r="GL53" s="791"/>
      <c r="GM53" s="791"/>
      <c r="GN53" s="791"/>
      <c r="GO53" s="791"/>
      <c r="GP53" s="791"/>
      <c r="GQ53" s="1086"/>
      <c r="GR53" s="791"/>
      <c r="GS53" s="791"/>
      <c r="GT53" s="791"/>
      <c r="GU53" s="1086"/>
      <c r="GV53" s="1086"/>
      <c r="GW53" s="1086"/>
      <c r="GX53" s="1086"/>
      <c r="GY53" s="1086"/>
      <c r="GZ53" s="1086"/>
      <c r="HA53" s="1086"/>
      <c r="HB53" s="1086"/>
      <c r="HC53" s="1086"/>
      <c r="HD53" s="791"/>
      <c r="HE53" s="791"/>
      <c r="HF53" s="791"/>
      <c r="HG53" s="791"/>
      <c r="HH53" s="791"/>
      <c r="HI53" s="791"/>
      <c r="HJ53" s="791"/>
      <c r="HK53" s="791"/>
      <c r="HL53" s="791"/>
      <c r="HM53" s="791"/>
      <c r="HN53" s="791"/>
      <c r="HO53" s="791"/>
      <c r="HP53" s="791"/>
      <c r="HQ53" s="791"/>
      <c r="HR53" s="791"/>
      <c r="HS53" s="791"/>
      <c r="HT53" s="791"/>
      <c r="HU53" s="791"/>
      <c r="HV53" s="791"/>
      <c r="HW53" s="791"/>
      <c r="HX53" s="791"/>
      <c r="HY53" s="791"/>
      <c r="HZ53" s="791"/>
      <c r="IA53" s="791"/>
      <c r="IB53" s="791"/>
      <c r="IC53" s="791"/>
      <c r="ID53" s="791"/>
      <c r="IE53" s="791"/>
      <c r="IF53" s="791"/>
      <c r="IG53" s="791"/>
      <c r="IH53" s="791"/>
      <c r="II53" s="791"/>
      <c r="IJ53" s="791"/>
      <c r="IK53" s="791"/>
      <c r="IL53" s="791"/>
      <c r="IM53" s="791"/>
      <c r="IN53" s="791"/>
      <c r="IO53" s="791"/>
      <c r="IP53" s="791"/>
      <c r="IQ53" s="791"/>
      <c r="IR53" s="791"/>
      <c r="IS53" s="791"/>
      <c r="IT53" s="791"/>
      <c r="IU53" s="791"/>
      <c r="IV53" s="791"/>
      <c r="IW53" s="791"/>
      <c r="IX53" s="791"/>
      <c r="IY53" s="791"/>
      <c r="IZ53" s="791"/>
      <c r="JA53" s="791"/>
      <c r="JB53" s="791"/>
      <c r="JC53" s="791"/>
      <c r="JD53" s="791"/>
      <c r="JE53" s="791"/>
      <c r="JF53" s="791"/>
      <c r="JG53" s="791"/>
      <c r="JH53" s="791"/>
      <c r="JI53" s="791"/>
      <c r="JJ53" s="1086"/>
      <c r="JK53" s="1086"/>
      <c r="JL53" s="1086"/>
      <c r="JM53" s="1086"/>
      <c r="JN53" s="1086"/>
      <c r="JO53" s="1086"/>
      <c r="JP53" s="1086"/>
      <c r="JQ53" s="1086"/>
      <c r="JR53" s="1086"/>
      <c r="JS53" s="1086"/>
      <c r="JT53" s="1086"/>
      <c r="JU53" s="1086"/>
      <c r="MT53" s="1293"/>
      <c r="MU53" s="1293"/>
      <c r="MV53" s="1293"/>
      <c r="MW53" s="1293"/>
      <c r="MX53" s="1293"/>
      <c r="MY53" s="1293"/>
      <c r="MZ53" s="1293"/>
      <c r="NA53" s="1293"/>
      <c r="NB53" s="1293"/>
      <c r="NC53" s="1293"/>
      <c r="ND53" s="1293"/>
      <c r="NE53" s="1293"/>
      <c r="NF53" s="1293"/>
      <c r="NG53" s="1293"/>
      <c r="NH53" s="1293"/>
      <c r="NI53" s="1293"/>
      <c r="NJ53" s="1293"/>
      <c r="NK53" s="1293"/>
      <c r="NL53" s="1293"/>
      <c r="NM53" s="1293"/>
      <c r="NN53" s="1293"/>
      <c r="NO53" s="1293"/>
      <c r="NP53" s="1089"/>
      <c r="NQ53" s="1089"/>
      <c r="NR53" s="1089"/>
      <c r="NS53" s="1089"/>
      <c r="NT53" s="1089"/>
      <c r="NU53" s="1089"/>
      <c r="NV53" s="1089"/>
      <c r="NW53" s="1089"/>
      <c r="NX53" s="1089"/>
      <c r="NY53" s="1089"/>
      <c r="NZ53" s="1089"/>
      <c r="OA53" s="1089"/>
      <c r="OB53" s="1101"/>
      <c r="OC53" s="1101"/>
      <c r="OD53" s="1101"/>
      <c r="OE53" s="1101"/>
      <c r="OF53" s="1101"/>
      <c r="OG53" s="791"/>
      <c r="PZ53" s="1086"/>
      <c r="QA53" s="1086"/>
      <c r="QB53" s="1086"/>
      <c r="QC53" s="1086"/>
      <c r="QD53" s="1086"/>
      <c r="QE53" s="1086"/>
      <c r="QF53" s="1086"/>
      <c r="QG53" s="1086"/>
      <c r="QH53" s="1086"/>
      <c r="QI53" s="1086"/>
      <c r="QJ53" s="1086"/>
      <c r="QK53" s="1086"/>
      <c r="QL53" s="1086"/>
      <c r="QM53" s="1086"/>
      <c r="QN53" s="1086"/>
      <c r="QO53" s="1086"/>
      <c r="QP53" s="1086"/>
      <c r="QQ53" s="1086"/>
      <c r="QR53" s="791"/>
      <c r="QS53" s="791"/>
      <c r="QT53" s="791"/>
      <c r="QU53" s="791"/>
      <c r="QV53" s="791"/>
      <c r="QW53" s="791"/>
      <c r="QX53" s="791"/>
      <c r="QY53" s="791"/>
      <c r="QZ53" s="791"/>
      <c r="RA53" s="791"/>
      <c r="RB53" s="791"/>
      <c r="RC53" s="791"/>
      <c r="RD53" s="791"/>
      <c r="RE53" s="791"/>
      <c r="RF53" s="791"/>
      <c r="RG53" s="791"/>
      <c r="RH53" s="791"/>
      <c r="RI53" s="791"/>
      <c r="RJ53" s="791"/>
      <c r="RK53" s="791"/>
      <c r="RL53" s="791"/>
      <c r="RM53" s="791"/>
      <c r="RN53" s="791"/>
      <c r="RO53" s="791"/>
      <c r="RP53" s="791"/>
      <c r="RQ53" s="791"/>
      <c r="RR53" s="791"/>
      <c r="RS53" s="791"/>
      <c r="RT53" s="791"/>
      <c r="RU53" s="791"/>
      <c r="RV53" s="1086"/>
      <c r="RW53" s="1086"/>
      <c r="RX53" s="1086"/>
      <c r="RY53" s="1086"/>
      <c r="RZ53" s="1086"/>
      <c r="SA53" s="1086"/>
      <c r="SB53" s="1086"/>
      <c r="SC53" s="1086"/>
      <c r="SD53" s="1086"/>
      <c r="SE53" s="1086"/>
      <c r="SF53" s="1086"/>
      <c r="SG53" s="1086"/>
      <c r="SH53" s="1086"/>
      <c r="SI53" s="1086"/>
      <c r="SJ53" s="1086"/>
      <c r="SK53" s="1086"/>
      <c r="SL53" s="1086"/>
      <c r="SM53" s="1086"/>
      <c r="SN53" s="1086"/>
      <c r="SO53" s="1086"/>
      <c r="SP53" s="1086"/>
      <c r="SQ53" s="1086"/>
      <c r="SR53" s="1086"/>
      <c r="SS53" s="1086"/>
      <c r="ST53" s="1086"/>
      <c r="SU53" s="1086"/>
      <c r="SV53" s="1086"/>
      <c r="SW53" s="1086"/>
      <c r="SX53" s="1086"/>
      <c r="SY53" s="1086"/>
      <c r="SZ53" s="1086"/>
      <c r="TA53" s="1086"/>
      <c r="TB53" s="1086"/>
      <c r="TC53" s="1086"/>
      <c r="TD53" s="1086"/>
      <c r="TE53" s="1086"/>
      <c r="TF53" s="1086"/>
      <c r="TG53" s="1086"/>
      <c r="TH53" s="1086"/>
      <c r="TI53" s="1086"/>
      <c r="TJ53" s="1086"/>
      <c r="TK53" s="1086"/>
      <c r="TL53" s="1086"/>
      <c r="TM53" s="1086"/>
      <c r="TN53" s="1086"/>
      <c r="TO53" s="1086"/>
      <c r="TP53" s="1086"/>
      <c r="TQ53" s="1086"/>
      <c r="TR53" s="1086"/>
      <c r="TS53" s="1086"/>
      <c r="TT53" s="1086"/>
      <c r="TU53" s="1086"/>
      <c r="TV53" s="1086"/>
      <c r="TW53" s="1086"/>
      <c r="TX53" s="1086"/>
      <c r="TY53" s="1086"/>
      <c r="TZ53" s="1086"/>
      <c r="UA53" s="1086"/>
      <c r="UB53" s="1086"/>
      <c r="UC53" s="1086"/>
      <c r="UD53" s="1086"/>
      <c r="UE53" s="1086"/>
      <c r="UF53" s="1086"/>
      <c r="UG53" s="1086"/>
      <c r="UH53" s="1086"/>
      <c r="UI53" s="1086"/>
      <c r="UJ53" s="1086"/>
      <c r="UK53" s="1086"/>
      <c r="UL53" s="1086"/>
      <c r="UM53" s="1086"/>
      <c r="UN53" s="1086"/>
      <c r="UO53" s="1086"/>
      <c r="UP53" s="1086"/>
      <c r="UQ53" s="1086"/>
      <c r="UR53" s="1086"/>
      <c r="US53" s="1086"/>
      <c r="UT53" s="791"/>
      <c r="UU53" s="791"/>
      <c r="UV53" s="791"/>
      <c r="UW53" s="791"/>
      <c r="UX53" s="1293"/>
      <c r="UY53" s="1293"/>
      <c r="UZ53" s="1293"/>
      <c r="VA53" s="1293"/>
      <c r="VB53" s="1495">
        <f>VB51-VB52</f>
        <v>36969300</v>
      </c>
      <c r="VC53" s="1495">
        <f>VC51-VC52</f>
        <v>-41612638.960000008</v>
      </c>
      <c r="VD53" s="1496"/>
      <c r="VE53" s="1495">
        <f>VE51-VE52</f>
        <v>22695174.790000003</v>
      </c>
      <c r="VF53" s="1086">
        <f>VF51-VF52</f>
        <v>-63100</v>
      </c>
      <c r="VG53" s="791"/>
      <c r="VH53" s="791"/>
      <c r="VI53" s="791"/>
      <c r="VJ53" s="791"/>
      <c r="VK53" s="791"/>
      <c r="VL53" s="791"/>
      <c r="VM53" s="791"/>
      <c r="VN53" s="791"/>
      <c r="VO53" s="791"/>
      <c r="VP53" s="791"/>
      <c r="VQ53" s="791"/>
      <c r="VR53" s="791"/>
      <c r="VS53" s="791"/>
      <c r="VT53" s="791"/>
      <c r="VU53" s="791"/>
      <c r="VV53" s="791"/>
      <c r="VW53" s="791"/>
      <c r="VX53" s="791"/>
      <c r="VY53" s="791"/>
      <c r="VZ53" s="791"/>
      <c r="WA53" s="791"/>
      <c r="WB53" s="791"/>
      <c r="WC53" s="791"/>
      <c r="WD53" s="791"/>
      <c r="WE53" s="791"/>
      <c r="WF53" s="791"/>
      <c r="WG53" s="791"/>
      <c r="WH53" s="791"/>
      <c r="WI53" s="791"/>
      <c r="WJ53" s="1495">
        <f>ZD37+XR37</f>
        <v>391080403.06</v>
      </c>
      <c r="WK53" s="1495">
        <f>ZJ37+XS37</f>
        <v>164874215.35999998</v>
      </c>
      <c r="WL53" s="1086"/>
      <c r="WM53" s="1086"/>
      <c r="WN53" s="1086"/>
      <c r="WO53" s="1086"/>
      <c r="WP53" s="1086"/>
      <c r="WQ53" s="1086"/>
      <c r="WR53" s="1086"/>
      <c r="WS53" s="1086"/>
      <c r="WT53" s="1086"/>
      <c r="WU53" s="1086"/>
      <c r="WV53" s="1086"/>
      <c r="WW53" s="1086"/>
      <c r="WX53" s="1086"/>
      <c r="WY53" s="1086"/>
      <c r="WZ53" s="1086"/>
      <c r="XA53" s="1497"/>
      <c r="XB53" s="1497"/>
      <c r="XC53" s="1497"/>
      <c r="XD53" s="1089"/>
      <c r="XE53" s="1089"/>
      <c r="XF53" s="1089"/>
      <c r="XG53" s="1089"/>
      <c r="XH53" s="1086"/>
      <c r="XI53" s="1086"/>
      <c r="XJ53" s="1086"/>
      <c r="XK53" s="1086"/>
      <c r="XL53" s="1086"/>
      <c r="XM53" s="1086"/>
      <c r="XN53" s="1086"/>
      <c r="XO53" s="1086"/>
      <c r="XP53" s="1086"/>
      <c r="XQ53" s="1086"/>
      <c r="XR53" s="1086"/>
      <c r="XS53" s="1086"/>
      <c r="XT53" s="1086"/>
      <c r="XU53" s="1086"/>
      <c r="XV53" s="1293"/>
      <c r="XW53" s="1293"/>
      <c r="XX53" s="1293"/>
      <c r="XY53" s="1293"/>
      <c r="XZ53" s="1293"/>
      <c r="YA53" s="1293"/>
      <c r="YB53" s="1293"/>
      <c r="YC53" s="1293"/>
      <c r="YD53" s="1293"/>
      <c r="YE53" s="1293"/>
      <c r="YF53" s="1293"/>
      <c r="YG53" s="1293"/>
      <c r="YH53" s="1293"/>
      <c r="YI53" s="1293"/>
      <c r="YJ53" s="1293"/>
      <c r="YK53" s="1293"/>
      <c r="YL53" s="1293"/>
      <c r="YM53" s="1293"/>
      <c r="YN53" s="1293"/>
      <c r="YO53" s="1293"/>
      <c r="YP53" s="1293"/>
      <c r="YQ53" s="1293"/>
      <c r="YR53" s="1293"/>
      <c r="YS53" s="1293"/>
      <c r="YT53" s="1293"/>
      <c r="YU53" s="1293"/>
      <c r="YV53" s="1293"/>
      <c r="YW53" s="1293"/>
      <c r="YX53" s="1293"/>
      <c r="YY53" s="1293"/>
      <c r="YZ53" s="1293"/>
      <c r="ZA53" s="1293"/>
      <c r="ZB53" s="1293"/>
      <c r="ZC53" s="1293"/>
      <c r="ZD53" s="1293"/>
      <c r="ZE53" s="1293"/>
      <c r="ZF53" s="1293"/>
      <c r="ZG53" s="1293"/>
      <c r="ZH53" s="1293"/>
      <c r="ZI53" s="1293"/>
      <c r="ZJ53" s="1293"/>
      <c r="ZK53" s="1293"/>
      <c r="ZL53" s="1293"/>
      <c r="ZM53" s="1293"/>
      <c r="ZN53" s="1293"/>
      <c r="ZO53" s="1293"/>
      <c r="ZP53" s="1293"/>
      <c r="ZQ53" s="1293"/>
      <c r="ZR53" s="1293"/>
      <c r="ZS53" s="1293"/>
      <c r="ZT53" s="1293"/>
      <c r="ZU53" s="1293"/>
      <c r="ZV53" s="1293"/>
      <c r="ZW53" s="1293"/>
      <c r="ZX53" s="1293"/>
      <c r="ZY53" s="1293"/>
      <c r="ZZ53" s="1293"/>
      <c r="AAA53" s="1293"/>
      <c r="AAB53" s="791"/>
      <c r="AAC53" s="791"/>
      <c r="AAD53" s="791"/>
      <c r="AAE53" s="791"/>
      <c r="AAF53" s="791"/>
      <c r="AAG53" s="791"/>
      <c r="AAH53" s="791"/>
      <c r="AAI53" s="791"/>
      <c r="AAJ53" s="791"/>
      <c r="AAK53" s="791"/>
      <c r="AAL53" s="791"/>
      <c r="AAM53" s="791"/>
      <c r="AAN53" s="791"/>
      <c r="AAO53" s="791"/>
      <c r="AAP53" s="791"/>
      <c r="AAQ53" s="791"/>
      <c r="AAR53" s="791"/>
      <c r="AAS53" s="791"/>
      <c r="AAT53" s="791"/>
      <c r="AAU53" s="791"/>
    </row>
    <row r="54" spans="1:723" ht="16.5" x14ac:dyDescent="0.25">
      <c r="A54" s="1308" t="s">
        <v>421</v>
      </c>
      <c r="B54" s="1493">
        <f>B37-B50-B51-B49</f>
        <v>0</v>
      </c>
      <c r="C54" s="1493">
        <f>C37-C50-C51-C49</f>
        <v>0</v>
      </c>
      <c r="D54" s="1493">
        <f>D37-D50-D51-D49</f>
        <v>0</v>
      </c>
      <c r="E54" s="1493">
        <f>E37-E50-E51-E49</f>
        <v>0</v>
      </c>
      <c r="F54" s="1293"/>
      <c r="G54" s="1293"/>
      <c r="H54" s="1293"/>
      <c r="I54" s="1293"/>
      <c r="J54" s="1293"/>
      <c r="K54" s="1293"/>
      <c r="L54" s="1293"/>
      <c r="M54" s="1293"/>
      <c r="N54" s="1293"/>
      <c r="O54" s="1293"/>
      <c r="P54" s="1293"/>
      <c r="Q54" s="1293"/>
      <c r="R54" s="1293"/>
      <c r="S54" s="1293"/>
      <c r="T54" s="1293"/>
      <c r="U54" s="1293"/>
      <c r="V54" s="1293"/>
      <c r="W54" s="1293"/>
      <c r="X54" s="1293"/>
      <c r="Y54" s="1293"/>
      <c r="Z54" s="1293"/>
      <c r="AA54" s="1293"/>
      <c r="AB54" s="1293"/>
      <c r="AC54" s="1293"/>
      <c r="AD54" s="1293"/>
      <c r="AE54" s="1293"/>
      <c r="AF54" s="1293"/>
      <c r="AG54" s="1293"/>
      <c r="AH54" s="1293"/>
      <c r="AI54" s="1293"/>
      <c r="AJ54" s="1293"/>
      <c r="AK54" s="1293"/>
      <c r="AL54" s="1293"/>
      <c r="AM54" s="1308" t="s">
        <v>421</v>
      </c>
      <c r="AN54" s="1493">
        <f>AN37-AN50-AN51-AN49</f>
        <v>0</v>
      </c>
      <c r="AO54" s="1493">
        <f>AO37-AO50-AO51-AO49</f>
        <v>0</v>
      </c>
      <c r="AP54" s="1089"/>
      <c r="AQ54" s="1089"/>
      <c r="AR54" s="1089"/>
      <c r="AS54" s="1089"/>
      <c r="AT54" s="1089"/>
      <c r="AU54" s="1089"/>
      <c r="AV54" s="1089"/>
      <c r="AW54" s="1089"/>
      <c r="AX54" s="1089"/>
      <c r="AY54" s="1089"/>
      <c r="AZ54" s="1089"/>
      <c r="BA54" s="1089"/>
      <c r="BB54" s="1089"/>
      <c r="BC54" s="1089"/>
      <c r="BD54" s="1089"/>
      <c r="BE54" s="1089"/>
      <c r="BF54" s="1089"/>
      <c r="BG54" s="1089"/>
      <c r="BH54" s="1089"/>
      <c r="BI54" s="1089"/>
      <c r="BJ54" s="1089"/>
      <c r="BK54" s="1089"/>
      <c r="BL54" s="1293"/>
      <c r="BM54" s="1293"/>
      <c r="BN54" s="1293"/>
      <c r="BO54" s="1293"/>
      <c r="BP54" s="1293"/>
      <c r="BQ54" s="1293"/>
      <c r="BR54" s="1293"/>
      <c r="BS54" s="1293"/>
      <c r="BT54" s="791"/>
      <c r="BU54" s="791"/>
      <c r="BV54" s="791"/>
      <c r="BW54" s="791"/>
      <c r="BX54" s="791"/>
      <c r="BY54" s="791"/>
      <c r="BZ54" s="1293"/>
      <c r="CA54" s="1293"/>
      <c r="CB54" s="1293"/>
      <c r="CC54" s="1293"/>
      <c r="CD54" s="1293"/>
      <c r="CE54" s="1293"/>
      <c r="CF54" s="1293"/>
      <c r="CG54" s="1293"/>
      <c r="CH54" s="1293"/>
      <c r="CI54" s="1293"/>
      <c r="CJ54" s="1293"/>
      <c r="CK54" s="1293"/>
      <c r="CL54" s="1293"/>
      <c r="CM54" s="1293"/>
      <c r="CN54" s="1293"/>
      <c r="CO54" s="1293"/>
      <c r="CP54" s="1293"/>
      <c r="CQ54" s="1293"/>
      <c r="CR54" s="1293"/>
      <c r="CS54" s="1293"/>
      <c r="CT54" s="1293"/>
      <c r="CU54" s="1293"/>
      <c r="CV54" s="1293"/>
      <c r="CW54" s="1293"/>
      <c r="CX54" s="1293"/>
      <c r="CY54" s="1293"/>
      <c r="CZ54" s="1293"/>
      <c r="DA54" s="1293"/>
      <c r="DB54" s="1293"/>
      <c r="DC54" s="1293"/>
      <c r="DD54" s="1293"/>
      <c r="DE54" s="1293"/>
      <c r="DF54" s="1293"/>
      <c r="DG54" s="1293"/>
      <c r="DH54" s="1293"/>
      <c r="DI54" s="1293"/>
      <c r="DJ54" s="1293"/>
      <c r="DK54" s="1293"/>
      <c r="DL54" s="1293"/>
      <c r="DM54" s="1293"/>
      <c r="DN54" s="1293"/>
      <c r="DO54" s="1293"/>
      <c r="DP54" s="1293"/>
      <c r="DQ54" s="1293"/>
      <c r="DR54" s="1293"/>
      <c r="DS54" s="1293"/>
      <c r="DT54" s="1293"/>
      <c r="DU54" s="1293"/>
      <c r="DV54" s="1293"/>
      <c r="DW54" s="1293"/>
      <c r="DX54" s="1293"/>
      <c r="DY54" s="1293"/>
      <c r="DZ54" s="1089"/>
      <c r="EA54" s="1089"/>
      <c r="EB54" s="1089"/>
      <c r="EC54" s="1089"/>
      <c r="ED54" s="1089"/>
      <c r="EE54" s="1089"/>
      <c r="EF54" s="1293"/>
      <c r="EG54" s="1293"/>
      <c r="EH54" s="1293"/>
      <c r="EI54" s="1293"/>
      <c r="EJ54" s="1293"/>
      <c r="EK54" s="1293"/>
      <c r="EL54" s="1293"/>
      <c r="EM54" s="1293"/>
      <c r="EN54" s="1293"/>
      <c r="EO54" s="1293"/>
      <c r="EP54" s="1293"/>
      <c r="EQ54" s="1293"/>
      <c r="ER54" s="1293"/>
      <c r="ES54" s="1293"/>
      <c r="ET54" s="1293"/>
      <c r="EU54" s="1293"/>
      <c r="EV54" s="1293"/>
      <c r="EW54" s="1293"/>
      <c r="EX54" s="1293"/>
      <c r="EY54" s="1293"/>
      <c r="EZ54" s="1293"/>
      <c r="FA54" s="1293"/>
      <c r="FB54" s="1293"/>
      <c r="FC54" s="1293"/>
      <c r="FD54" s="1293"/>
      <c r="FE54" s="1293"/>
      <c r="FF54" s="1293"/>
      <c r="FG54" s="1293"/>
      <c r="FH54" s="1293"/>
      <c r="FI54" s="1293"/>
      <c r="FJ54" s="1293"/>
      <c r="FK54" s="1293"/>
      <c r="FL54" s="1293"/>
      <c r="FM54" s="1293"/>
      <c r="FN54" s="1293"/>
      <c r="FO54" s="1293"/>
      <c r="FP54" s="1293"/>
      <c r="FQ54" s="1293"/>
      <c r="FR54" s="1293"/>
      <c r="FS54" s="1293"/>
      <c r="FT54" s="1293"/>
      <c r="FU54" s="1293"/>
      <c r="FV54" s="1293"/>
      <c r="FW54" s="1293"/>
      <c r="FX54" s="1293"/>
      <c r="FY54" s="1293"/>
      <c r="FZ54" s="1293"/>
      <c r="GA54" s="1293"/>
      <c r="GB54" s="1293"/>
      <c r="GC54" s="1293"/>
      <c r="GD54" s="1293"/>
      <c r="GE54" s="1293"/>
      <c r="GF54" s="1293"/>
      <c r="GG54" s="1293"/>
      <c r="GH54" s="1293"/>
      <c r="GI54" s="1293"/>
      <c r="GJ54" s="1293"/>
      <c r="GK54" s="1293"/>
      <c r="GL54" s="1293"/>
      <c r="GM54" s="1293"/>
      <c r="GN54" s="1293"/>
      <c r="GO54" s="1293"/>
      <c r="GP54" s="1293"/>
      <c r="GQ54" s="1089"/>
      <c r="GR54" s="1293"/>
      <c r="GS54" s="1293"/>
      <c r="GT54" s="1293"/>
      <c r="GU54" s="1089"/>
      <c r="GV54" s="1089"/>
      <c r="GW54" s="1089"/>
      <c r="GX54" s="1089"/>
      <c r="GY54" s="1089"/>
      <c r="GZ54" s="1089"/>
      <c r="HA54" s="1089"/>
      <c r="HB54" s="1089"/>
      <c r="HC54" s="1089"/>
      <c r="HD54" s="1293"/>
      <c r="HE54" s="1293"/>
      <c r="HF54" s="1293"/>
      <c r="HG54" s="1293"/>
      <c r="HH54" s="1293"/>
      <c r="HI54" s="1293"/>
      <c r="HJ54" s="1293"/>
      <c r="HK54" s="1293"/>
      <c r="HL54" s="1293"/>
      <c r="HM54" s="1293"/>
      <c r="HN54" s="1293"/>
      <c r="HO54" s="1293"/>
      <c r="HP54" s="1293"/>
      <c r="HQ54" s="1293"/>
      <c r="HR54" s="1293"/>
      <c r="HS54" s="1293"/>
      <c r="HT54" s="1293"/>
      <c r="HU54" s="1293"/>
      <c r="HV54" s="1293"/>
      <c r="HW54" s="1293"/>
      <c r="HX54" s="1293"/>
      <c r="HY54" s="1293"/>
      <c r="HZ54" s="1293"/>
      <c r="IA54" s="1293"/>
      <c r="IB54" s="1293"/>
      <c r="IC54" s="1293"/>
      <c r="ID54" s="1293"/>
      <c r="IE54" s="1293"/>
      <c r="IF54" s="1293"/>
      <c r="IG54" s="1293"/>
      <c r="IH54" s="1293"/>
      <c r="II54" s="1293"/>
      <c r="IJ54" s="1293"/>
      <c r="IK54" s="1293"/>
      <c r="IL54" s="1293"/>
      <c r="IM54" s="1293"/>
      <c r="IN54" s="1293"/>
      <c r="IO54" s="1293"/>
      <c r="IP54" s="1293"/>
      <c r="IQ54" s="1293"/>
      <c r="IR54" s="1293"/>
      <c r="IS54" s="1293"/>
      <c r="IT54" s="1293"/>
      <c r="IU54" s="1293"/>
      <c r="IV54" s="1293"/>
      <c r="IW54" s="1293"/>
      <c r="IX54" s="1293"/>
      <c r="IY54" s="1293"/>
      <c r="IZ54" s="1293"/>
      <c r="JA54" s="1293"/>
      <c r="JB54" s="1293"/>
      <c r="JC54" s="1293"/>
      <c r="JD54" s="1293"/>
      <c r="JE54" s="1293"/>
      <c r="JF54" s="1293"/>
      <c r="JG54" s="1293"/>
      <c r="JH54" s="1293"/>
      <c r="JI54" s="1293"/>
      <c r="JJ54" s="1089"/>
      <c r="JK54" s="1089"/>
      <c r="JL54" s="1089"/>
      <c r="JM54" s="1089"/>
      <c r="JN54" s="1089"/>
      <c r="JO54" s="1089"/>
      <c r="JP54" s="1089"/>
      <c r="JQ54" s="1089"/>
      <c r="JR54" s="1089"/>
      <c r="JS54" s="1089"/>
      <c r="JT54" s="1089"/>
      <c r="JU54" s="1089"/>
      <c r="JV54" s="1293"/>
      <c r="JW54" s="1293"/>
      <c r="JX54" s="1293"/>
      <c r="JY54" s="1293"/>
      <c r="JZ54" s="1293"/>
      <c r="KA54" s="1293"/>
      <c r="KB54" s="1293"/>
      <c r="KC54" s="1293"/>
      <c r="KD54" s="1293"/>
      <c r="KE54" s="1293"/>
      <c r="KF54" s="1293"/>
      <c r="KG54" s="1293"/>
      <c r="KH54" s="1293"/>
      <c r="KI54" s="1293"/>
      <c r="KJ54" s="1293"/>
      <c r="KK54" s="1293"/>
      <c r="KL54" s="1293"/>
      <c r="KM54" s="1293"/>
      <c r="KN54" s="1293"/>
      <c r="KO54" s="1293"/>
      <c r="KP54" s="1293"/>
      <c r="KQ54" s="1293"/>
      <c r="KR54" s="1293"/>
      <c r="KS54" s="1293"/>
      <c r="KT54" s="1293"/>
      <c r="KU54" s="1293"/>
      <c r="KV54" s="1293"/>
      <c r="KW54" s="1293"/>
      <c r="KX54" s="1293"/>
      <c r="KY54" s="1293"/>
      <c r="KZ54" s="1293"/>
      <c r="LA54" s="1293"/>
      <c r="LB54" s="1293"/>
      <c r="LC54" s="1293"/>
      <c r="LD54" s="1293"/>
      <c r="LE54" s="1293"/>
      <c r="LF54" s="1293"/>
      <c r="LG54" s="1293"/>
      <c r="LH54" s="1293"/>
      <c r="LI54" s="1293"/>
      <c r="LJ54" s="1293"/>
      <c r="LK54" s="1293"/>
      <c r="LL54" s="1293"/>
      <c r="LM54" s="1293"/>
      <c r="LN54" s="1293"/>
      <c r="LO54" s="1293"/>
      <c r="LP54" s="1293"/>
      <c r="LQ54" s="1293"/>
      <c r="LR54" s="1293"/>
      <c r="LS54" s="1293"/>
      <c r="LT54" s="1293"/>
      <c r="LU54" s="1293"/>
      <c r="LV54" s="1293"/>
      <c r="LW54" s="1293"/>
      <c r="LX54" s="1293"/>
      <c r="LY54" s="1293"/>
      <c r="LZ54" s="1293"/>
      <c r="MA54" s="1293"/>
      <c r="MB54" s="1293"/>
      <c r="MC54" s="1293"/>
      <c r="MD54" s="1293"/>
      <c r="ME54" s="1293"/>
      <c r="MF54" s="1293"/>
      <c r="MG54" s="1293"/>
      <c r="MH54" s="1293"/>
      <c r="MI54" s="1293"/>
      <c r="MJ54" s="1293"/>
      <c r="MK54" s="1293"/>
      <c r="ML54" s="1293"/>
      <c r="MM54" s="1293"/>
      <c r="MN54" s="1293"/>
      <c r="MO54" s="1293"/>
      <c r="MP54" s="1293"/>
      <c r="MQ54" s="1293"/>
      <c r="MR54" s="1293"/>
      <c r="MS54" s="1293"/>
      <c r="MT54" s="1293"/>
      <c r="MU54" s="1293"/>
      <c r="MV54" s="1293"/>
      <c r="MW54" s="1293"/>
      <c r="MX54" s="1293"/>
      <c r="MY54" s="1293"/>
      <c r="MZ54" s="1293"/>
      <c r="NA54" s="1293"/>
      <c r="NB54" s="1293"/>
      <c r="NC54" s="1293"/>
      <c r="ND54" s="1293"/>
      <c r="NE54" s="1293"/>
      <c r="NF54" s="1293"/>
      <c r="NG54" s="1293"/>
      <c r="NH54" s="1293"/>
      <c r="NI54" s="1293"/>
      <c r="NJ54" s="1293"/>
      <c r="NK54" s="1293"/>
      <c r="NL54" s="1293"/>
      <c r="NM54" s="1293"/>
      <c r="NN54" s="1293"/>
      <c r="NO54" s="1293"/>
      <c r="NP54" s="1097"/>
      <c r="NQ54" s="1097"/>
      <c r="NR54" s="1097"/>
      <c r="NS54" s="1097"/>
      <c r="NT54" s="1097"/>
      <c r="NU54" s="1097"/>
      <c r="NV54" s="1097"/>
      <c r="NW54" s="1097"/>
      <c r="NX54" s="1097"/>
      <c r="NY54" s="1097"/>
      <c r="NZ54" s="1097"/>
      <c r="OA54" s="1097"/>
      <c r="OB54" s="1101"/>
      <c r="OC54" s="1101"/>
      <c r="OD54" s="1101"/>
      <c r="OE54" s="1101"/>
      <c r="OF54" s="1101"/>
      <c r="OG54" s="1101"/>
      <c r="OJ54" s="1293"/>
      <c r="OK54" s="1293"/>
      <c r="OL54" s="1293"/>
      <c r="OM54" s="1293"/>
      <c r="ON54" s="1293"/>
      <c r="OO54" s="1293"/>
      <c r="OP54" s="1293"/>
      <c r="OQ54" s="1293"/>
      <c r="OR54" s="1293"/>
      <c r="OS54" s="1293"/>
      <c r="OT54" s="1293"/>
      <c r="OU54" s="1293"/>
      <c r="OV54" s="1293"/>
      <c r="OW54" s="1293"/>
      <c r="OX54" s="1293"/>
      <c r="OY54" s="1293"/>
      <c r="OZ54" s="1293"/>
      <c r="PA54" s="1293"/>
      <c r="PB54" s="1293"/>
      <c r="PC54" s="1293"/>
      <c r="PD54" s="1293"/>
      <c r="PE54" s="1293"/>
      <c r="PF54" s="1293"/>
      <c r="PG54" s="1293"/>
      <c r="PH54" s="1293"/>
      <c r="PI54" s="1293"/>
      <c r="PJ54" s="1293"/>
      <c r="PK54" s="1293"/>
      <c r="PL54" s="1293"/>
      <c r="PM54" s="1293"/>
      <c r="PN54" s="1293"/>
      <c r="PO54" s="1293"/>
      <c r="PP54" s="1293"/>
      <c r="PQ54" s="1293"/>
      <c r="PR54" s="1293"/>
      <c r="PS54" s="1293"/>
      <c r="PT54" s="1293"/>
      <c r="PU54" s="1293"/>
      <c r="PV54" s="1293"/>
      <c r="PW54" s="1293"/>
      <c r="PX54" s="1293"/>
      <c r="PY54" s="1293"/>
      <c r="PZ54" s="1089"/>
      <c r="QA54" s="1089"/>
      <c r="QB54" s="1089"/>
      <c r="QC54" s="1089"/>
      <c r="QD54" s="1089"/>
      <c r="QE54" s="1089"/>
      <c r="QF54" s="1089"/>
      <c r="QG54" s="1089"/>
      <c r="QH54" s="1089"/>
      <c r="QI54" s="1089"/>
      <c r="QJ54" s="1089"/>
      <c r="QK54" s="1089"/>
      <c r="QL54" s="1089"/>
      <c r="QM54" s="1089"/>
      <c r="QN54" s="1089"/>
      <c r="QO54" s="1089"/>
      <c r="QP54" s="1089"/>
      <c r="QQ54" s="1089"/>
      <c r="QR54" s="1293"/>
      <c r="QS54" s="1293"/>
      <c r="QT54" s="1293"/>
      <c r="QU54" s="1293"/>
      <c r="QV54" s="1293"/>
      <c r="QW54" s="1293"/>
      <c r="QX54" s="1293"/>
      <c r="QY54" s="1293"/>
      <c r="QZ54" s="1293"/>
      <c r="RA54" s="1293"/>
      <c r="RB54" s="1293"/>
      <c r="RC54" s="1293"/>
      <c r="RD54" s="1293"/>
      <c r="RE54" s="1293"/>
      <c r="RF54" s="1293"/>
      <c r="RG54" s="1293"/>
      <c r="RH54" s="1293"/>
      <c r="RI54" s="1293"/>
      <c r="RJ54" s="1293"/>
      <c r="RK54" s="1293"/>
      <c r="RL54" s="1293"/>
      <c r="RM54" s="1293"/>
      <c r="RN54" s="1293"/>
      <c r="RO54" s="1293"/>
      <c r="RP54" s="1293"/>
      <c r="RQ54" s="1293"/>
      <c r="RR54" s="1293"/>
      <c r="RS54" s="1293"/>
      <c r="RT54" s="1293"/>
      <c r="RU54" s="1293"/>
      <c r="RV54" s="1089"/>
      <c r="RW54" s="1089"/>
      <c r="RX54" s="1089"/>
      <c r="RY54" s="1089"/>
      <c r="RZ54" s="1089"/>
      <c r="SA54" s="1089"/>
      <c r="SB54" s="1089"/>
      <c r="SC54" s="1089"/>
      <c r="SD54" s="1089"/>
      <c r="SE54" s="1089"/>
      <c r="SF54" s="1089"/>
      <c r="SG54" s="1089"/>
      <c r="SH54" s="1089"/>
      <c r="SI54" s="1089"/>
      <c r="SJ54" s="1089"/>
      <c r="SK54" s="1089"/>
      <c r="SL54" s="1089"/>
      <c r="SM54" s="1089"/>
      <c r="SN54" s="1089"/>
      <c r="SO54" s="1089"/>
      <c r="SP54" s="1089"/>
      <c r="SQ54" s="1089"/>
      <c r="SR54" s="1089"/>
      <c r="SS54" s="1089"/>
      <c r="ST54" s="1089"/>
      <c r="SU54" s="1089"/>
      <c r="SV54" s="1089"/>
      <c r="SW54" s="1089"/>
      <c r="SX54" s="1089"/>
      <c r="SY54" s="1089"/>
      <c r="SZ54" s="1089"/>
      <c r="TA54" s="1089"/>
      <c r="TB54" s="1089"/>
      <c r="TC54" s="1089"/>
      <c r="TD54" s="1089"/>
      <c r="TE54" s="1089"/>
      <c r="TF54" s="1089"/>
      <c r="TG54" s="1089"/>
      <c r="TH54" s="1089"/>
      <c r="TI54" s="1089"/>
      <c r="TJ54" s="1089"/>
      <c r="TK54" s="1089"/>
      <c r="TL54" s="1089"/>
      <c r="TM54" s="1089"/>
      <c r="TN54" s="1089"/>
      <c r="TO54" s="1089"/>
      <c r="TP54" s="1089"/>
      <c r="TQ54" s="1089"/>
      <c r="TR54" s="1089"/>
      <c r="TS54" s="1089"/>
      <c r="TT54" s="1089"/>
      <c r="TU54" s="1089"/>
      <c r="TV54" s="1089"/>
      <c r="TW54" s="1089"/>
      <c r="TX54" s="1089"/>
      <c r="TY54" s="1089"/>
      <c r="TZ54" s="1089"/>
      <c r="UA54" s="1089"/>
      <c r="UB54" s="1089"/>
      <c r="UC54" s="1089"/>
      <c r="UD54" s="1089"/>
      <c r="UE54" s="1089"/>
      <c r="UF54" s="1089"/>
      <c r="UG54" s="1089"/>
      <c r="UH54" s="1089"/>
      <c r="UI54" s="1089"/>
      <c r="UJ54" s="1089"/>
      <c r="UK54" s="1089"/>
      <c r="UL54" s="1089"/>
      <c r="UM54" s="1089"/>
      <c r="UN54" s="1089"/>
      <c r="UO54" s="1089"/>
      <c r="UP54" s="1089"/>
      <c r="UQ54" s="1089"/>
      <c r="UR54" s="1089"/>
      <c r="US54" s="1089"/>
      <c r="UT54" s="1293"/>
      <c r="UU54" s="1293"/>
      <c r="UV54" s="1293"/>
      <c r="UW54" s="1293"/>
      <c r="UX54" s="1293"/>
      <c r="UY54" s="1293"/>
      <c r="UZ54" s="1293"/>
      <c r="VA54" s="1293"/>
      <c r="VB54" s="1493">
        <f>VB37-VB50-VB51-VB49</f>
        <v>0</v>
      </c>
      <c r="VC54" s="1308"/>
      <c r="VD54" s="1308"/>
      <c r="VE54" s="1493">
        <f>VE37-VE50-VE51-VE49</f>
        <v>0</v>
      </c>
      <c r="VF54" s="1293"/>
      <c r="VG54" s="1293"/>
      <c r="VH54" s="1293"/>
      <c r="VI54" s="1293"/>
      <c r="VJ54" s="1293"/>
      <c r="VK54" s="1293"/>
      <c r="VL54" s="1293"/>
      <c r="VM54" s="1293"/>
      <c r="VN54" s="1293"/>
      <c r="VO54" s="1293"/>
      <c r="VP54" s="1293"/>
      <c r="VQ54" s="1293"/>
      <c r="VR54" s="1293"/>
      <c r="VS54" s="1293"/>
      <c r="VT54" s="1293"/>
      <c r="VU54" s="1293"/>
      <c r="VV54" s="1293"/>
      <c r="VW54" s="1293"/>
      <c r="VX54" s="1293"/>
      <c r="VY54" s="1293"/>
      <c r="VZ54" s="1293"/>
      <c r="WA54" s="1293"/>
      <c r="WB54" s="1293"/>
      <c r="WC54" s="1293"/>
      <c r="WD54" s="1293"/>
      <c r="WE54" s="1293"/>
      <c r="WF54" s="1293"/>
      <c r="WG54" s="1293"/>
      <c r="WH54" s="1293"/>
      <c r="WI54" s="1293"/>
      <c r="WJ54" s="1495">
        <f>WJ51-WJ52-WJ53</f>
        <v>0</v>
      </c>
      <c r="WK54" s="1495">
        <f>WK51-WK52-WK53</f>
        <v>0</v>
      </c>
      <c r="WL54" s="1293"/>
      <c r="WM54" s="1293"/>
      <c r="WN54" s="1293"/>
      <c r="WO54" s="1293"/>
      <c r="WP54" s="1293"/>
      <c r="WQ54" s="1293"/>
      <c r="WR54" s="1293"/>
      <c r="WS54" s="1293"/>
      <c r="WT54" s="1293"/>
      <c r="WU54" s="1293"/>
      <c r="WV54" s="1293"/>
      <c r="WW54" s="1293"/>
      <c r="WX54" s="1086"/>
      <c r="WY54" s="1086"/>
      <c r="WZ54" s="1086"/>
      <c r="XA54" s="1497"/>
      <c r="XB54" s="1497"/>
      <c r="XC54" s="1497"/>
      <c r="XD54" s="1089"/>
      <c r="XE54" s="1089"/>
      <c r="XF54" s="1089"/>
      <c r="XG54" s="1089"/>
      <c r="XH54" s="1086"/>
      <c r="XI54" s="1086"/>
      <c r="XJ54" s="1086"/>
      <c r="XK54" s="1086"/>
      <c r="XL54" s="1086"/>
      <c r="XM54" s="1086"/>
      <c r="XN54" s="1086"/>
      <c r="XO54" s="1086"/>
      <c r="XP54" s="1086"/>
      <c r="XQ54" s="1086"/>
      <c r="XR54" s="1086"/>
      <c r="XS54" s="1086"/>
      <c r="XT54" s="1086"/>
      <c r="XU54" s="1086"/>
      <c r="XV54" s="1293"/>
      <c r="XW54" s="1293"/>
      <c r="XX54" s="1293"/>
      <c r="XY54" s="1293"/>
      <c r="XZ54" s="1293"/>
      <c r="YA54" s="1293"/>
      <c r="YB54" s="1293"/>
      <c r="YC54" s="1293"/>
      <c r="YD54" s="1293"/>
      <c r="YE54" s="1293"/>
      <c r="YF54" s="1293"/>
      <c r="YG54" s="1293"/>
      <c r="YH54" s="1293"/>
      <c r="YI54" s="1293"/>
      <c r="YJ54" s="1293"/>
      <c r="YK54" s="1293"/>
      <c r="YL54" s="1293"/>
      <c r="YM54" s="1293"/>
      <c r="YN54" s="1293"/>
      <c r="YO54" s="1293"/>
      <c r="YP54" s="1293"/>
      <c r="YQ54" s="1293"/>
      <c r="YR54" s="1293"/>
      <c r="YS54" s="1293"/>
      <c r="YT54" s="1293"/>
      <c r="YU54" s="1293"/>
      <c r="YV54" s="1293"/>
      <c r="YW54" s="1293"/>
      <c r="YX54" s="1293"/>
      <c r="YY54" s="1293"/>
      <c r="YZ54" s="1293"/>
      <c r="ZA54" s="1293"/>
      <c r="ZB54" s="1293"/>
      <c r="ZC54" s="1293"/>
      <c r="ZD54" s="1293"/>
      <c r="ZE54" s="1293"/>
      <c r="ZF54" s="1293"/>
      <c r="ZG54" s="1293"/>
      <c r="ZH54" s="1293"/>
      <c r="ZI54" s="1293"/>
      <c r="ZJ54" s="1293"/>
      <c r="ZK54" s="1293"/>
      <c r="ZL54" s="1293"/>
      <c r="ZM54" s="1293"/>
      <c r="ZN54" s="1293"/>
      <c r="ZO54" s="1293"/>
      <c r="ZP54" s="1293"/>
      <c r="ZQ54" s="1293"/>
      <c r="ZR54" s="1293"/>
      <c r="ZS54" s="1293"/>
      <c r="ZT54" s="1293"/>
      <c r="ZU54" s="1293"/>
      <c r="ZV54" s="1293"/>
      <c r="ZW54" s="1293"/>
      <c r="ZX54" s="1293"/>
      <c r="ZY54" s="1293"/>
      <c r="ZZ54" s="1293"/>
      <c r="AAA54" s="1293"/>
      <c r="AAB54" s="791"/>
      <c r="AAC54" s="791"/>
      <c r="AAD54" s="791"/>
      <c r="AAE54" s="791"/>
      <c r="AAF54" s="791"/>
      <c r="AAG54" s="791"/>
      <c r="AAH54" s="791"/>
      <c r="AAI54" s="791"/>
      <c r="AAJ54" s="791"/>
      <c r="AAK54" s="791"/>
      <c r="AAL54" s="791"/>
      <c r="AAM54" s="791"/>
      <c r="AAN54" s="791"/>
      <c r="AAO54" s="791"/>
      <c r="AAP54" s="791"/>
      <c r="AAQ54" s="791"/>
      <c r="AAR54" s="791"/>
      <c r="AAS54" s="791"/>
      <c r="AAT54" s="791"/>
      <c r="AAU54" s="791"/>
    </row>
    <row r="55" spans="1:723" ht="16.5" x14ac:dyDescent="0.25">
      <c r="AN55" s="1498"/>
      <c r="XA55" s="1499"/>
      <c r="XB55" s="1499"/>
      <c r="XC55" s="1499"/>
      <c r="XD55" s="1089"/>
      <c r="XE55" s="1089"/>
      <c r="XF55" s="1089"/>
      <c r="XG55" s="1089"/>
    </row>
    <row r="56" spans="1:723" ht="16.5" x14ac:dyDescent="0.25">
      <c r="XA56" s="1499"/>
      <c r="XB56" s="1499"/>
      <c r="XC56" s="1499"/>
      <c r="XD56" s="1089"/>
      <c r="XE56" s="1089"/>
      <c r="XF56" s="1089"/>
      <c r="XG56" s="1089"/>
    </row>
    <row r="57" spans="1:723" ht="16.5" x14ac:dyDescent="0.25">
      <c r="XA57" s="1499"/>
      <c r="XB57" s="1499"/>
      <c r="XC57" s="1499"/>
      <c r="XD57" s="1089"/>
      <c r="XE57" s="1089"/>
      <c r="XF57" s="1089"/>
      <c r="XG57" s="1089"/>
    </row>
    <row r="58" spans="1:723" ht="16.5" x14ac:dyDescent="0.25">
      <c r="XA58" s="1499"/>
      <c r="XB58" s="1499"/>
      <c r="XC58" s="1499"/>
      <c r="XD58" s="1089"/>
      <c r="XE58" s="1089"/>
      <c r="XF58" s="1089"/>
      <c r="XG58" s="1089"/>
    </row>
    <row r="59" spans="1:723" ht="16.5" x14ac:dyDescent="0.25">
      <c r="XA59" s="1499"/>
      <c r="XB59" s="1499"/>
      <c r="XC59" s="1499"/>
      <c r="XD59" s="1089"/>
      <c r="XE59" s="1089"/>
      <c r="XF59" s="1089"/>
      <c r="XG59" s="1089"/>
    </row>
    <row r="60" spans="1:723" ht="16.5" x14ac:dyDescent="0.25">
      <c r="XA60" s="1499"/>
      <c r="XB60" s="1499"/>
      <c r="XC60" s="1499"/>
      <c r="XD60" s="1089"/>
      <c r="XE60" s="1089"/>
      <c r="XF60" s="1089"/>
      <c r="XG60" s="1089"/>
    </row>
    <row r="61" spans="1:723" ht="16.5" x14ac:dyDescent="0.25">
      <c r="XA61" s="1499"/>
      <c r="XB61" s="1499"/>
      <c r="XC61" s="1499"/>
      <c r="XD61" s="1089"/>
      <c r="XE61" s="1089"/>
      <c r="XF61" s="1089"/>
      <c r="XG61" s="1089"/>
    </row>
    <row r="62" spans="1:723" ht="16.5" x14ac:dyDescent="0.25">
      <c r="XA62" s="1499"/>
      <c r="XB62" s="1499"/>
      <c r="XC62" s="1499"/>
      <c r="XD62" s="1089"/>
      <c r="XE62" s="1089"/>
      <c r="XF62" s="1089"/>
      <c r="XG62" s="1089"/>
    </row>
    <row r="63" spans="1:723" ht="16.5" x14ac:dyDescent="0.25">
      <c r="XA63" s="1499"/>
      <c r="XB63" s="1499"/>
      <c r="XC63" s="1499"/>
      <c r="XD63" s="1089"/>
      <c r="XE63" s="1089"/>
      <c r="XF63" s="1089"/>
      <c r="XG63" s="1089"/>
    </row>
    <row r="64" spans="1:723" ht="16.5" x14ac:dyDescent="0.25">
      <c r="XA64" s="1499"/>
      <c r="XB64" s="1499"/>
      <c r="XC64" s="1499"/>
      <c r="XD64" s="1089"/>
      <c r="XE64" s="1089"/>
      <c r="XF64" s="1089"/>
      <c r="XG64" s="1089"/>
    </row>
    <row r="65" spans="625:631" ht="16.5" x14ac:dyDescent="0.25">
      <c r="XA65" s="1499"/>
      <c r="XB65" s="1499"/>
      <c r="XC65" s="1499"/>
      <c r="XD65" s="1089"/>
      <c r="XE65" s="1089"/>
      <c r="XF65" s="1089"/>
      <c r="XG65" s="1089"/>
    </row>
    <row r="66" spans="625:631" ht="16.5" x14ac:dyDescent="0.25">
      <c r="XA66" s="1499"/>
      <c r="XB66" s="1499"/>
      <c r="XC66" s="1499"/>
      <c r="XD66" s="1089"/>
      <c r="XE66" s="1089"/>
      <c r="XF66" s="1089"/>
      <c r="XG66" s="1089"/>
    </row>
    <row r="67" spans="625:631" ht="16.5" x14ac:dyDescent="0.25">
      <c r="XA67" s="1499"/>
      <c r="XB67" s="1499"/>
      <c r="XC67" s="1499"/>
      <c r="XD67" s="1089"/>
      <c r="XE67" s="1089"/>
      <c r="XF67" s="1089"/>
      <c r="XG67" s="1089"/>
    </row>
    <row r="68" spans="625:631" ht="16.5" x14ac:dyDescent="0.25">
      <c r="XA68" s="1499"/>
      <c r="XB68" s="1499"/>
      <c r="XC68" s="1499"/>
      <c r="XD68" s="1089"/>
      <c r="XE68" s="1089"/>
      <c r="XF68" s="1089"/>
      <c r="XG68" s="1089"/>
    </row>
    <row r="69" spans="625:631" ht="16.5" x14ac:dyDescent="0.25">
      <c r="XA69" s="1499"/>
      <c r="XB69" s="1499"/>
      <c r="XC69" s="1499"/>
      <c r="XD69" s="1089"/>
      <c r="XE69" s="1089"/>
      <c r="XF69" s="1089"/>
      <c r="XG69" s="1089"/>
    </row>
    <row r="70" spans="625:631" ht="16.5" x14ac:dyDescent="0.25">
      <c r="XA70" s="1499"/>
      <c r="XB70" s="1499"/>
      <c r="XC70" s="1499"/>
      <c r="XD70" s="1089"/>
      <c r="XE70" s="1089"/>
      <c r="XF70" s="1089"/>
      <c r="XG70" s="1089"/>
    </row>
    <row r="71" spans="625:631" ht="16.5" x14ac:dyDescent="0.25">
      <c r="XA71" s="1499"/>
      <c r="XB71" s="1499"/>
      <c r="XC71" s="1499"/>
      <c r="XD71" s="1089"/>
      <c r="XE71" s="1089"/>
      <c r="XF71" s="1089"/>
      <c r="XG71" s="1089"/>
    </row>
    <row r="72" spans="625:631" ht="16.5" x14ac:dyDescent="0.25">
      <c r="XA72" s="1499"/>
      <c r="XB72" s="1499"/>
      <c r="XC72" s="1499"/>
      <c r="XD72" s="1089"/>
      <c r="XE72" s="1089"/>
      <c r="XF72" s="1089"/>
      <c r="XG72" s="1089"/>
    </row>
    <row r="73" spans="625:631" ht="16.5" x14ac:dyDescent="0.25">
      <c r="XA73" s="1499"/>
      <c r="XB73" s="1499"/>
      <c r="XC73" s="1499"/>
      <c r="XD73" s="1089"/>
      <c r="XE73" s="1089"/>
      <c r="XF73" s="1089"/>
      <c r="XG73" s="1089"/>
    </row>
    <row r="74" spans="625:631" ht="16.5" x14ac:dyDescent="0.25">
      <c r="XA74" s="1499"/>
      <c r="XB74" s="1499"/>
      <c r="XC74" s="1499"/>
      <c r="XD74" s="1089"/>
      <c r="XE74" s="1089"/>
      <c r="XF74" s="1089"/>
      <c r="XG74" s="1089"/>
    </row>
  </sheetData>
  <mergeCells count="399">
    <mergeCell ref="WL10:WQ10"/>
    <mergeCell ref="WL44:WQ44"/>
    <mergeCell ref="PP8:PY8"/>
    <mergeCell ref="PP9:PY9"/>
    <mergeCell ref="PP10:PY10"/>
    <mergeCell ref="V44:AC44"/>
    <mergeCell ref="BT8:BY8"/>
    <mergeCell ref="BT7:BY7"/>
    <mergeCell ref="BT44:BY44"/>
    <mergeCell ref="IN8:IS10"/>
    <mergeCell ref="IT8:IW8"/>
    <mergeCell ref="IT9:IU10"/>
    <mergeCell ref="IV9:IW10"/>
    <mergeCell ref="IH44:IW44"/>
    <mergeCell ref="CH44:CM44"/>
    <mergeCell ref="CN44:DK44"/>
    <mergeCell ref="DT10:DY10"/>
    <mergeCell ref="DZ10:EE10"/>
    <mergeCell ref="EF10:EM10"/>
    <mergeCell ref="EN10:ES10"/>
    <mergeCell ref="ET10:EY10"/>
    <mergeCell ref="FR10:FW10"/>
    <mergeCell ref="HD8:HI8"/>
    <mergeCell ref="HJ8:HO8"/>
    <mergeCell ref="HV8:IG8"/>
    <mergeCell ref="IH8:IM8"/>
    <mergeCell ref="IB9:IG10"/>
    <mergeCell ref="IH9:IM9"/>
    <mergeCell ref="EZ8:FE10"/>
    <mergeCell ref="DL44:DS44"/>
    <mergeCell ref="AAD44:AAK44"/>
    <mergeCell ref="AAL44:AAS44"/>
    <mergeCell ref="VX44:WC44"/>
    <mergeCell ref="WD44:WI44"/>
    <mergeCell ref="WR44:WW44"/>
    <mergeCell ref="WX44:XC44"/>
    <mergeCell ref="XD44:XI44"/>
    <mergeCell ref="XJ44:XU44"/>
    <mergeCell ref="QX44:RU44"/>
    <mergeCell ref="RV44:SA44"/>
    <mergeCell ref="VT44:VU44"/>
    <mergeCell ref="VV44:VW44"/>
    <mergeCell ref="SB44:SI44"/>
    <mergeCell ref="SJ44:SO44"/>
    <mergeCell ref="SP44:US44"/>
    <mergeCell ref="UT44:UU44"/>
    <mergeCell ref="UV44:VA44"/>
    <mergeCell ref="VH44:VI44"/>
    <mergeCell ref="VJ44:VK44"/>
    <mergeCell ref="VL44:VO44"/>
    <mergeCell ref="VP44:VQ44"/>
    <mergeCell ref="VR44:VS44"/>
    <mergeCell ref="XV44:AAA44"/>
    <mergeCell ref="DT44:DY44"/>
    <mergeCell ref="DZ44:EE44"/>
    <mergeCell ref="EF44:EM44"/>
    <mergeCell ref="EN44:ES44"/>
    <mergeCell ref="ET44:FQ44"/>
    <mergeCell ref="OB44:OI44"/>
    <mergeCell ref="OJ44:PO44"/>
    <mergeCell ref="PP44:QQ44"/>
    <mergeCell ref="FX44:GM44"/>
    <mergeCell ref="FR44:FW44"/>
    <mergeCell ref="GN44:HC44"/>
    <mergeCell ref="HD44:HI44"/>
    <mergeCell ref="HJ44:IG44"/>
    <mergeCell ref="IX44:JC44"/>
    <mergeCell ref="JD44:JI44"/>
    <mergeCell ref="JJ44:KG44"/>
    <mergeCell ref="KH44:LM44"/>
    <mergeCell ref="LN44:MS44"/>
    <mergeCell ref="MT44:OA44"/>
    <mergeCell ref="QR44:QW44"/>
    <mergeCell ref="IH10:IM10"/>
    <mergeCell ref="IX10:JC10"/>
    <mergeCell ref="KR8:LA10"/>
    <mergeCell ref="WR9:WW9"/>
    <mergeCell ref="WX9:XC9"/>
    <mergeCell ref="XD9:XI9"/>
    <mergeCell ref="MT8:NI8"/>
    <mergeCell ref="MT9:NI9"/>
    <mergeCell ref="RV8:SA8"/>
    <mergeCell ref="SB8:SI8"/>
    <mergeCell ref="SJ8:SO8"/>
    <mergeCell ref="SP8:TC8"/>
    <mergeCell ref="TD8:TQ10"/>
    <mergeCell ref="RJ9:RO10"/>
    <mergeCell ref="RP9:RU10"/>
    <mergeCell ref="RV9:SA9"/>
    <mergeCell ref="LB8:LM8"/>
    <mergeCell ref="LN8:LU8"/>
    <mergeCell ref="LV8:MC10"/>
    <mergeCell ref="IX8:JC8"/>
    <mergeCell ref="IX9:JC9"/>
    <mergeCell ref="MD9:MK10"/>
    <mergeCell ref="OZ8:PO8"/>
    <mergeCell ref="QF9:QK10"/>
    <mergeCell ref="F44:M44"/>
    <mergeCell ref="N44:U44"/>
    <mergeCell ref="AD44:AM44"/>
    <mergeCell ref="AP44:AY44"/>
    <mergeCell ref="VT10:VU10"/>
    <mergeCell ref="VV10:VW10"/>
    <mergeCell ref="VX10:WC10"/>
    <mergeCell ref="WD10:WI10"/>
    <mergeCell ref="OJ10:OQ10"/>
    <mergeCell ref="QR10:QW10"/>
    <mergeCell ref="QX10:RC10"/>
    <mergeCell ref="RV10:SA10"/>
    <mergeCell ref="SB10:SI10"/>
    <mergeCell ref="JD10:JI10"/>
    <mergeCell ref="JJ10:JO10"/>
    <mergeCell ref="KH10:KQ10"/>
    <mergeCell ref="LN10:LU10"/>
    <mergeCell ref="MT10:NI10"/>
    <mergeCell ref="AZ44:BK44"/>
    <mergeCell ref="BL44:BS44"/>
    <mergeCell ref="BZ44:CG44"/>
    <mergeCell ref="ML9:MS10"/>
    <mergeCell ref="OB9:OI9"/>
    <mergeCell ref="OJ9:OQ9"/>
    <mergeCell ref="AAP9:AAQ10"/>
    <mergeCell ref="AAR9:AAS10"/>
    <mergeCell ref="ZD9:ZO10"/>
    <mergeCell ref="ZP9:AAA10"/>
    <mergeCell ref="VR10:VS10"/>
    <mergeCell ref="SJ9:SO9"/>
    <mergeCell ref="SP9:TC9"/>
    <mergeCell ref="TR9:UE10"/>
    <mergeCell ref="UF9:US10"/>
    <mergeCell ref="UT9:UU9"/>
    <mergeCell ref="UX9:UY10"/>
    <mergeCell ref="SJ10:SO10"/>
    <mergeCell ref="SP10:TC10"/>
    <mergeCell ref="UT10:UU10"/>
    <mergeCell ref="AAD10:AAE10"/>
    <mergeCell ref="AAL10:AAM10"/>
    <mergeCell ref="WR10:WW10"/>
    <mergeCell ref="WX10:XC10"/>
    <mergeCell ref="XR9:XS10"/>
    <mergeCell ref="XT9:XU10"/>
    <mergeCell ref="XV9:YQ9"/>
    <mergeCell ref="XD10:XI10"/>
    <mergeCell ref="XJ10:XM10"/>
    <mergeCell ref="XV10:YQ10"/>
    <mergeCell ref="AAH9:AAI10"/>
    <mergeCell ref="AAJ9:AAK10"/>
    <mergeCell ref="AAL9:AAM9"/>
    <mergeCell ref="OB10:OI10"/>
    <mergeCell ref="AAF8:AAG10"/>
    <mergeCell ref="AAH8:AAK8"/>
    <mergeCell ref="AAL8:AAM8"/>
    <mergeCell ref="VE7:VE11"/>
    <mergeCell ref="VF7:VF11"/>
    <mergeCell ref="VG7:VG11"/>
    <mergeCell ref="VH7:VI7"/>
    <mergeCell ref="VJ7:VK7"/>
    <mergeCell ref="VL7:VO7"/>
    <mergeCell ref="VH8:VI8"/>
    <mergeCell ref="VJ8:VK8"/>
    <mergeCell ref="VL8:VM10"/>
    <mergeCell ref="VN8:VO10"/>
    <mergeCell ref="VV9:VW9"/>
    <mergeCell ref="VX9:WC9"/>
    <mergeCell ref="XV7:AAA7"/>
    <mergeCell ref="WJ7:WJ11"/>
    <mergeCell ref="WK7:WK11"/>
    <mergeCell ref="WR7:WW7"/>
    <mergeCell ref="WX7:XC7"/>
    <mergeCell ref="V10:AC10"/>
    <mergeCell ref="AP10:AU10"/>
    <mergeCell ref="AZ10:BC10"/>
    <mergeCell ref="XJ9:XM9"/>
    <mergeCell ref="UZ9:VA10"/>
    <mergeCell ref="VH9:VI9"/>
    <mergeCell ref="VJ9:VK9"/>
    <mergeCell ref="VP9:VQ9"/>
    <mergeCell ref="VR9:VS9"/>
    <mergeCell ref="VT9:VU9"/>
    <mergeCell ref="VH10:VI10"/>
    <mergeCell ref="VJ10:VK10"/>
    <mergeCell ref="VP10:VQ10"/>
    <mergeCell ref="BZ10:CA10"/>
    <mergeCell ref="CH10:CM10"/>
    <mergeCell ref="CN10:DA10"/>
    <mergeCell ref="DL10:DS10"/>
    <mergeCell ref="OZ9:PG10"/>
    <mergeCell ref="PH9:PO10"/>
    <mergeCell ref="LB9:LG10"/>
    <mergeCell ref="LH9:LM10"/>
    <mergeCell ref="SB9:SI9"/>
    <mergeCell ref="NP9:NU10"/>
    <mergeCell ref="NV9:OA10"/>
    <mergeCell ref="DL9:DS9"/>
    <mergeCell ref="DT9:DY9"/>
    <mergeCell ref="DZ9:EE9"/>
    <mergeCell ref="EF9:EM9"/>
    <mergeCell ref="EN9:ES9"/>
    <mergeCell ref="ET9:EY9"/>
    <mergeCell ref="BL10:BM10"/>
    <mergeCell ref="BH9:BI10"/>
    <mergeCell ref="BJ9:BK10"/>
    <mergeCell ref="BL9:BM9"/>
    <mergeCell ref="BP9:BQ10"/>
    <mergeCell ref="BR9:BS10"/>
    <mergeCell ref="BZ9:CA9"/>
    <mergeCell ref="BT9:BY9"/>
    <mergeCell ref="BT10:BY10"/>
    <mergeCell ref="HP8:HU10"/>
    <mergeCell ref="HD10:HI10"/>
    <mergeCell ref="HJ10:HO10"/>
    <mergeCell ref="CB8:CC10"/>
    <mergeCell ref="CD8:CG8"/>
    <mergeCell ref="CH8:CM8"/>
    <mergeCell ref="CN8:DA8"/>
    <mergeCell ref="DB8:DG10"/>
    <mergeCell ref="AAN8:AAO10"/>
    <mergeCell ref="AAP8:AAS8"/>
    <mergeCell ref="F9:G9"/>
    <mergeCell ref="J9:K10"/>
    <mergeCell ref="L9:M10"/>
    <mergeCell ref="N9:O9"/>
    <mergeCell ref="R9:S10"/>
    <mergeCell ref="XN8:XQ10"/>
    <mergeCell ref="XR8:XU8"/>
    <mergeCell ref="XV8:YQ8"/>
    <mergeCell ref="YR8:ZC10"/>
    <mergeCell ref="ZD8:AAA8"/>
    <mergeCell ref="AAD8:AAE8"/>
    <mergeCell ref="AAD9:AAE9"/>
    <mergeCell ref="VP8:VQ8"/>
    <mergeCell ref="VR8:VS8"/>
    <mergeCell ref="VT8:VU8"/>
    <mergeCell ref="VV8:VW8"/>
    <mergeCell ref="VX8:WC8"/>
    <mergeCell ref="T9:U10"/>
    <mergeCell ref="RJ8:RU8"/>
    <mergeCell ref="HD9:HI9"/>
    <mergeCell ref="HJ9:HO9"/>
    <mergeCell ref="HV9:IA10"/>
    <mergeCell ref="GZ8:HC8"/>
    <mergeCell ref="ET8:EY8"/>
    <mergeCell ref="FF8:FQ8"/>
    <mergeCell ref="FR8:FW8"/>
    <mergeCell ref="FX8:GC8"/>
    <mergeCell ref="GN8:GU8"/>
    <mergeCell ref="GV8:GY10"/>
    <mergeCell ref="FF9:FK10"/>
    <mergeCell ref="FL9:FQ10"/>
    <mergeCell ref="FR9:FW9"/>
    <mergeCell ref="FX9:GC9"/>
    <mergeCell ref="GN9:GU9"/>
    <mergeCell ref="GZ9:HA10"/>
    <mergeCell ref="HB9:HC10"/>
    <mergeCell ref="FX10:GC10"/>
    <mergeCell ref="GN10:GU10"/>
    <mergeCell ref="DH8:DK8"/>
    <mergeCell ref="CN9:DA9"/>
    <mergeCell ref="DH9:DI10"/>
    <mergeCell ref="DJ9:DK10"/>
    <mergeCell ref="CD9:CE10"/>
    <mergeCell ref="CF9:CG10"/>
    <mergeCell ref="CH9:CM9"/>
    <mergeCell ref="DL8:DS8"/>
    <mergeCell ref="DT8:DY8"/>
    <mergeCell ref="DZ8:EE8"/>
    <mergeCell ref="EF8:EM8"/>
    <mergeCell ref="EN8:ES8"/>
    <mergeCell ref="GD8:GI10"/>
    <mergeCell ref="GJ8:GM8"/>
    <mergeCell ref="GJ9:GK10"/>
    <mergeCell ref="GL9:GM10"/>
    <mergeCell ref="XD7:XI7"/>
    <mergeCell ref="XJ7:XU7"/>
    <mergeCell ref="WR8:WW8"/>
    <mergeCell ref="WX8:XC8"/>
    <mergeCell ref="XD8:XI8"/>
    <mergeCell ref="XJ8:XM8"/>
    <mergeCell ref="WD9:WI9"/>
    <mergeCell ref="WD8:WI8"/>
    <mergeCell ref="VP7:VQ7"/>
    <mergeCell ref="VR7:VS7"/>
    <mergeCell ref="VT7:VU7"/>
    <mergeCell ref="VV7:VW7"/>
    <mergeCell ref="VX7:WC7"/>
    <mergeCell ref="WD7:WI7"/>
    <mergeCell ref="WL7:WQ7"/>
    <mergeCell ref="WL8:WQ8"/>
    <mergeCell ref="WL9:WQ9"/>
    <mergeCell ref="RV7:SA7"/>
    <mergeCell ref="SB7:SI7"/>
    <mergeCell ref="JD7:JI7"/>
    <mergeCell ref="JJ7:KG7"/>
    <mergeCell ref="KH7:LM7"/>
    <mergeCell ref="LN7:MS7"/>
    <mergeCell ref="MT7:OA7"/>
    <mergeCell ref="OB7:OI7"/>
    <mergeCell ref="SJ7:SO7"/>
    <mergeCell ref="SP7:US7"/>
    <mergeCell ref="UT7:VA7"/>
    <mergeCell ref="VB7:VB11"/>
    <mergeCell ref="VC7:VC11"/>
    <mergeCell ref="VD7:VD11"/>
    <mergeCell ref="UT8:UU8"/>
    <mergeCell ref="UV8:UW10"/>
    <mergeCell ref="UX8:VA8"/>
    <mergeCell ref="TR8:US8"/>
    <mergeCell ref="JJ8:JO8"/>
    <mergeCell ref="JP8:JU10"/>
    <mergeCell ref="JV8:KG8"/>
    <mergeCell ref="KH8:KQ8"/>
    <mergeCell ref="JD9:JI9"/>
    <mergeCell ref="JJ9:JO9"/>
    <mergeCell ref="JV9:KA10"/>
    <mergeCell ref="KB9:KG10"/>
    <mergeCell ref="KH9:KQ9"/>
    <mergeCell ref="LN9:LU9"/>
    <mergeCell ref="MD8:MS8"/>
    <mergeCell ref="ET7:FQ7"/>
    <mergeCell ref="FR7:FW7"/>
    <mergeCell ref="OJ7:PO7"/>
    <mergeCell ref="PP7:QQ7"/>
    <mergeCell ref="QR7:QW7"/>
    <mergeCell ref="QX7:RU7"/>
    <mergeCell ref="FX7:GM7"/>
    <mergeCell ref="IH7:IW7"/>
    <mergeCell ref="PZ8:QE10"/>
    <mergeCell ref="QF8:QQ8"/>
    <mergeCell ref="QR8:QW8"/>
    <mergeCell ref="QX8:RC8"/>
    <mergeCell ref="RD8:RI10"/>
    <mergeCell ref="QX9:RC9"/>
    <mergeCell ref="NJ8:NO10"/>
    <mergeCell ref="NP8:OA8"/>
    <mergeCell ref="QL9:QQ10"/>
    <mergeCell ref="QR9:QW9"/>
    <mergeCell ref="OB8:OI8"/>
    <mergeCell ref="OJ8:OQ8"/>
    <mergeCell ref="OR8:OY10"/>
    <mergeCell ref="JD8:JI8"/>
    <mergeCell ref="VB6:VM6"/>
    <mergeCell ref="AAD6:AAK7"/>
    <mergeCell ref="AAL6:AAS7"/>
    <mergeCell ref="D7:D11"/>
    <mergeCell ref="E7:E11"/>
    <mergeCell ref="F7:M7"/>
    <mergeCell ref="N7:U7"/>
    <mergeCell ref="V7:AM7"/>
    <mergeCell ref="WJ6:XA6"/>
    <mergeCell ref="BL7:BS7"/>
    <mergeCell ref="BZ7:CG7"/>
    <mergeCell ref="CH7:CM7"/>
    <mergeCell ref="CN7:DK7"/>
    <mergeCell ref="DL7:DS7"/>
    <mergeCell ref="AAB6:AAB11"/>
    <mergeCell ref="AAC6:AAC11"/>
    <mergeCell ref="GN7:HC7"/>
    <mergeCell ref="HD7:HI7"/>
    <mergeCell ref="HJ7:IG7"/>
    <mergeCell ref="IX7:JC7"/>
    <mergeCell ref="DT7:DY7"/>
    <mergeCell ref="DZ7:EE7"/>
    <mergeCell ref="EF7:EM7"/>
    <mergeCell ref="BD8:BG10"/>
    <mergeCell ref="E2:J2"/>
    <mergeCell ref="E3:J3"/>
    <mergeCell ref="B8:C10"/>
    <mergeCell ref="F8:G8"/>
    <mergeCell ref="H8:I10"/>
    <mergeCell ref="J8:M8"/>
    <mergeCell ref="N8:O8"/>
    <mergeCell ref="P8:Q10"/>
    <mergeCell ref="R8:U8"/>
    <mergeCell ref="F10:G10"/>
    <mergeCell ref="N10:O10"/>
    <mergeCell ref="EN7:ES7"/>
    <mergeCell ref="A5:A11"/>
    <mergeCell ref="B5:C7"/>
    <mergeCell ref="AN7:AN11"/>
    <mergeCell ref="AO7:AO11"/>
    <mergeCell ref="AP7:AY7"/>
    <mergeCell ref="AZ7:BK7"/>
    <mergeCell ref="D6:M6"/>
    <mergeCell ref="V8:AC8"/>
    <mergeCell ref="AD8:AI10"/>
    <mergeCell ref="AJ8:AM8"/>
    <mergeCell ref="AP8:AU8"/>
    <mergeCell ref="AV8:AY10"/>
    <mergeCell ref="AZ8:BC8"/>
    <mergeCell ref="AZ9:BC9"/>
    <mergeCell ref="BH8:BK8"/>
    <mergeCell ref="BL8:BM8"/>
    <mergeCell ref="BN8:BO10"/>
    <mergeCell ref="BP8:BS8"/>
    <mergeCell ref="BZ8:CA8"/>
    <mergeCell ref="V9:AC9"/>
    <mergeCell ref="AJ9:AK10"/>
    <mergeCell ref="AL9:AM10"/>
    <mergeCell ref="AP9:AU9"/>
  </mergeCells>
  <pageMargins left="0.78740157480314965" right="0.39370078740157483" top="0.39370078740157483" bottom="0.39370078740157483" header="0.31496062992125984" footer="0.31496062992125984"/>
  <pageSetup paperSize="9" scale="45" fitToWidth="50" orientation="landscape" horizontalDpi="300" verticalDpi="300" r:id="rId1"/>
  <headerFooter>
    <oddFooter>&amp;L&amp;P&amp;R&amp;Z&amp;F&amp;A</oddFooter>
  </headerFooter>
  <colBreaks count="13" manualBreakCount="13">
    <brk id="15" max="44" man="1"/>
    <brk id="41" max="44" man="1"/>
    <brk id="99" max="44" man="1"/>
    <brk id="153" max="44" man="1"/>
    <brk id="235" max="44" man="1"/>
    <brk id="267" max="44" man="1"/>
    <brk id="385" max="44" man="1"/>
    <brk id="451" max="44" man="1"/>
    <brk id="565" max="44" man="1"/>
    <brk id="585" max="44" man="1"/>
    <brk id="609" max="44" man="1"/>
    <brk id="643" max="44" man="1"/>
    <brk id="709" max="4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H41"/>
  <sheetViews>
    <sheetView zoomScaleNormal="100" zoomScaleSheetLayoutView="80" workbookViewId="0">
      <pane xSplit="7" ySplit="4" topLeftCell="H5" activePane="bottomRight" state="frozen"/>
      <selection pane="topRight" activeCell="H1" sqref="H1"/>
      <selection pane="bottomLeft" activeCell="A5" sqref="A5"/>
      <selection pane="bottomRight" activeCell="A42" sqref="A42"/>
    </sheetView>
  </sheetViews>
  <sheetFormatPr defaultColWidth="8.7109375" defaultRowHeight="12.75" x14ac:dyDescent="0.25"/>
  <cols>
    <col min="1" max="1" width="12.5703125" style="206" customWidth="1"/>
    <col min="2" max="2" width="13.7109375" style="206" customWidth="1"/>
    <col min="3" max="3" width="16.42578125" style="206" customWidth="1"/>
    <col min="4" max="4" width="13.5703125" style="206" customWidth="1"/>
    <col min="5" max="5" width="32.42578125" style="206" customWidth="1"/>
    <col min="6" max="6" width="15.85546875" style="206" customWidth="1"/>
    <col min="7" max="7" width="18" style="206" customWidth="1"/>
    <col min="8" max="8" width="22.28515625" style="206" customWidth="1"/>
    <col min="9" max="16384" width="8.7109375" style="206"/>
  </cols>
  <sheetData>
    <row r="2" spans="1:8" ht="15" x14ac:dyDescent="0.25">
      <c r="A2" s="1890" t="s">
        <v>0</v>
      </c>
      <c r="B2" s="1890"/>
      <c r="C2" s="1890"/>
      <c r="D2" s="1890"/>
      <c r="E2" s="1890"/>
      <c r="F2" s="1890"/>
      <c r="G2" s="1890"/>
      <c r="H2" s="1890"/>
    </row>
    <row r="3" spans="1:8" ht="15" x14ac:dyDescent="0.25">
      <c r="F3" s="1268">
        <f>SUM(F6:F33)-F5</f>
        <v>0</v>
      </c>
      <c r="G3" s="1268">
        <f>SUM(G6:G33)-G5</f>
        <v>0</v>
      </c>
    </row>
    <row r="4" spans="1:8" ht="45" x14ac:dyDescent="0.25">
      <c r="A4" s="1224" t="s">
        <v>1303</v>
      </c>
      <c r="B4" s="1224" t="s">
        <v>2</v>
      </c>
      <c r="C4" s="1224" t="s">
        <v>3</v>
      </c>
      <c r="D4" s="1224" t="s">
        <v>4</v>
      </c>
      <c r="E4" s="1224" t="s">
        <v>5</v>
      </c>
      <c r="F4" s="1223" t="s">
        <v>6</v>
      </c>
      <c r="G4" s="1223" t="s">
        <v>7</v>
      </c>
      <c r="H4" s="1223" t="s">
        <v>372</v>
      </c>
    </row>
    <row r="5" spans="1:8" ht="15" x14ac:dyDescent="0.25">
      <c r="A5" s="1269"/>
      <c r="B5" s="1269"/>
      <c r="C5" s="1269" t="s">
        <v>1304</v>
      </c>
      <c r="D5" s="1269"/>
      <c r="E5" s="1270"/>
      <c r="F5" s="1271">
        <v>110488606.55</v>
      </c>
      <c r="G5" s="1271">
        <v>11273892.15</v>
      </c>
      <c r="H5" s="1263">
        <f>SUM(H6:H7)</f>
        <v>1656775.96</v>
      </c>
    </row>
    <row r="6" spans="1:8" ht="15" x14ac:dyDescent="0.25">
      <c r="A6" s="2" t="s">
        <v>1307</v>
      </c>
      <c r="B6" s="2" t="s">
        <v>10</v>
      </c>
      <c r="C6" s="2" t="s">
        <v>1304</v>
      </c>
      <c r="D6" s="2"/>
      <c r="E6" s="1272"/>
      <c r="F6" s="1273">
        <v>1656775.96</v>
      </c>
      <c r="G6" s="1273">
        <v>0</v>
      </c>
      <c r="H6" s="1263">
        <f t="shared" ref="H6:H7" si="0">F6</f>
        <v>1656775.96</v>
      </c>
    </row>
    <row r="7" spans="1:8" ht="15" x14ac:dyDescent="0.25">
      <c r="A7" s="2" t="s">
        <v>1308</v>
      </c>
      <c r="B7" s="2" t="s">
        <v>1309</v>
      </c>
      <c r="C7" s="2" t="s">
        <v>1304</v>
      </c>
      <c r="D7" s="2"/>
      <c r="E7" s="1272"/>
      <c r="F7" s="1273">
        <v>0</v>
      </c>
      <c r="G7" s="1273">
        <v>0</v>
      </c>
      <c r="H7" s="1263">
        <f t="shared" si="0"/>
        <v>0</v>
      </c>
    </row>
    <row r="8" spans="1:8" ht="25.5" x14ac:dyDescent="0.25">
      <c r="A8" s="2" t="s">
        <v>1307</v>
      </c>
      <c r="B8" s="2" t="s">
        <v>10</v>
      </c>
      <c r="C8" s="2" t="s">
        <v>1304</v>
      </c>
      <c r="D8" s="2" t="s">
        <v>1310</v>
      </c>
      <c r="E8" s="1272" t="s">
        <v>34</v>
      </c>
      <c r="F8" s="1273">
        <v>1230322.1100000001</v>
      </c>
      <c r="G8" s="1273">
        <v>0</v>
      </c>
    </row>
    <row r="9" spans="1:8" ht="25.5" x14ac:dyDescent="0.25">
      <c r="A9" s="2" t="s">
        <v>1307</v>
      </c>
      <c r="B9" s="2" t="s">
        <v>10</v>
      </c>
      <c r="C9" s="2" t="s">
        <v>1304</v>
      </c>
      <c r="D9" s="2" t="s">
        <v>1311</v>
      </c>
      <c r="E9" s="1272" t="s">
        <v>82</v>
      </c>
      <c r="F9" s="1273">
        <v>3307047.49</v>
      </c>
      <c r="G9" s="1273">
        <v>0</v>
      </c>
    </row>
    <row r="10" spans="1:8" ht="25.5" x14ac:dyDescent="0.25">
      <c r="A10" s="2" t="s">
        <v>1306</v>
      </c>
      <c r="B10" s="2" t="s">
        <v>9</v>
      </c>
      <c r="C10" s="2" t="s">
        <v>1304</v>
      </c>
      <c r="D10" s="2" t="s">
        <v>1375</v>
      </c>
      <c r="E10" s="1272" t="s">
        <v>1301</v>
      </c>
      <c r="F10" s="1273">
        <v>9267014</v>
      </c>
      <c r="G10" s="1273">
        <v>0</v>
      </c>
    </row>
    <row r="11" spans="1:8" ht="25.5" x14ac:dyDescent="0.25">
      <c r="A11" s="2" t="s">
        <v>1307</v>
      </c>
      <c r="B11" s="2" t="s">
        <v>10</v>
      </c>
      <c r="C11" s="2" t="s">
        <v>1304</v>
      </c>
      <c r="D11" s="2" t="s">
        <v>1312</v>
      </c>
      <c r="E11" s="1272" t="s">
        <v>184</v>
      </c>
      <c r="F11" s="1273">
        <v>3521500</v>
      </c>
      <c r="G11" s="1273">
        <v>0</v>
      </c>
    </row>
    <row r="12" spans="1:8" x14ac:dyDescent="0.25">
      <c r="A12" s="2" t="s">
        <v>1307</v>
      </c>
      <c r="B12" s="2" t="s">
        <v>10</v>
      </c>
      <c r="C12" s="2" t="s">
        <v>1304</v>
      </c>
      <c r="D12" s="2" t="s">
        <v>14</v>
      </c>
      <c r="E12" s="1272" t="s">
        <v>15</v>
      </c>
      <c r="F12" s="1273">
        <v>527150.19999999995</v>
      </c>
      <c r="G12" s="1273">
        <v>0</v>
      </c>
    </row>
    <row r="13" spans="1:8" x14ac:dyDescent="0.25">
      <c r="A13" s="2" t="s">
        <v>1307</v>
      </c>
      <c r="B13" s="2" t="s">
        <v>10</v>
      </c>
      <c r="C13" s="2" t="s">
        <v>1304</v>
      </c>
      <c r="D13" s="2" t="s">
        <v>1313</v>
      </c>
      <c r="E13" s="1272" t="s">
        <v>1314</v>
      </c>
      <c r="F13" s="1273">
        <v>785285.6</v>
      </c>
      <c r="G13" s="1273">
        <v>785285.6</v>
      </c>
    </row>
    <row r="14" spans="1:8" x14ac:dyDescent="0.25">
      <c r="A14" s="2" t="s">
        <v>1307</v>
      </c>
      <c r="B14" s="2" t="s">
        <v>10</v>
      </c>
      <c r="C14" s="2" t="s">
        <v>1304</v>
      </c>
      <c r="D14" s="2" t="s">
        <v>1315</v>
      </c>
      <c r="E14" s="1272" t="s">
        <v>1316</v>
      </c>
      <c r="F14" s="1273">
        <v>1442339.5</v>
      </c>
      <c r="G14" s="1273">
        <v>0</v>
      </c>
    </row>
    <row r="15" spans="1:8" x14ac:dyDescent="0.25">
      <c r="A15" s="2" t="s">
        <v>1306</v>
      </c>
      <c r="B15" s="2" t="s">
        <v>9</v>
      </c>
      <c r="C15" s="2" t="s">
        <v>1304</v>
      </c>
      <c r="D15" s="2" t="s">
        <v>1376</v>
      </c>
      <c r="E15" s="1272" t="s">
        <v>1380</v>
      </c>
      <c r="F15" s="1273">
        <v>3939908.21</v>
      </c>
      <c r="G15" s="1273">
        <v>0</v>
      </c>
    </row>
    <row r="16" spans="1:8" x14ac:dyDescent="0.25">
      <c r="A16" s="2" t="s">
        <v>1306</v>
      </c>
      <c r="B16" s="2" t="s">
        <v>9</v>
      </c>
      <c r="C16" s="2" t="s">
        <v>1304</v>
      </c>
      <c r="D16" s="2" t="s">
        <v>1377</v>
      </c>
      <c r="E16" s="1272" t="s">
        <v>1381</v>
      </c>
      <c r="F16" s="1273">
        <v>5785100</v>
      </c>
      <c r="G16" s="1273">
        <v>0</v>
      </c>
    </row>
    <row r="17" spans="1:7" x14ac:dyDescent="0.25">
      <c r="A17" s="2" t="s">
        <v>1307</v>
      </c>
      <c r="B17" s="2" t="s">
        <v>10</v>
      </c>
      <c r="C17" s="2" t="s">
        <v>1304</v>
      </c>
      <c r="D17" s="2" t="s">
        <v>1317</v>
      </c>
      <c r="E17" s="1272" t="s">
        <v>1318</v>
      </c>
      <c r="F17" s="1273">
        <v>1968929.84</v>
      </c>
      <c r="G17" s="1273">
        <v>0</v>
      </c>
    </row>
    <row r="18" spans="1:7" x14ac:dyDescent="0.25">
      <c r="A18" s="2" t="s">
        <v>1306</v>
      </c>
      <c r="B18" s="2" t="s">
        <v>9</v>
      </c>
      <c r="C18" s="2" t="s">
        <v>1304</v>
      </c>
      <c r="D18" s="2" t="s">
        <v>19</v>
      </c>
      <c r="E18" s="1272" t="s">
        <v>20</v>
      </c>
      <c r="F18" s="1273">
        <v>24368334.550000001</v>
      </c>
      <c r="G18" s="1273">
        <v>10488606.550000001</v>
      </c>
    </row>
    <row r="19" spans="1:7" x14ac:dyDescent="0.25">
      <c r="A19" s="2" t="s">
        <v>1307</v>
      </c>
      <c r="B19" s="2" t="s">
        <v>10</v>
      </c>
      <c r="C19" s="2" t="s">
        <v>1304</v>
      </c>
      <c r="D19" s="2" t="s">
        <v>1319</v>
      </c>
      <c r="E19" s="1272" t="s">
        <v>1320</v>
      </c>
      <c r="F19" s="1273">
        <v>1667137.96</v>
      </c>
      <c r="G19" s="1273">
        <v>0</v>
      </c>
    </row>
    <row r="20" spans="1:7" x14ac:dyDescent="0.25">
      <c r="A20" s="2" t="s">
        <v>1307</v>
      </c>
      <c r="B20" s="2" t="s">
        <v>10</v>
      </c>
      <c r="C20" s="2" t="s">
        <v>1304</v>
      </c>
      <c r="D20" s="2" t="s">
        <v>1321</v>
      </c>
      <c r="E20" s="1272" t="s">
        <v>1322</v>
      </c>
      <c r="F20" s="1273">
        <v>3145111.6</v>
      </c>
      <c r="G20" s="1273">
        <v>0</v>
      </c>
    </row>
    <row r="21" spans="1:7" x14ac:dyDescent="0.25">
      <c r="A21" s="2" t="s">
        <v>1307</v>
      </c>
      <c r="B21" s="2" t="s">
        <v>10</v>
      </c>
      <c r="C21" s="2" t="s">
        <v>1304</v>
      </c>
      <c r="D21" s="2" t="s">
        <v>23</v>
      </c>
      <c r="E21" s="1272" t="s">
        <v>24</v>
      </c>
      <c r="F21" s="1273">
        <v>10789701.5</v>
      </c>
      <c r="G21" s="1273">
        <v>0</v>
      </c>
    </row>
    <row r="22" spans="1:7" x14ac:dyDescent="0.25">
      <c r="A22" s="2" t="s">
        <v>1305</v>
      </c>
      <c r="B22" s="2" t="s">
        <v>12</v>
      </c>
      <c r="C22" s="2" t="s">
        <v>1304</v>
      </c>
      <c r="D22" s="2" t="s">
        <v>1388</v>
      </c>
      <c r="E22" s="1272" t="s">
        <v>1389</v>
      </c>
      <c r="F22" s="1273">
        <v>2207761.0699999998</v>
      </c>
      <c r="G22" s="1273">
        <v>0</v>
      </c>
    </row>
    <row r="23" spans="1:7" x14ac:dyDescent="0.25">
      <c r="A23" s="2" t="s">
        <v>1307</v>
      </c>
      <c r="B23" s="2" t="s">
        <v>10</v>
      </c>
      <c r="C23" s="2" t="s">
        <v>1304</v>
      </c>
      <c r="D23" s="2" t="s">
        <v>1323</v>
      </c>
      <c r="E23" s="1272" t="s">
        <v>1324</v>
      </c>
      <c r="F23" s="1273">
        <v>6813576</v>
      </c>
      <c r="G23" s="1273">
        <v>0</v>
      </c>
    </row>
    <row r="24" spans="1:7" x14ac:dyDescent="0.25">
      <c r="A24" s="2" t="s">
        <v>1307</v>
      </c>
      <c r="B24" s="2" t="s">
        <v>10</v>
      </c>
      <c r="C24" s="2" t="s">
        <v>1304</v>
      </c>
      <c r="D24" s="2" t="s">
        <v>1325</v>
      </c>
      <c r="E24" s="1272" t="s">
        <v>1326</v>
      </c>
      <c r="F24" s="1273">
        <v>1700000</v>
      </c>
      <c r="G24" s="1273">
        <v>0</v>
      </c>
    </row>
    <row r="25" spans="1:7" x14ac:dyDescent="0.25">
      <c r="A25" s="2" t="s">
        <v>1306</v>
      </c>
      <c r="B25" s="2" t="s">
        <v>9</v>
      </c>
      <c r="C25" s="2" t="s">
        <v>1304</v>
      </c>
      <c r="D25" s="2" t="s">
        <v>1378</v>
      </c>
      <c r="E25" s="1272" t="s">
        <v>1382</v>
      </c>
      <c r="F25" s="1273">
        <v>8059349.7000000002</v>
      </c>
      <c r="G25" s="1273">
        <v>0</v>
      </c>
    </row>
    <row r="26" spans="1:7" x14ac:dyDescent="0.25">
      <c r="A26" s="2" t="s">
        <v>1307</v>
      </c>
      <c r="B26" s="2" t="s">
        <v>10</v>
      </c>
      <c r="C26" s="2" t="s">
        <v>1304</v>
      </c>
      <c r="D26" s="2" t="s">
        <v>1327</v>
      </c>
      <c r="E26" s="1272" t="s">
        <v>1328</v>
      </c>
      <c r="F26" s="1273">
        <v>570542.94999999995</v>
      </c>
      <c r="G26" s="1273">
        <v>0</v>
      </c>
    </row>
    <row r="27" spans="1:7" x14ac:dyDescent="0.25">
      <c r="A27" s="2" t="s">
        <v>1307</v>
      </c>
      <c r="B27" s="2" t="s">
        <v>10</v>
      </c>
      <c r="C27" s="2" t="s">
        <v>1304</v>
      </c>
      <c r="D27" s="2" t="s">
        <v>1329</v>
      </c>
      <c r="E27" s="1272" t="s">
        <v>1330</v>
      </c>
      <c r="F27" s="1273">
        <v>1467294.42</v>
      </c>
      <c r="G27" s="1273">
        <v>0</v>
      </c>
    </row>
    <row r="28" spans="1:7" x14ac:dyDescent="0.25">
      <c r="A28" s="2" t="s">
        <v>1306</v>
      </c>
      <c r="B28" s="2" t="s">
        <v>9</v>
      </c>
      <c r="C28" s="2" t="s">
        <v>1304</v>
      </c>
      <c r="D28" s="2" t="s">
        <v>1379</v>
      </c>
      <c r="E28" s="1272" t="s">
        <v>1383</v>
      </c>
      <c r="F28" s="1273">
        <v>4643517.37</v>
      </c>
      <c r="G28" s="1273">
        <v>0</v>
      </c>
    </row>
    <row r="29" spans="1:7" x14ac:dyDescent="0.25">
      <c r="A29" s="2" t="s">
        <v>1307</v>
      </c>
      <c r="B29" s="2" t="s">
        <v>10</v>
      </c>
      <c r="C29" s="2" t="s">
        <v>1304</v>
      </c>
      <c r="D29" s="2" t="s">
        <v>1331</v>
      </c>
      <c r="E29" s="1272" t="s">
        <v>1332</v>
      </c>
      <c r="F29" s="1273">
        <v>960500</v>
      </c>
      <c r="G29" s="1273">
        <v>0</v>
      </c>
    </row>
    <row r="30" spans="1:7" x14ac:dyDescent="0.25">
      <c r="A30" s="2" t="s">
        <v>1307</v>
      </c>
      <c r="B30" s="2" t="s">
        <v>10</v>
      </c>
      <c r="C30" s="2" t="s">
        <v>1304</v>
      </c>
      <c r="D30" s="2" t="s">
        <v>1333</v>
      </c>
      <c r="E30" s="1272" t="s">
        <v>1334</v>
      </c>
      <c r="F30" s="1273">
        <v>865674.53</v>
      </c>
      <c r="G30" s="1273">
        <v>0</v>
      </c>
    </row>
    <row r="31" spans="1:7" ht="63.75" x14ac:dyDescent="0.25">
      <c r="A31" s="2" t="s">
        <v>1305</v>
      </c>
      <c r="B31" s="2" t="s">
        <v>12</v>
      </c>
      <c r="C31" s="2" t="s">
        <v>1304</v>
      </c>
      <c r="D31" s="2" t="s">
        <v>1390</v>
      </c>
      <c r="E31" s="1272" t="s">
        <v>1391</v>
      </c>
      <c r="F31" s="1273">
        <v>3230772.52</v>
      </c>
      <c r="G31" s="1273">
        <v>0</v>
      </c>
    </row>
    <row r="32" spans="1:7" x14ac:dyDescent="0.25">
      <c r="A32" s="2" t="s">
        <v>1307</v>
      </c>
      <c r="B32" s="2" t="s">
        <v>10</v>
      </c>
      <c r="C32" s="2" t="s">
        <v>1304</v>
      </c>
      <c r="D32" s="2" t="s">
        <v>1335</v>
      </c>
      <c r="E32" s="1272" t="s">
        <v>1336</v>
      </c>
      <c r="F32" s="1273">
        <v>1599462</v>
      </c>
      <c r="G32" s="1273">
        <v>0</v>
      </c>
    </row>
    <row r="33" spans="1:8" x14ac:dyDescent="0.25">
      <c r="A33" s="2" t="s">
        <v>1305</v>
      </c>
      <c r="B33" s="2" t="s">
        <v>12</v>
      </c>
      <c r="C33" s="2" t="s">
        <v>1304</v>
      </c>
      <c r="D33" s="2" t="s">
        <v>1392</v>
      </c>
      <c r="E33" s="1272" t="s">
        <v>1393</v>
      </c>
      <c r="F33" s="1273">
        <v>4968497.47</v>
      </c>
      <c r="G33" s="1273">
        <v>0</v>
      </c>
    </row>
    <row r="37" spans="1:8" x14ac:dyDescent="0.25">
      <c r="D37" s="2" t="s">
        <v>10</v>
      </c>
      <c r="E37" s="3">
        <f>'Иные  МБТ'!D23</f>
        <v>44018351.659999996</v>
      </c>
      <c r="F37" s="1225">
        <f>F8+F9+F11+F12+F13+F14+F17+F19+F20+F21+F23+F24+F26+F27+F29+F30+F32</f>
        <v>42361575.700000003</v>
      </c>
      <c r="G37" s="1225">
        <f>G6+G8+G9+G11+G12+G13+G14+G17+G19+G20+G21+G23+G24+G26+G27+G29+G30+G32</f>
        <v>785285.6</v>
      </c>
      <c r="H37" s="1225">
        <f>E37-F37</f>
        <v>1656775.9599999934</v>
      </c>
    </row>
    <row r="38" spans="1:8" x14ac:dyDescent="0.25">
      <c r="D38" s="2" t="s">
        <v>12</v>
      </c>
      <c r="E38" s="3">
        <f>'Иные  МБТ'!D43</f>
        <v>10407031.060000001</v>
      </c>
      <c r="F38" s="1225">
        <f>F22+F31+F33</f>
        <v>10407031.059999999</v>
      </c>
      <c r="G38" s="1225">
        <f>G22+G31+G33</f>
        <v>0</v>
      </c>
      <c r="H38" s="1225">
        <f t="shared" ref="H38:H40" si="1">E38-F38</f>
        <v>0</v>
      </c>
    </row>
    <row r="39" spans="1:8" x14ac:dyDescent="0.25">
      <c r="D39" s="2" t="s">
        <v>9</v>
      </c>
      <c r="E39" s="3">
        <f>'Иные  МБТ'!D52</f>
        <v>56063223.829999998</v>
      </c>
      <c r="F39" s="1225">
        <f>F10+F15+F16+F18+F25+F28</f>
        <v>56063223.830000006</v>
      </c>
      <c r="G39" s="1225">
        <f>G10+G15+G16+G18+G25+G28</f>
        <v>10488606.550000001</v>
      </c>
      <c r="H39" s="1225">
        <f t="shared" si="1"/>
        <v>0</v>
      </c>
    </row>
    <row r="40" spans="1:8" x14ac:dyDescent="0.25">
      <c r="D40" s="2" t="s">
        <v>31</v>
      </c>
      <c r="E40" s="3">
        <f>SUM(E37:E39)</f>
        <v>110488606.55</v>
      </c>
      <c r="F40" s="3">
        <f t="shared" ref="F40:G40" si="2">SUM(F37:F39)</f>
        <v>108831830.59</v>
      </c>
      <c r="G40" s="3">
        <f t="shared" si="2"/>
        <v>11273892.15</v>
      </c>
      <c r="H40" s="1225">
        <f t="shared" si="1"/>
        <v>1656775.9599999934</v>
      </c>
    </row>
    <row r="41" spans="1:8" x14ac:dyDescent="0.25">
      <c r="F41" s="271">
        <f>F40-F5+H40</f>
        <v>0</v>
      </c>
      <c r="G41" s="271">
        <f>G40-G5</f>
        <v>0</v>
      </c>
      <c r="H41" s="271">
        <f>H40-H5</f>
        <v>-6.5192580223083496E-9</v>
      </c>
    </row>
  </sheetData>
  <mergeCells count="1">
    <mergeCell ref="A2:H2"/>
  </mergeCells>
  <pageMargins left="0.78740157480314965" right="0.39370078740157483" top="0.59055118110236227" bottom="0.59055118110236227" header="0.31496062992125984" footer="0.31496062992125984"/>
  <pageSetup paperSize="9" scale="94" fitToHeight="5" orientation="landscape" horizontalDpi="300" verticalDpi="300" r:id="rId1"/>
  <headerFooter>
    <oddFooter>&amp;R&amp;Z&amp;F&amp;A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I57"/>
  <sheetViews>
    <sheetView topLeftCell="A2" zoomScale="40" zoomScaleNormal="40" zoomScaleSheetLayoutView="27" workbookViewId="0">
      <pane xSplit="1" ySplit="6" topLeftCell="B8" activePane="bottomRight" state="frozen"/>
      <selection activeCell="A2" sqref="A2"/>
      <selection pane="topRight" activeCell="B2" sqref="B2"/>
      <selection pane="bottomLeft" activeCell="A7" sqref="A7"/>
      <selection pane="bottomRight" activeCell="BG43" sqref="BG43"/>
    </sheetView>
  </sheetViews>
  <sheetFormatPr defaultColWidth="9.140625" defaultRowHeight="16.5" x14ac:dyDescent="0.2"/>
  <cols>
    <col min="1" max="1" width="29.85546875" style="724" customWidth="1"/>
    <col min="2" max="2" width="24.140625" style="724" customWidth="1"/>
    <col min="3" max="3" width="24.42578125" style="724" bestFit="1" customWidth="1"/>
    <col min="4" max="4" width="22.42578125" style="724" customWidth="1"/>
    <col min="5" max="5" width="21.28515625" style="724" customWidth="1"/>
    <col min="6" max="6" width="23.28515625" style="724" customWidth="1"/>
    <col min="7" max="9" width="21.5703125" style="724" customWidth="1"/>
    <col min="10" max="10" width="24.42578125" style="724" customWidth="1"/>
    <col min="11" max="11" width="22" style="724" customWidth="1"/>
    <col min="12" max="12" width="24.42578125" style="724" customWidth="1"/>
    <col min="13" max="15" width="22" style="724" customWidth="1"/>
    <col min="16" max="16" width="23.42578125" style="724" bestFit="1" customWidth="1"/>
    <col min="17" max="19" width="22" style="724" customWidth="1"/>
    <col min="20" max="21" width="22.140625" style="724" customWidth="1"/>
    <col min="22" max="22" width="23.42578125" style="724" bestFit="1" customWidth="1"/>
    <col min="23" max="23" width="22.140625" style="724" customWidth="1"/>
    <col min="24" max="27" width="26.42578125" style="724" customWidth="1"/>
    <col min="28" max="29" width="25" style="724" customWidth="1"/>
    <col min="30" max="30" width="25.42578125" style="692" customWidth="1"/>
    <col min="31" max="31" width="24.85546875" style="692" customWidth="1"/>
    <col min="32" max="32" width="25.42578125" style="692" customWidth="1"/>
    <col min="33" max="33" width="24.85546875" style="692" customWidth="1"/>
    <col min="34" max="35" width="25.140625" style="724" customWidth="1"/>
    <col min="36" max="37" width="22.140625" style="724" customWidth="1"/>
    <col min="38" max="39" width="22.5703125" style="724" customWidth="1"/>
    <col min="40" max="41" width="25.5703125" style="724" customWidth="1"/>
    <col min="42" max="43" width="31.140625" style="724" customWidth="1"/>
    <col min="44" max="45" width="24.42578125" style="724" customWidth="1"/>
    <col min="46" max="47" width="23.5703125" style="724" customWidth="1"/>
    <col min="48" max="49" width="23" style="724" customWidth="1"/>
    <col min="50" max="51" width="22" style="724" customWidth="1"/>
    <col min="52" max="52" width="21.140625" style="724" customWidth="1"/>
    <col min="53" max="53" width="20.5703125" style="724" customWidth="1"/>
    <col min="54" max="54" width="21.140625" style="724" customWidth="1"/>
    <col min="55" max="55" width="20.5703125" style="724" customWidth="1"/>
    <col min="56" max="59" width="22.85546875" style="724" customWidth="1"/>
    <col min="60" max="61" width="26" style="724" customWidth="1"/>
    <col min="62" max="16384" width="9.140625" style="724"/>
  </cols>
  <sheetData>
    <row r="2" spans="1:61" ht="18" x14ac:dyDescent="0.25">
      <c r="B2" s="753" t="s">
        <v>890</v>
      </c>
      <c r="I2" s="754" t="str">
        <f>'Прочая  субсидия_БП'!F2</f>
        <v>ПО  СОСТОЯНИЮ  НА  1  ОКТЯБРЯ  2024  ГОДА</v>
      </c>
    </row>
    <row r="3" spans="1:61" ht="18" x14ac:dyDescent="0.25">
      <c r="A3" s="1245">
        <f>'Проверочная  таблица'!C38</f>
        <v>0</v>
      </c>
      <c r="B3" s="755"/>
      <c r="C3" s="755"/>
      <c r="D3" s="755"/>
      <c r="E3" s="755"/>
      <c r="F3" s="755"/>
      <c r="G3" s="755"/>
      <c r="H3" s="755"/>
      <c r="I3" s="755"/>
    </row>
    <row r="4" spans="1:61" x14ac:dyDescent="0.25">
      <c r="L4" s="749" t="s">
        <v>882</v>
      </c>
    </row>
    <row r="5" spans="1:61" ht="301.5" customHeight="1" x14ac:dyDescent="0.2">
      <c r="A5" s="1697" t="s">
        <v>797</v>
      </c>
      <c r="B5" s="1690" t="s">
        <v>31</v>
      </c>
      <c r="C5" s="1690"/>
      <c r="D5" s="1695" t="s">
        <v>891</v>
      </c>
      <c r="E5" s="1696"/>
      <c r="F5" s="1690" t="s">
        <v>599</v>
      </c>
      <c r="G5" s="1690"/>
      <c r="H5" s="1690" t="s">
        <v>602</v>
      </c>
      <c r="I5" s="1690"/>
      <c r="J5" s="1690" t="s">
        <v>543</v>
      </c>
      <c r="K5" s="1690"/>
      <c r="L5" s="1692" t="s">
        <v>545</v>
      </c>
      <c r="M5" s="1692"/>
      <c r="N5" s="1690" t="s">
        <v>549</v>
      </c>
      <c r="O5" s="1690"/>
      <c r="P5" s="1690" t="s">
        <v>563</v>
      </c>
      <c r="Q5" s="1690"/>
      <c r="R5" s="1690" t="s">
        <v>565</v>
      </c>
      <c r="S5" s="1690"/>
      <c r="T5" s="1683" t="s">
        <v>583</v>
      </c>
      <c r="U5" s="1684"/>
      <c r="V5" s="1683" t="s">
        <v>492</v>
      </c>
      <c r="W5" s="1684"/>
      <c r="X5" s="1692" t="s">
        <v>1261</v>
      </c>
      <c r="Y5" s="1692"/>
      <c r="Z5" s="1690" t="s">
        <v>496</v>
      </c>
      <c r="AA5" s="1690"/>
      <c r="AB5" s="1683" t="s">
        <v>498</v>
      </c>
      <c r="AC5" s="1684"/>
      <c r="AD5" s="1693" t="s">
        <v>884</v>
      </c>
      <c r="AE5" s="1694"/>
      <c r="AF5" s="1683" t="s">
        <v>462</v>
      </c>
      <c r="AG5" s="1684"/>
      <c r="AH5" s="1695" t="s">
        <v>885</v>
      </c>
      <c r="AI5" s="1696"/>
      <c r="AJ5" s="1689" t="s">
        <v>886</v>
      </c>
      <c r="AK5" s="1691"/>
      <c r="AL5" s="1685" t="s">
        <v>606</v>
      </c>
      <c r="AM5" s="1685"/>
      <c r="AN5" s="1683" t="s">
        <v>505</v>
      </c>
      <c r="AO5" s="1684"/>
      <c r="AP5" s="1686" t="s">
        <v>523</v>
      </c>
      <c r="AQ5" s="1687"/>
      <c r="AR5" s="1688" t="s">
        <v>507</v>
      </c>
      <c r="AS5" s="1689"/>
      <c r="AT5" s="1690" t="s">
        <v>567</v>
      </c>
      <c r="AU5" s="1690"/>
      <c r="AV5" s="1683" t="s">
        <v>470</v>
      </c>
      <c r="AW5" s="1684"/>
      <c r="AX5" s="1683" t="s">
        <v>472</v>
      </c>
      <c r="AY5" s="1684"/>
      <c r="AZ5" s="1683" t="s">
        <v>892</v>
      </c>
      <c r="BA5" s="1684"/>
      <c r="BB5" s="1683" t="s">
        <v>893</v>
      </c>
      <c r="BC5" s="1684"/>
      <c r="BD5" s="1683" t="s">
        <v>437</v>
      </c>
      <c r="BE5" s="1684"/>
      <c r="BF5" s="1683" t="s">
        <v>894</v>
      </c>
      <c r="BG5" s="1684"/>
      <c r="BH5" s="1683" t="s">
        <v>895</v>
      </c>
      <c r="BI5" s="1684"/>
    </row>
    <row r="6" spans="1:61" ht="18" customHeight="1" x14ac:dyDescent="0.2">
      <c r="A6" s="1698"/>
      <c r="B6" s="1690"/>
      <c r="C6" s="1690"/>
      <c r="D6" s="1676" t="s">
        <v>896</v>
      </c>
      <c r="E6" s="1676"/>
      <c r="F6" s="1676" t="s">
        <v>600</v>
      </c>
      <c r="G6" s="1676"/>
      <c r="H6" s="1676" t="s">
        <v>603</v>
      </c>
      <c r="I6" s="1676"/>
      <c r="J6" s="1676" t="s">
        <v>544</v>
      </c>
      <c r="K6" s="1676"/>
      <c r="L6" s="1676" t="s">
        <v>546</v>
      </c>
      <c r="M6" s="1676"/>
      <c r="N6" s="1675" t="s">
        <v>550</v>
      </c>
      <c r="O6" s="1676"/>
      <c r="P6" s="1676" t="s">
        <v>564</v>
      </c>
      <c r="Q6" s="1676"/>
      <c r="R6" s="1676" t="s">
        <v>566</v>
      </c>
      <c r="S6" s="1676"/>
      <c r="T6" s="1672" t="s">
        <v>584</v>
      </c>
      <c r="U6" s="1673"/>
      <c r="V6" s="1672" t="s">
        <v>493</v>
      </c>
      <c r="W6" s="1673"/>
      <c r="X6" s="1679" t="s">
        <v>1262</v>
      </c>
      <c r="Y6" s="1680"/>
      <c r="Z6" s="1679" t="s">
        <v>897</v>
      </c>
      <c r="AA6" s="1680"/>
      <c r="AB6" s="1672" t="s">
        <v>499</v>
      </c>
      <c r="AC6" s="1673"/>
      <c r="AD6" s="1681" t="s">
        <v>461</v>
      </c>
      <c r="AE6" s="1681"/>
      <c r="AF6" s="1682" t="s">
        <v>463</v>
      </c>
      <c r="AG6" s="1682"/>
      <c r="AH6" s="1672" t="s">
        <v>469</v>
      </c>
      <c r="AI6" s="1673"/>
      <c r="AJ6" s="1672" t="s">
        <v>889</v>
      </c>
      <c r="AK6" s="1678"/>
      <c r="AL6" s="1672" t="s">
        <v>607</v>
      </c>
      <c r="AM6" s="1673"/>
      <c r="AN6" s="1672" t="s">
        <v>506</v>
      </c>
      <c r="AO6" s="1673"/>
      <c r="AP6" s="1674" t="s">
        <v>524</v>
      </c>
      <c r="AQ6" s="1673"/>
      <c r="AR6" s="1672" t="s">
        <v>508</v>
      </c>
      <c r="AS6" s="1673"/>
      <c r="AT6" s="1675" t="s">
        <v>568</v>
      </c>
      <c r="AU6" s="1676"/>
      <c r="AV6" s="1677" t="s">
        <v>471</v>
      </c>
      <c r="AW6" s="1673"/>
      <c r="AX6" s="1672" t="s">
        <v>473</v>
      </c>
      <c r="AY6" s="1678"/>
      <c r="AZ6" s="1675" t="s">
        <v>432</v>
      </c>
      <c r="BA6" s="1675"/>
      <c r="BB6" s="1675" t="s">
        <v>436</v>
      </c>
      <c r="BC6" s="1675"/>
      <c r="BD6" s="1672" t="s">
        <v>438</v>
      </c>
      <c r="BE6" s="1673"/>
      <c r="BF6" s="1672" t="s">
        <v>518</v>
      </c>
      <c r="BG6" s="1673"/>
      <c r="BH6" s="1672" t="s">
        <v>440</v>
      </c>
      <c r="BI6" s="1673"/>
    </row>
    <row r="7" spans="1:61" s="759" customFormat="1" ht="18" customHeight="1" x14ac:dyDescent="0.25">
      <c r="A7" s="1698"/>
      <c r="B7" s="756" t="s">
        <v>314</v>
      </c>
      <c r="C7" s="756" t="s">
        <v>316</v>
      </c>
      <c r="D7" s="756" t="s">
        <v>314</v>
      </c>
      <c r="E7" s="756" t="s">
        <v>316</v>
      </c>
      <c r="F7" s="756" t="s">
        <v>314</v>
      </c>
      <c r="G7" s="756" t="s">
        <v>316</v>
      </c>
      <c r="H7" s="756" t="s">
        <v>314</v>
      </c>
      <c r="I7" s="756" t="s">
        <v>316</v>
      </c>
      <c r="J7" s="756" t="s">
        <v>314</v>
      </c>
      <c r="K7" s="756" t="s">
        <v>316</v>
      </c>
      <c r="L7" s="756" t="s">
        <v>314</v>
      </c>
      <c r="M7" s="756" t="s">
        <v>316</v>
      </c>
      <c r="N7" s="756" t="s">
        <v>314</v>
      </c>
      <c r="O7" s="756" t="s">
        <v>316</v>
      </c>
      <c r="P7" s="756" t="s">
        <v>314</v>
      </c>
      <c r="Q7" s="756" t="s">
        <v>316</v>
      </c>
      <c r="R7" s="756" t="s">
        <v>314</v>
      </c>
      <c r="S7" s="756" t="s">
        <v>316</v>
      </c>
      <c r="T7" s="756" t="s">
        <v>314</v>
      </c>
      <c r="U7" s="756" t="s">
        <v>316</v>
      </c>
      <c r="V7" s="756" t="s">
        <v>314</v>
      </c>
      <c r="W7" s="756" t="s">
        <v>316</v>
      </c>
      <c r="X7" s="756" t="s">
        <v>314</v>
      </c>
      <c r="Y7" s="756" t="s">
        <v>316</v>
      </c>
      <c r="Z7" s="756" t="s">
        <v>314</v>
      </c>
      <c r="AA7" s="756" t="s">
        <v>316</v>
      </c>
      <c r="AB7" s="756" t="s">
        <v>314</v>
      </c>
      <c r="AC7" s="756" t="s">
        <v>316</v>
      </c>
      <c r="AD7" s="757" t="s">
        <v>314</v>
      </c>
      <c r="AE7" s="757" t="s">
        <v>316</v>
      </c>
      <c r="AF7" s="756" t="s">
        <v>314</v>
      </c>
      <c r="AG7" s="756" t="s">
        <v>316</v>
      </c>
      <c r="AH7" s="756" t="s">
        <v>314</v>
      </c>
      <c r="AI7" s="756" t="s">
        <v>316</v>
      </c>
      <c r="AJ7" s="756" t="s">
        <v>314</v>
      </c>
      <c r="AK7" s="756" t="s">
        <v>316</v>
      </c>
      <c r="AL7" s="756" t="s">
        <v>314</v>
      </c>
      <c r="AM7" s="756" t="s">
        <v>316</v>
      </c>
      <c r="AN7" s="756" t="s">
        <v>314</v>
      </c>
      <c r="AO7" s="756" t="s">
        <v>316</v>
      </c>
      <c r="AP7" s="758" t="s">
        <v>314</v>
      </c>
      <c r="AQ7" s="756" t="s">
        <v>316</v>
      </c>
      <c r="AR7" s="756" t="s">
        <v>314</v>
      </c>
      <c r="AS7" s="756" t="s">
        <v>316</v>
      </c>
      <c r="AT7" s="756" t="s">
        <v>314</v>
      </c>
      <c r="AU7" s="756" t="s">
        <v>316</v>
      </c>
      <c r="AV7" s="756" t="s">
        <v>314</v>
      </c>
      <c r="AW7" s="756" t="s">
        <v>316</v>
      </c>
      <c r="AX7" s="756" t="s">
        <v>314</v>
      </c>
      <c r="AY7" s="756" t="s">
        <v>316</v>
      </c>
      <c r="AZ7" s="756" t="s">
        <v>314</v>
      </c>
      <c r="BA7" s="756" t="s">
        <v>316</v>
      </c>
      <c r="BB7" s="756" t="s">
        <v>314</v>
      </c>
      <c r="BC7" s="756" t="s">
        <v>316</v>
      </c>
      <c r="BD7" s="756" t="s">
        <v>314</v>
      </c>
      <c r="BE7" s="756" t="s">
        <v>316</v>
      </c>
      <c r="BF7" s="756" t="s">
        <v>314</v>
      </c>
      <c r="BG7" s="756" t="s">
        <v>316</v>
      </c>
      <c r="BH7" s="756" t="s">
        <v>314</v>
      </c>
      <c r="BI7" s="756" t="s">
        <v>316</v>
      </c>
    </row>
    <row r="8" spans="1:61" s="749" customFormat="1" ht="21" customHeight="1" x14ac:dyDescent="0.25">
      <c r="A8" s="1190" t="s">
        <v>1281</v>
      </c>
      <c r="B8" s="1191">
        <f t="shared" ref="B8:C11" si="0">F8+N8+R8+T8+AJ8+AV8+AP8+BB8+BD8+AL8+AX8+AT8+AN8+BH8+AR8+D8+P8+J8+AB8+AH8+AF8+V8+BF8+AZ8+H8+AD8+L8+Z8+X8</f>
        <v>43676706.689999998</v>
      </c>
      <c r="C8" s="1189">
        <f t="shared" si="0"/>
        <v>28309919.949999999</v>
      </c>
      <c r="D8" s="730">
        <f>[1]Субсидия_факт!AB10</f>
        <v>0</v>
      </c>
      <c r="E8" s="731"/>
      <c r="F8" s="730">
        <f>[1]Субсидия_факт!AH10</f>
        <v>217781.07</v>
      </c>
      <c r="G8" s="736">
        <v>155953.47</v>
      </c>
      <c r="H8" s="730">
        <f>[1]Субсидия_факт!AJ10</f>
        <v>0</v>
      </c>
      <c r="I8" s="736"/>
      <c r="J8" s="730">
        <f>[1]Субсидия_факт!BB10</f>
        <v>0</v>
      </c>
      <c r="K8" s="736"/>
      <c r="L8" s="730">
        <f>[1]Субсидия_факт!BD10</f>
        <v>0</v>
      </c>
      <c r="M8" s="736"/>
      <c r="N8" s="730">
        <f>[1]Субсидия_факт!BR10</f>
        <v>0</v>
      </c>
      <c r="O8" s="736"/>
      <c r="P8" s="730">
        <f>[1]Субсидия_факт!BT10</f>
        <v>435000</v>
      </c>
      <c r="Q8" s="736">
        <f>P8</f>
        <v>435000</v>
      </c>
      <c r="R8" s="730">
        <f>[1]Субсидия_факт!BV10</f>
        <v>70964.89</v>
      </c>
      <c r="S8" s="736">
        <v>41325</v>
      </c>
      <c r="T8" s="730">
        <f>[1]Субсидия_факт!DX10</f>
        <v>0</v>
      </c>
      <c r="U8" s="731"/>
      <c r="V8" s="730">
        <f>[1]Субсидия_факт!HT10</f>
        <v>0</v>
      </c>
      <c r="W8" s="736"/>
      <c r="X8" s="730">
        <f>[1]Субсидия_факт!HX10</f>
        <v>0</v>
      </c>
      <c r="Y8" s="736"/>
      <c r="Z8" s="730">
        <f>[1]Субсидия_факт!HZ10</f>
        <v>0</v>
      </c>
      <c r="AA8" s="736"/>
      <c r="AB8" s="730">
        <f>[1]Субсидия_факт!IB10</f>
        <v>19175000</v>
      </c>
      <c r="AC8" s="760">
        <v>10207048.02</v>
      </c>
      <c r="AD8" s="734">
        <f>[1]Субсидия_факт!LF10</f>
        <v>20513806.809999999</v>
      </c>
      <c r="AE8" s="735">
        <v>16072281.5</v>
      </c>
      <c r="AF8" s="761">
        <f>[1]Субсидия_факт!LL10</f>
        <v>0</v>
      </c>
      <c r="AG8" s="735"/>
      <c r="AH8" s="762">
        <f>[1]Субсидия_факт!ML10</f>
        <v>0</v>
      </c>
      <c r="AI8" s="763"/>
      <c r="AJ8" s="730">
        <f>[1]Субсидия_факт!MT10</f>
        <v>0</v>
      </c>
      <c r="AK8" s="736"/>
      <c r="AL8" s="730">
        <f>[1]Субсидия_факт!ND10</f>
        <v>832650</v>
      </c>
      <c r="AM8" s="736">
        <v>386293.32</v>
      </c>
      <c r="AN8" s="730">
        <f>[1]Субсидия_факт!NJ10</f>
        <v>0</v>
      </c>
      <c r="AO8" s="736"/>
      <c r="AP8" s="764">
        <f>[1]Субсидия_факт!NL10</f>
        <v>0</v>
      </c>
      <c r="AQ8" s="736"/>
      <c r="AR8" s="730">
        <f>[1]Субсидия_факт!NR10</f>
        <v>538380.75</v>
      </c>
      <c r="AS8" s="736">
        <v>302462.92</v>
      </c>
      <c r="AT8" s="730">
        <f>[1]Субсидия_факт!NX10</f>
        <v>0</v>
      </c>
      <c r="AU8" s="736"/>
      <c r="AV8" s="730">
        <f>[1]Субсидия_факт!NZ10</f>
        <v>547309.22</v>
      </c>
      <c r="AW8" s="736">
        <v>357419.01</v>
      </c>
      <c r="AX8" s="730">
        <f>[1]Субсидия_факт!OB10</f>
        <v>45962.79</v>
      </c>
      <c r="AY8" s="736">
        <v>0</v>
      </c>
      <c r="AZ8" s="730">
        <f>[1]Субсидия_факт!OP10</f>
        <v>539880</v>
      </c>
      <c r="BA8" s="736">
        <v>0</v>
      </c>
      <c r="BB8" s="730">
        <f>[1]Субсидия_факт!OV10</f>
        <v>691479.65</v>
      </c>
      <c r="BC8" s="736">
        <v>352136.71</v>
      </c>
      <c r="BD8" s="730">
        <f>[1]Субсидия_факт!PC10</f>
        <v>0</v>
      </c>
      <c r="BE8" s="736"/>
      <c r="BF8" s="730">
        <f>[1]Субсидия_факт!PE10</f>
        <v>0</v>
      </c>
      <c r="BG8" s="736"/>
      <c r="BH8" s="730">
        <f>[1]Субсидия_факт!PW10</f>
        <v>68491.509999999995</v>
      </c>
      <c r="BI8" s="736"/>
    </row>
    <row r="9" spans="1:61" s="749" customFormat="1" ht="21" customHeight="1" x14ac:dyDescent="0.25">
      <c r="A9" s="1190" t="s">
        <v>1282</v>
      </c>
      <c r="B9" s="1191">
        <f t="shared" si="0"/>
        <v>84063469.599999994</v>
      </c>
      <c r="C9" s="1189">
        <f t="shared" si="0"/>
        <v>71679035.530000001</v>
      </c>
      <c r="D9" s="730">
        <f>[1]Субсидия_факт!AB14</f>
        <v>0</v>
      </c>
      <c r="E9" s="731"/>
      <c r="F9" s="730">
        <f>[1]Субсидия_факт!AH14</f>
        <v>215512.51</v>
      </c>
      <c r="G9" s="736">
        <v>215512.51</v>
      </c>
      <c r="H9" s="730">
        <f>[1]Субсидия_факт!AJ14</f>
        <v>0</v>
      </c>
      <c r="I9" s="736"/>
      <c r="J9" s="730">
        <f>[1]Субсидия_факт!BB14</f>
        <v>0</v>
      </c>
      <c r="K9" s="736"/>
      <c r="L9" s="730">
        <f>[1]Субсидия_факт!BD14</f>
        <v>0</v>
      </c>
      <c r="M9" s="736"/>
      <c r="N9" s="730">
        <f>[1]Субсидия_факт!BR14</f>
        <v>2304447.2599999998</v>
      </c>
      <c r="O9" s="736"/>
      <c r="P9" s="730">
        <f>[1]Субсидия_факт!BT14</f>
        <v>0</v>
      </c>
      <c r="Q9" s="736"/>
      <c r="R9" s="730">
        <f>[1]Субсидия_факт!BV14</f>
        <v>171689.25</v>
      </c>
      <c r="S9" s="736">
        <v>0</v>
      </c>
      <c r="T9" s="730">
        <f>[1]Субсидия_факт!DX14</f>
        <v>38260.870000000003</v>
      </c>
      <c r="U9" s="731">
        <f>T9</f>
        <v>38260.870000000003</v>
      </c>
      <c r="V9" s="730">
        <f>[1]Субсидия_факт!HT14</f>
        <v>0</v>
      </c>
      <c r="W9" s="736"/>
      <c r="X9" s="730">
        <f>[1]Субсидия_факт!HX14</f>
        <v>0</v>
      </c>
      <c r="Y9" s="736"/>
      <c r="Z9" s="730">
        <f>[1]Субсидия_факт!HZ14</f>
        <v>0</v>
      </c>
      <c r="AA9" s="736"/>
      <c r="AB9" s="730">
        <f>[1]Субсидия_факт!IB14</f>
        <v>36919009.979999997</v>
      </c>
      <c r="AC9" s="760">
        <v>31017849.780000001</v>
      </c>
      <c r="AD9" s="734">
        <f>[1]Субсидия_факт!LF14</f>
        <v>35144776.350000001</v>
      </c>
      <c r="AE9" s="735">
        <f>AD9</f>
        <v>35144776.350000001</v>
      </c>
      <c r="AF9" s="761">
        <f>[1]Субсидия_факт!LL14</f>
        <v>0</v>
      </c>
      <c r="AG9" s="735"/>
      <c r="AH9" s="762">
        <f>[1]Субсидия_факт!ML14</f>
        <v>0</v>
      </c>
      <c r="AI9" s="763"/>
      <c r="AJ9" s="730">
        <f>[1]Субсидия_факт!MT14</f>
        <v>6726687.7300000004</v>
      </c>
      <c r="AK9" s="736">
        <v>4965519.3899999997</v>
      </c>
      <c r="AL9" s="730">
        <f>[1]Субсидия_факт!ND14</f>
        <v>0</v>
      </c>
      <c r="AM9" s="736"/>
      <c r="AN9" s="730">
        <f>[1]Субсидия_факт!NJ14</f>
        <v>0</v>
      </c>
      <c r="AO9" s="736"/>
      <c r="AP9" s="764">
        <f>[1]Субсидия_факт!NL14</f>
        <v>0</v>
      </c>
      <c r="AQ9" s="736"/>
      <c r="AR9" s="730">
        <f>[1]Субсидия_факт!NR14</f>
        <v>700000</v>
      </c>
      <c r="AS9" s="736"/>
      <c r="AT9" s="730">
        <f>[1]Субсидия_факт!NX14</f>
        <v>0</v>
      </c>
      <c r="AU9" s="736"/>
      <c r="AV9" s="730">
        <f>[1]Субсидия_факт!NZ14</f>
        <v>299720.09000000003</v>
      </c>
      <c r="AW9" s="736">
        <v>166855.98000000001</v>
      </c>
      <c r="AX9" s="730">
        <f>[1]Субсидия_факт!OB14</f>
        <v>115404.56</v>
      </c>
      <c r="AY9" s="736">
        <v>0</v>
      </c>
      <c r="AZ9" s="730">
        <f>[1]Субсидия_факт!OP14</f>
        <v>995830</v>
      </c>
      <c r="BA9" s="736">
        <v>0</v>
      </c>
      <c r="BB9" s="730">
        <f>[1]Субсидия_факт!OV14</f>
        <v>227717.34</v>
      </c>
      <c r="BC9" s="736">
        <v>130260.65</v>
      </c>
      <c r="BD9" s="730">
        <f>[1]Субсидия_факт!PC14</f>
        <v>96358.3</v>
      </c>
      <c r="BE9" s="736"/>
      <c r="BF9" s="730">
        <f>[1]Субсидия_факт!PE14</f>
        <v>0</v>
      </c>
      <c r="BG9" s="736"/>
      <c r="BH9" s="730">
        <f>[1]Субсидия_факт!PW14</f>
        <v>108055.36</v>
      </c>
      <c r="BI9" s="736"/>
    </row>
    <row r="10" spans="1:61" s="749" customFormat="1" ht="21" customHeight="1" x14ac:dyDescent="0.25">
      <c r="A10" s="1190" t="s">
        <v>1283</v>
      </c>
      <c r="B10" s="1191">
        <f t="shared" si="0"/>
        <v>49130268.590000004</v>
      </c>
      <c r="C10" s="1189">
        <f t="shared" si="0"/>
        <v>11317832.640000001</v>
      </c>
      <c r="D10" s="730">
        <f>[1]Субсидия_факт!AB18</f>
        <v>0</v>
      </c>
      <c r="E10" s="731"/>
      <c r="F10" s="730">
        <f>[1]Субсидия_факт!AH18</f>
        <v>215512.51</v>
      </c>
      <c r="G10" s="736">
        <v>41792.19</v>
      </c>
      <c r="H10" s="730">
        <f>[1]Субсидия_факт!AJ18</f>
        <v>0</v>
      </c>
      <c r="I10" s="736"/>
      <c r="J10" s="730">
        <f>[1]Субсидия_факт!BB18</f>
        <v>0</v>
      </c>
      <c r="K10" s="736"/>
      <c r="L10" s="730">
        <f>[1]Субсидия_факт!BD18</f>
        <v>0</v>
      </c>
      <c r="M10" s="736"/>
      <c r="N10" s="730">
        <f>[1]Субсидия_факт!BR18</f>
        <v>0</v>
      </c>
      <c r="O10" s="736">
        <v>0</v>
      </c>
      <c r="P10" s="730">
        <f>[1]Субсидия_факт!BT18</f>
        <v>0</v>
      </c>
      <c r="Q10" s="736"/>
      <c r="R10" s="730">
        <f>[1]Субсидия_факт!BV18</f>
        <v>207171.7</v>
      </c>
      <c r="S10" s="736">
        <v>0</v>
      </c>
      <c r="T10" s="730">
        <f>[1]Субсидия_факт!DX18</f>
        <v>6956.52</v>
      </c>
      <c r="U10" s="731">
        <f>T10</f>
        <v>6956.52</v>
      </c>
      <c r="V10" s="730">
        <f>[1]Субсидия_факт!HT18</f>
        <v>0</v>
      </c>
      <c r="W10" s="736"/>
      <c r="X10" s="730">
        <f>[1]Субсидия_факт!HX18</f>
        <v>0</v>
      </c>
      <c r="Y10" s="736"/>
      <c r="Z10" s="730">
        <f>[1]Субсидия_факт!HZ18</f>
        <v>0</v>
      </c>
      <c r="AA10" s="736"/>
      <c r="AB10" s="730">
        <f>[1]Субсидия_факт!IB18</f>
        <v>27534228.140000001</v>
      </c>
      <c r="AC10" s="760">
        <v>10753427.720000001</v>
      </c>
      <c r="AD10" s="734">
        <f>[1]Субсидия_факт!LF18</f>
        <v>19700007.09</v>
      </c>
      <c r="AE10" s="735"/>
      <c r="AF10" s="761">
        <f>[1]Субсидия_факт!LL18</f>
        <v>0</v>
      </c>
      <c r="AG10" s="735"/>
      <c r="AH10" s="762">
        <f>[1]Субсидия_факт!ML18</f>
        <v>0</v>
      </c>
      <c r="AI10" s="763"/>
      <c r="AJ10" s="730">
        <f>[1]Субсидия_факт!MT18</f>
        <v>0</v>
      </c>
      <c r="AK10" s="736"/>
      <c r="AL10" s="730">
        <f>[1]Субсидия_факт!ND18</f>
        <v>0</v>
      </c>
      <c r="AM10" s="736"/>
      <c r="AN10" s="730">
        <f>[1]Субсидия_факт!NJ18</f>
        <v>0</v>
      </c>
      <c r="AO10" s="736"/>
      <c r="AP10" s="764">
        <f>[1]Субсидия_факт!NL18</f>
        <v>0</v>
      </c>
      <c r="AQ10" s="736"/>
      <c r="AR10" s="730">
        <f>[1]Субсидия_факт!NR18</f>
        <v>0</v>
      </c>
      <c r="AS10" s="736"/>
      <c r="AT10" s="730">
        <f>[1]Субсидия_факт!NX18</f>
        <v>0</v>
      </c>
      <c r="AU10" s="736"/>
      <c r="AV10" s="730">
        <f>[1]Субсидия_факт!NZ18</f>
        <v>433278.37</v>
      </c>
      <c r="AW10" s="736">
        <v>259543.22</v>
      </c>
      <c r="AX10" s="730">
        <f>[1]Субсидия_факт!OB18</f>
        <v>472418.73</v>
      </c>
      <c r="AY10" s="736">
        <v>0</v>
      </c>
      <c r="AZ10" s="730">
        <f>[1]Субсидия_факт!OP18</f>
        <v>233000</v>
      </c>
      <c r="BA10" s="736">
        <v>0</v>
      </c>
      <c r="BB10" s="730">
        <f>[1]Субсидия_факт!OV18</f>
        <v>327695.53000000003</v>
      </c>
      <c r="BC10" s="736">
        <v>256112.99</v>
      </c>
      <c r="BD10" s="730">
        <f>[1]Субсидия_факт!PC18</f>
        <v>0</v>
      </c>
      <c r="BE10" s="736"/>
      <c r="BF10" s="730">
        <f>[1]Субсидия_факт!PE18</f>
        <v>0</v>
      </c>
      <c r="BG10" s="736"/>
      <c r="BH10" s="730">
        <f>[1]Субсидия_факт!PW18</f>
        <v>0</v>
      </c>
      <c r="BI10" s="736"/>
    </row>
    <row r="11" spans="1:61" s="749" customFormat="1" ht="21" customHeight="1" x14ac:dyDescent="0.25">
      <c r="A11" s="1190" t="s">
        <v>1284</v>
      </c>
      <c r="B11" s="1191">
        <f t="shared" si="0"/>
        <v>87745737.050000012</v>
      </c>
      <c r="C11" s="1189">
        <f t="shared" si="0"/>
        <v>61892295.539999999</v>
      </c>
      <c r="D11" s="730">
        <f>[1]Субсидия_факт!AB23</f>
        <v>0</v>
      </c>
      <c r="E11" s="731"/>
      <c r="F11" s="730">
        <f>[1]Субсидия_факт!AH23</f>
        <v>222464.53</v>
      </c>
      <c r="G11" s="736">
        <v>136755.60999999999</v>
      </c>
      <c r="H11" s="730">
        <f>[1]Субсидия_факт!AJ23</f>
        <v>0</v>
      </c>
      <c r="I11" s="736"/>
      <c r="J11" s="730">
        <f>[1]Субсидия_факт!BB23</f>
        <v>0</v>
      </c>
      <c r="K11" s="736"/>
      <c r="L11" s="730">
        <f>[1]Субсидия_факт!BD23</f>
        <v>0</v>
      </c>
      <c r="M11" s="736"/>
      <c r="N11" s="730">
        <f>[1]Субсидия_факт!BR23</f>
        <v>3257971.49</v>
      </c>
      <c r="O11" s="736">
        <v>3257971.49</v>
      </c>
      <c r="P11" s="730">
        <f>[1]Субсидия_факт!BT23</f>
        <v>0</v>
      </c>
      <c r="Q11" s="736"/>
      <c r="R11" s="730">
        <f>[1]Субсидия_факт!BV23</f>
        <v>137821.29</v>
      </c>
      <c r="S11" s="736">
        <v>59058.720000000001</v>
      </c>
      <c r="T11" s="730">
        <f>[1]Субсидия_факт!DX23</f>
        <v>10434.780000000001</v>
      </c>
      <c r="U11" s="731">
        <f>T11</f>
        <v>10434.780000000001</v>
      </c>
      <c r="V11" s="730">
        <f>[1]Субсидия_факт!HT23</f>
        <v>0</v>
      </c>
      <c r="W11" s="736"/>
      <c r="X11" s="730">
        <f>[1]Субсидия_факт!HX23</f>
        <v>0</v>
      </c>
      <c r="Y11" s="736"/>
      <c r="Z11" s="730">
        <f>[1]Субсидия_факт!HZ23</f>
        <v>0</v>
      </c>
      <c r="AA11" s="736"/>
      <c r="AB11" s="730">
        <f>[1]Субсидия_факт!IB23</f>
        <v>39569565.100000001</v>
      </c>
      <c r="AC11" s="760">
        <v>26893404.870000001</v>
      </c>
      <c r="AD11" s="734">
        <f>[1]Субсидия_факт!LF23</f>
        <v>37579092.100000001</v>
      </c>
      <c r="AE11" s="735">
        <v>27079092.100000001</v>
      </c>
      <c r="AF11" s="761">
        <f>[1]Субсидия_факт!LL23</f>
        <v>0</v>
      </c>
      <c r="AG11" s="735"/>
      <c r="AH11" s="762">
        <f>[1]Субсидия_факт!ML23</f>
        <v>0</v>
      </c>
      <c r="AI11" s="763"/>
      <c r="AJ11" s="730">
        <f>[1]Субсидия_факт!MT23</f>
        <v>0</v>
      </c>
      <c r="AK11" s="736"/>
      <c r="AL11" s="730">
        <f>[1]Субсидия_факт!ND23</f>
        <v>0</v>
      </c>
      <c r="AM11" s="736"/>
      <c r="AN11" s="730">
        <f>[1]Субсидия_факт!NJ23</f>
        <v>0</v>
      </c>
      <c r="AO11" s="736"/>
      <c r="AP11" s="764">
        <f>[1]Субсидия_факт!NL23</f>
        <v>0</v>
      </c>
      <c r="AQ11" s="736"/>
      <c r="AR11" s="730">
        <f>[1]Субсидия_факт!NR23</f>
        <v>0</v>
      </c>
      <c r="AS11" s="736"/>
      <c r="AT11" s="730">
        <f>[1]Субсидия_факт!NX23</f>
        <v>1413600</v>
      </c>
      <c r="AU11" s="736">
        <v>1260122.6299999999</v>
      </c>
      <c r="AV11" s="730">
        <f>[1]Субсидия_факт!NZ23</f>
        <v>2176944.3199999998</v>
      </c>
      <c r="AW11" s="736">
        <v>2031308.06</v>
      </c>
      <c r="AX11" s="730">
        <f>[1]Субсидия_факт!OB23</f>
        <v>469632.43</v>
      </c>
      <c r="AY11" s="736">
        <v>0</v>
      </c>
      <c r="AZ11" s="730">
        <f>[1]Субсидия_факт!OP23</f>
        <v>1947840</v>
      </c>
      <c r="BA11" s="736">
        <v>580000</v>
      </c>
      <c r="BB11" s="730">
        <f>[1]Субсидия_факт!OV23</f>
        <v>876551.08</v>
      </c>
      <c r="BC11" s="736">
        <v>584147.28</v>
      </c>
      <c r="BD11" s="730">
        <f>[1]Субсидия_факт!PC23</f>
        <v>83819.929999999993</v>
      </c>
      <c r="BE11" s="736"/>
      <c r="BF11" s="730">
        <f>[1]Субсидия_факт!PE23</f>
        <v>0</v>
      </c>
      <c r="BG11" s="736"/>
      <c r="BH11" s="730">
        <f>[1]Субсидия_факт!PW23</f>
        <v>0</v>
      </c>
      <c r="BI11" s="736"/>
    </row>
    <row r="12" spans="1:61" s="749" customFormat="1" ht="21" customHeight="1" x14ac:dyDescent="0.25">
      <c r="A12" s="1184" t="s">
        <v>1285</v>
      </c>
      <c r="B12" s="1183">
        <f t="shared" ref="B12:B25" si="1">F12+N12+R12+T12+AJ12+AV12+AP12+BB12+BD12+AL12+AX12+AT12+AN12+BH12+AR12+D12+P12+J12+AB12+AH12+AF12+V12+BF12+AZ12+H12+AD12+L12+Z12+X12</f>
        <v>202978281.48000002</v>
      </c>
      <c r="C12" s="1118">
        <f t="shared" ref="C12:C25" si="2">G12+O12+S12+U12+AK12+AW12+AQ12+BC12+BE12+AM12+AY12+AU12+AO12+BI12+AS12+E12+Q12+K12+AC12+AI12+AG12+W12+BG12+BA12+I12+AE12+M12+AA12+Y12</f>
        <v>111747057.07000001</v>
      </c>
      <c r="D12" s="730">
        <f>[1]Субсидия_факт!AB11</f>
        <v>0</v>
      </c>
      <c r="E12" s="731"/>
      <c r="F12" s="730">
        <f>[1]Субсидия_факт!AH11</f>
        <v>222464.53</v>
      </c>
      <c r="G12" s="736">
        <v>222464.53</v>
      </c>
      <c r="H12" s="730">
        <f>[1]Субсидия_факт!AJ11</f>
        <v>0</v>
      </c>
      <c r="I12" s="736"/>
      <c r="J12" s="730">
        <f>[1]Субсидия_факт!BB11</f>
        <v>0</v>
      </c>
      <c r="K12" s="736"/>
      <c r="L12" s="730">
        <f>[1]Субсидия_факт!BD11</f>
        <v>0</v>
      </c>
      <c r="M12" s="736"/>
      <c r="N12" s="730">
        <f>[1]Субсидия_факт!BR11</f>
        <v>0</v>
      </c>
      <c r="O12" s="736">
        <v>0</v>
      </c>
      <c r="P12" s="730">
        <f>[1]Субсидия_факт!BT11</f>
        <v>458000</v>
      </c>
      <c r="Q12" s="736">
        <v>458000</v>
      </c>
      <c r="R12" s="730">
        <f>[1]Субсидия_факт!BV11</f>
        <v>235978.23999999999</v>
      </c>
      <c r="S12" s="736">
        <v>235978.23999999999</v>
      </c>
      <c r="T12" s="730">
        <f>[1]Субсидия_факт!DX11</f>
        <v>13043.48</v>
      </c>
      <c r="U12" s="731">
        <f>T12</f>
        <v>13043.48</v>
      </c>
      <c r="V12" s="730">
        <f>[1]Субсидия_факт!HT11</f>
        <v>0</v>
      </c>
      <c r="W12" s="736"/>
      <c r="X12" s="730">
        <f>[1]Субсидия_факт!HX11</f>
        <v>0</v>
      </c>
      <c r="Y12" s="736"/>
      <c r="Z12" s="730">
        <f>[1]Субсидия_факт!HZ11</f>
        <v>113376690</v>
      </c>
      <c r="AA12" s="736">
        <v>71386585.370000005</v>
      </c>
      <c r="AB12" s="730">
        <f>[1]Субсидия_факт!IB11</f>
        <v>4650000</v>
      </c>
      <c r="AC12" s="760">
        <v>4650000</v>
      </c>
      <c r="AD12" s="734">
        <f>[1]Субсидия_факт!LF11</f>
        <v>21800347.690000001</v>
      </c>
      <c r="AE12" s="735">
        <v>21800347.690000001</v>
      </c>
      <c r="AF12" s="761">
        <f>[1]Субсидия_факт!LL11</f>
        <v>0</v>
      </c>
      <c r="AG12" s="735"/>
      <c r="AH12" s="762">
        <f>[1]Субсидия_факт!ML11</f>
        <v>0</v>
      </c>
      <c r="AI12" s="763"/>
      <c r="AJ12" s="730">
        <f>[1]Субсидия_факт!MT11</f>
        <v>0</v>
      </c>
      <c r="AK12" s="736"/>
      <c r="AL12" s="730">
        <f>[1]Субсидия_факт!ND11</f>
        <v>53000000</v>
      </c>
      <c r="AM12" s="736">
        <v>8257016.8300000001</v>
      </c>
      <c r="AN12" s="730">
        <f>[1]Субсидия_факт!NJ11</f>
        <v>0</v>
      </c>
      <c r="AO12" s="736"/>
      <c r="AP12" s="764">
        <f>[1]Субсидия_факт!NL11</f>
        <v>0</v>
      </c>
      <c r="AQ12" s="736"/>
      <c r="AR12" s="730">
        <f>[1]Субсидия_факт!NR11</f>
        <v>0</v>
      </c>
      <c r="AS12" s="736"/>
      <c r="AT12" s="730">
        <f>[1]Субсидия_факт!NX11</f>
        <v>5010800</v>
      </c>
      <c r="AU12" s="736">
        <v>3010318.72</v>
      </c>
      <c r="AV12" s="730">
        <f>[1]Субсидия_факт!NZ11</f>
        <v>520381.94</v>
      </c>
      <c r="AW12" s="736">
        <v>314162.39</v>
      </c>
      <c r="AX12" s="730">
        <f>[1]Субсидия_факт!OB11</f>
        <v>1154646.1299999999</v>
      </c>
      <c r="AY12" s="736">
        <v>0</v>
      </c>
      <c r="AZ12" s="730">
        <f>[1]Субсидия_факт!OP11</f>
        <v>2073510.6099999999</v>
      </c>
      <c r="BA12" s="736">
        <v>1021300.61</v>
      </c>
      <c r="BB12" s="730">
        <f>[1]Субсидия_факт!OV11</f>
        <v>462418.86</v>
      </c>
      <c r="BC12" s="736">
        <v>377839.21</v>
      </c>
      <c r="BD12" s="730">
        <f>[1]Субсидия_факт!PC11</f>
        <v>0</v>
      </c>
      <c r="BE12" s="736"/>
      <c r="BF12" s="730">
        <f>[1]Субсидия_факт!PE11</f>
        <v>0</v>
      </c>
      <c r="BG12" s="736"/>
      <c r="BH12" s="730">
        <f>[1]Субсидия_факт!PW11</f>
        <v>0</v>
      </c>
      <c r="BI12" s="736"/>
    </row>
    <row r="13" spans="1:61" s="749" customFormat="1" ht="21" customHeight="1" x14ac:dyDescent="0.25">
      <c r="A13" s="1184" t="s">
        <v>1286</v>
      </c>
      <c r="B13" s="1183">
        <f t="shared" si="1"/>
        <v>130269764.8</v>
      </c>
      <c r="C13" s="1118">
        <f t="shared" si="2"/>
        <v>101323075.60000001</v>
      </c>
      <c r="D13" s="730">
        <f>[1]Субсидия_факт!AB12</f>
        <v>0</v>
      </c>
      <c r="E13" s="731"/>
      <c r="F13" s="730">
        <f>[1]Субсидия_факт!AH12</f>
        <v>227354.49</v>
      </c>
      <c r="G13" s="736">
        <v>128265.72</v>
      </c>
      <c r="H13" s="730">
        <f>[1]Субсидия_факт!AJ12</f>
        <v>0</v>
      </c>
      <c r="I13" s="736"/>
      <c r="J13" s="730">
        <f>[1]Субсидия_факт!BB12</f>
        <v>0</v>
      </c>
      <c r="K13" s="736"/>
      <c r="L13" s="730">
        <f>[1]Субсидия_факт!BD12</f>
        <v>0</v>
      </c>
      <c r="M13" s="736"/>
      <c r="N13" s="730">
        <f>[1]Субсидия_факт!BR12</f>
        <v>1474819.08</v>
      </c>
      <c r="O13" s="736">
        <v>1474819.08</v>
      </c>
      <c r="P13" s="730">
        <f>[1]Субсидия_факт!BT12</f>
        <v>0</v>
      </c>
      <c r="Q13" s="736"/>
      <c r="R13" s="730">
        <f>[1]Субсидия_факт!BV12</f>
        <v>183099.06</v>
      </c>
      <c r="S13" s="736">
        <v>113431.5</v>
      </c>
      <c r="T13" s="730">
        <f>[1]Субсидия_факт!DX12</f>
        <v>0</v>
      </c>
      <c r="U13" s="731">
        <f t="shared" ref="U13:U16" si="3">T13</f>
        <v>0</v>
      </c>
      <c r="V13" s="730">
        <f>[1]Субсидия_факт!HT12</f>
        <v>0</v>
      </c>
      <c r="W13" s="736"/>
      <c r="X13" s="730">
        <f>[1]Субсидия_факт!HX12</f>
        <v>0</v>
      </c>
      <c r="Y13" s="736"/>
      <c r="Z13" s="730">
        <f>[1]Субсидия_факт!HZ12</f>
        <v>52733881.299999997</v>
      </c>
      <c r="AA13" s="736">
        <v>32592836.510000002</v>
      </c>
      <c r="AB13" s="730">
        <f>[1]Субсидия_факт!IB12</f>
        <v>40380530.880000003</v>
      </c>
      <c r="AC13" s="760">
        <v>35781645.659999996</v>
      </c>
      <c r="AD13" s="734">
        <f>[1]Субсидия_факт!LF12</f>
        <v>25973874.800000001</v>
      </c>
      <c r="AE13" s="735">
        <v>25502245.609999999</v>
      </c>
      <c r="AF13" s="761">
        <f>[1]Субсидия_факт!LL12</f>
        <v>0</v>
      </c>
      <c r="AG13" s="735"/>
      <c r="AH13" s="762">
        <f>[1]Субсидия_факт!ML12</f>
        <v>0</v>
      </c>
      <c r="AI13" s="763"/>
      <c r="AJ13" s="730">
        <f>[1]Субсидия_факт!MT12</f>
        <v>0</v>
      </c>
      <c r="AK13" s="736"/>
      <c r="AL13" s="730">
        <f>[1]Субсидия_факт!ND12</f>
        <v>0</v>
      </c>
      <c r="AM13" s="736"/>
      <c r="AN13" s="730">
        <f>[1]Субсидия_факт!NJ12</f>
        <v>0</v>
      </c>
      <c r="AO13" s="736"/>
      <c r="AP13" s="764">
        <f>[1]Субсидия_факт!NL12</f>
        <v>0</v>
      </c>
      <c r="AQ13" s="736"/>
      <c r="AR13" s="730">
        <f>[1]Субсидия_факт!NR12</f>
        <v>700000</v>
      </c>
      <c r="AS13" s="736"/>
      <c r="AT13" s="730">
        <f>[1]Субсидия_факт!NX12</f>
        <v>4381800</v>
      </c>
      <c r="AU13" s="736">
        <v>2522323.0099999998</v>
      </c>
      <c r="AV13" s="730">
        <f>[1]Субсидия_факт!NZ12</f>
        <v>1345029.46</v>
      </c>
      <c r="AW13" s="736">
        <v>1037405.16</v>
      </c>
      <c r="AX13" s="730">
        <f>[1]Субсидия_факт!OB12</f>
        <v>1342716.54</v>
      </c>
      <c r="AY13" s="736">
        <v>1342716.54</v>
      </c>
      <c r="AZ13" s="730">
        <f>[1]Субсидия_факт!OP12</f>
        <v>845440</v>
      </c>
      <c r="BA13" s="736">
        <v>430000</v>
      </c>
      <c r="BB13" s="730">
        <f>[1]Субсидия_факт!OV12</f>
        <v>461551.64</v>
      </c>
      <c r="BC13" s="736">
        <v>274324.47999999998</v>
      </c>
      <c r="BD13" s="730">
        <f>[1]Субсидия_факт!PC12</f>
        <v>96605.22</v>
      </c>
      <c r="BE13" s="736"/>
      <c r="BF13" s="730">
        <f>[1]Субсидия_факт!PE12</f>
        <v>0</v>
      </c>
      <c r="BG13" s="736"/>
      <c r="BH13" s="730">
        <f>[1]Субсидия_факт!PW12</f>
        <v>123062.33</v>
      </c>
      <c r="BI13" s="736">
        <v>123062.33</v>
      </c>
    </row>
    <row r="14" spans="1:61" s="749" customFormat="1" ht="21" customHeight="1" x14ac:dyDescent="0.25">
      <c r="A14" s="1184" t="s">
        <v>1287</v>
      </c>
      <c r="B14" s="1183">
        <f t="shared" si="1"/>
        <v>158015480.98000002</v>
      </c>
      <c r="C14" s="1118">
        <f t="shared" si="2"/>
        <v>46628879.939999998</v>
      </c>
      <c r="D14" s="730">
        <f>[1]Субсидия_факт!AB13</f>
        <v>0</v>
      </c>
      <c r="E14" s="731"/>
      <c r="F14" s="730">
        <f>[1]Субсидия_факт!AH13</f>
        <v>220097.89</v>
      </c>
      <c r="G14" s="736">
        <v>220097.89</v>
      </c>
      <c r="H14" s="730">
        <f>[1]Субсидия_факт!AJ13</f>
        <v>0</v>
      </c>
      <c r="I14" s="736"/>
      <c r="J14" s="730">
        <f>[1]Субсидия_факт!BB13</f>
        <v>0</v>
      </c>
      <c r="K14" s="736"/>
      <c r="L14" s="730">
        <f>[1]Субсидия_факт!BD13</f>
        <v>0</v>
      </c>
      <c r="M14" s="736"/>
      <c r="N14" s="730">
        <f>[1]Субсидия_факт!BR13</f>
        <v>2304447.2599999998</v>
      </c>
      <c r="O14" s="736"/>
      <c r="P14" s="730">
        <f>[1]Субсидия_факт!BT13</f>
        <v>0</v>
      </c>
      <c r="Q14" s="736"/>
      <c r="R14" s="730">
        <f>[1]Субсидия_факт!BV13</f>
        <v>117661.4</v>
      </c>
      <c r="S14" s="736">
        <v>113431.4</v>
      </c>
      <c r="T14" s="730">
        <f>[1]Субсидия_факт!DX13</f>
        <v>7826.1</v>
      </c>
      <c r="U14" s="731">
        <f t="shared" si="3"/>
        <v>7826.1</v>
      </c>
      <c r="V14" s="730">
        <f>[1]Субсидия_факт!HT13</f>
        <v>0</v>
      </c>
      <c r="W14" s="736"/>
      <c r="X14" s="730">
        <f>[1]Субсидия_факт!HX13</f>
        <v>0</v>
      </c>
      <c r="Y14" s="736"/>
      <c r="Z14" s="730">
        <f>[1]Субсидия_факт!HZ13</f>
        <v>0</v>
      </c>
      <c r="AA14" s="736"/>
      <c r="AB14" s="730">
        <f>[1]Субсидия_факт!IB13</f>
        <v>40600000</v>
      </c>
      <c r="AC14" s="760">
        <v>20137135.82</v>
      </c>
      <c r="AD14" s="734">
        <f>[1]Субсидия_факт!LF13</f>
        <v>26829232.25</v>
      </c>
      <c r="AE14" s="735">
        <v>23196160.469999999</v>
      </c>
      <c r="AF14" s="761">
        <f>[1]Субсидия_факт!LL13</f>
        <v>0</v>
      </c>
      <c r="AG14" s="735"/>
      <c r="AH14" s="762">
        <f>[1]Субсидия_факт!ML13</f>
        <v>0</v>
      </c>
      <c r="AI14" s="763"/>
      <c r="AJ14" s="730">
        <f>[1]Субсидия_факт!MT13</f>
        <v>0</v>
      </c>
      <c r="AK14" s="736"/>
      <c r="AL14" s="730">
        <f>[1]Субсидия_факт!ND13</f>
        <v>44889770</v>
      </c>
      <c r="AM14" s="736">
        <v>0</v>
      </c>
      <c r="AN14" s="730">
        <f>[1]Субсидия_факт!NJ13</f>
        <v>0</v>
      </c>
      <c r="AO14" s="736"/>
      <c r="AP14" s="764">
        <f>[1]Субсидия_факт!NL13</f>
        <v>36115290</v>
      </c>
      <c r="AQ14" s="736"/>
      <c r="AR14" s="730">
        <f>[1]Субсидия_факт!NR13</f>
        <v>0</v>
      </c>
      <c r="AS14" s="736"/>
      <c r="AT14" s="730">
        <f>[1]Субсидия_факт!NX13</f>
        <v>0</v>
      </c>
      <c r="AU14" s="736"/>
      <c r="AV14" s="730">
        <f>[1]Субсидия_факт!NZ13</f>
        <v>1473574.35</v>
      </c>
      <c r="AW14" s="736">
        <v>905341.42</v>
      </c>
      <c r="AX14" s="730">
        <f>[1]Субсидия_факт!OB13</f>
        <v>1606199.92</v>
      </c>
      <c r="AY14" s="736">
        <v>1606199.92</v>
      </c>
      <c r="AZ14" s="730">
        <f>[1]Субсидия_факт!OP13</f>
        <v>3497891.64</v>
      </c>
      <c r="BA14" s="736">
        <v>214551.64</v>
      </c>
      <c r="BB14" s="730">
        <f>[1]Субсидия_факт!OV13</f>
        <v>353490.17</v>
      </c>
      <c r="BC14" s="736">
        <v>228135.28</v>
      </c>
      <c r="BD14" s="730">
        <f>[1]Субсидия_факт!PC13</f>
        <v>0</v>
      </c>
      <c r="BE14" s="736"/>
      <c r="BF14" s="730">
        <f>[1]Субсидия_факт!PE13</f>
        <v>0</v>
      </c>
      <c r="BG14" s="736"/>
      <c r="BH14" s="730">
        <f>[1]Субсидия_факт!PW13</f>
        <v>0</v>
      </c>
      <c r="BI14" s="736"/>
    </row>
    <row r="15" spans="1:61" s="749" customFormat="1" ht="21" customHeight="1" x14ac:dyDescent="0.25">
      <c r="A15" s="1184" t="s">
        <v>1288</v>
      </c>
      <c r="B15" s="1183">
        <f t="shared" si="1"/>
        <v>58910442.5</v>
      </c>
      <c r="C15" s="1118">
        <f t="shared" si="2"/>
        <v>49827409.170000002</v>
      </c>
      <c r="D15" s="730">
        <f>[1]Субсидия_факт!AB15</f>
        <v>0</v>
      </c>
      <c r="E15" s="731"/>
      <c r="F15" s="730">
        <f>[1]Субсидия_факт!AH15</f>
        <v>220097.89</v>
      </c>
      <c r="G15" s="736">
        <v>215614.24</v>
      </c>
      <c r="H15" s="730">
        <f>[1]Субсидия_факт!AJ15</f>
        <v>0</v>
      </c>
      <c r="I15" s="736"/>
      <c r="J15" s="730">
        <f>[1]Субсидия_факт!BB15</f>
        <v>0</v>
      </c>
      <c r="K15" s="736"/>
      <c r="L15" s="730">
        <f>[1]Субсидия_факт!BD15</f>
        <v>0</v>
      </c>
      <c r="M15" s="736"/>
      <c r="N15" s="730">
        <f>[1]Субсидия_факт!BR15</f>
        <v>0</v>
      </c>
      <c r="O15" s="736"/>
      <c r="P15" s="730">
        <f>[1]Субсидия_факт!BT15</f>
        <v>0</v>
      </c>
      <c r="Q15" s="736"/>
      <c r="R15" s="730">
        <f>[1]Субсидия_факт!BV15</f>
        <v>58636.800000000003</v>
      </c>
      <c r="S15" s="736">
        <v>22781.84</v>
      </c>
      <c r="T15" s="730">
        <f>[1]Субсидия_факт!DX15</f>
        <v>0</v>
      </c>
      <c r="U15" s="731">
        <f t="shared" si="3"/>
        <v>0</v>
      </c>
      <c r="V15" s="730">
        <f>[1]Субсидия_факт!HT15</f>
        <v>0</v>
      </c>
      <c r="W15" s="736"/>
      <c r="X15" s="730">
        <f>[1]Субсидия_факт!HX15</f>
        <v>0</v>
      </c>
      <c r="Y15" s="736"/>
      <c r="Z15" s="730">
        <f>[1]Субсидия_факт!HZ15</f>
        <v>0</v>
      </c>
      <c r="AA15" s="736"/>
      <c r="AB15" s="730">
        <f>[1]Субсидия_факт!IB15</f>
        <v>23359400</v>
      </c>
      <c r="AC15" s="760">
        <v>16243347.199999999</v>
      </c>
      <c r="AD15" s="734">
        <f>[1]Субсидия_факт!LF15</f>
        <v>28930096.879999999</v>
      </c>
      <c r="AE15" s="735">
        <v>28494048.969999999</v>
      </c>
      <c r="AF15" s="761">
        <f>[1]Субсидия_факт!LL15</f>
        <v>0</v>
      </c>
      <c r="AG15" s="735"/>
      <c r="AH15" s="762">
        <f>[1]Субсидия_факт!ML15</f>
        <v>0</v>
      </c>
      <c r="AI15" s="763"/>
      <c r="AJ15" s="730">
        <f>[1]Субсидия_факт!MT15</f>
        <v>0</v>
      </c>
      <c r="AK15" s="736"/>
      <c r="AL15" s="730">
        <f>[1]Субсидия_факт!ND15</f>
        <v>0</v>
      </c>
      <c r="AM15" s="736"/>
      <c r="AN15" s="730">
        <f>[1]Субсидия_факт!NJ15</f>
        <v>0</v>
      </c>
      <c r="AO15" s="736"/>
      <c r="AP15" s="764">
        <f>[1]Субсидия_факт!NL15</f>
        <v>0</v>
      </c>
      <c r="AQ15" s="736"/>
      <c r="AR15" s="730">
        <f>[1]Субсидия_факт!NR15</f>
        <v>700000</v>
      </c>
      <c r="AS15" s="736"/>
      <c r="AT15" s="730">
        <f>[1]Субсидия_факт!NX15</f>
        <v>0</v>
      </c>
      <c r="AU15" s="736"/>
      <c r="AV15" s="730">
        <f>[1]Субсидия_факт!NZ15</f>
        <v>4082900.84</v>
      </c>
      <c r="AW15" s="736">
        <v>3875901.31</v>
      </c>
      <c r="AX15" s="730">
        <f>[1]Субсидия_факт!OB15</f>
        <v>714627.81</v>
      </c>
      <c r="AY15" s="736">
        <v>713483.15</v>
      </c>
      <c r="AZ15" s="730">
        <f>[1]Субсидия_факт!OP15</f>
        <v>399890</v>
      </c>
      <c r="BA15" s="736">
        <v>0</v>
      </c>
      <c r="BB15" s="730">
        <f>[1]Субсидия_факт!OV15</f>
        <v>256948.80000000002</v>
      </c>
      <c r="BC15" s="736">
        <v>159172.48000000001</v>
      </c>
      <c r="BD15" s="730">
        <f>[1]Субсидия_факт!PC15</f>
        <v>78716.2</v>
      </c>
      <c r="BE15" s="736"/>
      <c r="BF15" s="730">
        <f>[1]Субсидия_факт!PE15</f>
        <v>0</v>
      </c>
      <c r="BG15" s="736"/>
      <c r="BH15" s="730">
        <f>[1]Субсидия_факт!PW15</f>
        <v>109127.28</v>
      </c>
      <c r="BI15" s="736">
        <v>103059.98</v>
      </c>
    </row>
    <row r="16" spans="1:61" s="749" customFormat="1" ht="21" customHeight="1" x14ac:dyDescent="0.25">
      <c r="A16" s="1184" t="s">
        <v>1289</v>
      </c>
      <c r="B16" s="1183">
        <f t="shared" si="1"/>
        <v>50745711.689999998</v>
      </c>
      <c r="C16" s="1118">
        <f t="shared" si="2"/>
        <v>28159681.099999998</v>
      </c>
      <c r="D16" s="730">
        <f>[1]Субсидия_факт!AB16</f>
        <v>0</v>
      </c>
      <c r="E16" s="731"/>
      <c r="F16" s="730">
        <f>[1]Субсидия_факт!AH16</f>
        <v>211633.29</v>
      </c>
      <c r="G16" s="736">
        <v>158551.84</v>
      </c>
      <c r="H16" s="730">
        <f>[1]Субсидия_факт!AJ16</f>
        <v>476800</v>
      </c>
      <c r="I16" s="731">
        <f>H16</f>
        <v>476800</v>
      </c>
      <c r="J16" s="730">
        <f>[1]Субсидия_факт!BB16</f>
        <v>0</v>
      </c>
      <c r="K16" s="736"/>
      <c r="L16" s="730">
        <f>[1]Субсидия_факт!BD16</f>
        <v>0</v>
      </c>
      <c r="M16" s="736"/>
      <c r="N16" s="730">
        <f>[1]Субсидия_факт!BR16</f>
        <v>0</v>
      </c>
      <c r="O16" s="736"/>
      <c r="P16" s="730">
        <f>[1]Субсидия_факт!BT16</f>
        <v>0</v>
      </c>
      <c r="Q16" s="736"/>
      <c r="R16" s="730">
        <f>[1]Субсидия_факт!BV16</f>
        <v>200460.76</v>
      </c>
      <c r="S16" s="736">
        <v>2405.4</v>
      </c>
      <c r="T16" s="730">
        <f>[1]Субсидия_факт!DX16</f>
        <v>12173.91</v>
      </c>
      <c r="U16" s="731">
        <f t="shared" si="3"/>
        <v>12173.91</v>
      </c>
      <c r="V16" s="730">
        <f>[1]Субсидия_факт!HT16</f>
        <v>0</v>
      </c>
      <c r="W16" s="736"/>
      <c r="X16" s="730">
        <f>[1]Субсидия_факт!HX16</f>
        <v>0</v>
      </c>
      <c r="Y16" s="736"/>
      <c r="Z16" s="730">
        <f>[1]Субсидия_факт!HZ16</f>
        <v>0</v>
      </c>
      <c r="AA16" s="736"/>
      <c r="AB16" s="730">
        <f>[1]Субсидия_факт!IB16</f>
        <v>0</v>
      </c>
      <c r="AC16" s="760">
        <v>0</v>
      </c>
      <c r="AD16" s="734">
        <f>[1]Субсидия_факт!LF16</f>
        <v>43934686.239999995</v>
      </c>
      <c r="AE16" s="735">
        <v>23725890.309999999</v>
      </c>
      <c r="AF16" s="761">
        <f>[1]Субсидия_факт!LL16</f>
        <v>0</v>
      </c>
      <c r="AG16" s="735"/>
      <c r="AH16" s="762">
        <f>[1]Субсидия_факт!ML16</f>
        <v>0</v>
      </c>
      <c r="AI16" s="763"/>
      <c r="AJ16" s="730">
        <f>[1]Субсидия_факт!MT16</f>
        <v>0</v>
      </c>
      <c r="AK16" s="736"/>
      <c r="AL16" s="730">
        <f>[1]Субсидия_факт!ND16</f>
        <v>0</v>
      </c>
      <c r="AM16" s="736"/>
      <c r="AN16" s="730">
        <f>[1]Субсидия_факт!NJ16</f>
        <v>0</v>
      </c>
      <c r="AO16" s="736"/>
      <c r="AP16" s="764">
        <f>[1]Субсидия_факт!NL16</f>
        <v>0</v>
      </c>
      <c r="AQ16" s="736"/>
      <c r="AR16" s="730">
        <f>[1]Субсидия_факт!NR16</f>
        <v>530548.81999999995</v>
      </c>
      <c r="AS16" s="736">
        <v>495911.96</v>
      </c>
      <c r="AT16" s="730">
        <f>[1]Субсидия_факт!NX16</f>
        <v>1484400</v>
      </c>
      <c r="AU16" s="736">
        <v>989599.97</v>
      </c>
      <c r="AV16" s="730">
        <f>[1]Субсидия_факт!NZ16</f>
        <v>923239.44</v>
      </c>
      <c r="AW16" s="736">
        <v>470460.5</v>
      </c>
      <c r="AX16" s="730">
        <f>[1]Субсидия_факт!OB16</f>
        <v>1518660.02</v>
      </c>
      <c r="AY16" s="736">
        <v>1514315.13</v>
      </c>
      <c r="AZ16" s="730">
        <f>[1]Субсидия_факт!OP16</f>
        <v>941710</v>
      </c>
      <c r="BA16" s="736">
        <v>0</v>
      </c>
      <c r="BB16" s="730">
        <f>[1]Субсидия_факт!OV16</f>
        <v>414283.32</v>
      </c>
      <c r="BC16" s="736">
        <v>216456.19</v>
      </c>
      <c r="BD16" s="730">
        <f>[1]Субсидия_факт!PC16</f>
        <v>97115.89</v>
      </c>
      <c r="BE16" s="731">
        <f t="shared" ref="BE16:BE18" si="4">BD16</f>
        <v>97115.89</v>
      </c>
      <c r="BF16" s="730">
        <f>[1]Субсидия_факт!PE16</f>
        <v>0</v>
      </c>
      <c r="BG16" s="736"/>
      <c r="BH16" s="730">
        <f>[1]Субсидия_факт!PW16</f>
        <v>0</v>
      </c>
      <c r="BI16" s="736"/>
    </row>
    <row r="17" spans="1:61" s="749" customFormat="1" ht="21" customHeight="1" x14ac:dyDescent="0.25">
      <c r="A17" s="1184" t="s">
        <v>1290</v>
      </c>
      <c r="B17" s="1183">
        <f t="shared" si="1"/>
        <v>207143828.62</v>
      </c>
      <c r="C17" s="1118">
        <f t="shared" si="2"/>
        <v>110825632.87</v>
      </c>
      <c r="D17" s="730">
        <f>[1]Субсидия_факт!AB17</f>
        <v>0</v>
      </c>
      <c r="E17" s="731"/>
      <c r="F17" s="730">
        <f>[1]Субсидия_факт!AH17</f>
        <v>217781.07</v>
      </c>
      <c r="G17" s="736">
        <v>198271.51</v>
      </c>
      <c r="H17" s="730">
        <f>[1]Субсидия_факт!AJ17</f>
        <v>0</v>
      </c>
      <c r="I17" s="736"/>
      <c r="J17" s="730">
        <f>[1]Субсидия_факт!BB17</f>
        <v>0</v>
      </c>
      <c r="K17" s="736"/>
      <c r="L17" s="730">
        <f>[1]Субсидия_факт!BD17</f>
        <v>12000000</v>
      </c>
      <c r="M17" s="736">
        <v>3839816.54</v>
      </c>
      <c r="N17" s="730">
        <f>[1]Субсидия_факт!BR17</f>
        <v>0</v>
      </c>
      <c r="O17" s="736"/>
      <c r="P17" s="730">
        <f>[1]Субсидия_факт!BT17</f>
        <v>0</v>
      </c>
      <c r="Q17" s="736"/>
      <c r="R17" s="730">
        <f>[1]Субсидия_факт!BV17</f>
        <v>66983.22</v>
      </c>
      <c r="S17" s="736">
        <v>65052.2</v>
      </c>
      <c r="T17" s="730">
        <f>[1]Субсидия_факт!DX17</f>
        <v>8695.65</v>
      </c>
      <c r="U17" s="731">
        <f>T17</f>
        <v>8695.65</v>
      </c>
      <c r="V17" s="730">
        <f>[1]Субсидия_факт!HT17</f>
        <v>109067344.05000001</v>
      </c>
      <c r="W17" s="736">
        <v>58699891.579999998</v>
      </c>
      <c r="X17" s="730">
        <f>[1]Субсидия_факт!HX17</f>
        <v>0</v>
      </c>
      <c r="Y17" s="736"/>
      <c r="Z17" s="730">
        <f>[1]Субсидия_факт!HZ17</f>
        <v>0</v>
      </c>
      <c r="AA17" s="736"/>
      <c r="AB17" s="730">
        <f>[1]Субсидия_факт!IB17</f>
        <v>45802055.340000004</v>
      </c>
      <c r="AC17" s="760">
        <v>30723360.129999999</v>
      </c>
      <c r="AD17" s="734">
        <f>[1]Субсидия_факт!LF17</f>
        <v>28834494.010000002</v>
      </c>
      <c r="AE17" s="735">
        <v>9704721.7300000004</v>
      </c>
      <c r="AF17" s="761">
        <f>[1]Субсидия_факт!LL17</f>
        <v>0</v>
      </c>
      <c r="AG17" s="735"/>
      <c r="AH17" s="762">
        <f>[1]Субсидия_факт!ML17</f>
        <v>0</v>
      </c>
      <c r="AI17" s="763"/>
      <c r="AJ17" s="730">
        <f>[1]Субсидия_факт!MT17</f>
        <v>0</v>
      </c>
      <c r="AK17" s="736"/>
      <c r="AL17" s="730">
        <f>[1]Субсидия_факт!ND17</f>
        <v>0</v>
      </c>
      <c r="AM17" s="736"/>
      <c r="AN17" s="730">
        <f>[1]Субсидия_факт!NJ17</f>
        <v>0</v>
      </c>
      <c r="AO17" s="736"/>
      <c r="AP17" s="764">
        <f>[1]Субсидия_факт!NL17</f>
        <v>0</v>
      </c>
      <c r="AQ17" s="736"/>
      <c r="AR17" s="730">
        <f>[1]Субсидия_факт!NR17</f>
        <v>1303217.0699999998</v>
      </c>
      <c r="AS17" s="736">
        <v>603217.06999999995</v>
      </c>
      <c r="AT17" s="730">
        <f>[1]Субсидия_факт!NX17</f>
        <v>3751000</v>
      </c>
      <c r="AU17" s="736">
        <v>3751000</v>
      </c>
      <c r="AV17" s="730">
        <f>[1]Субсидия_факт!NZ17</f>
        <v>3328527.31</v>
      </c>
      <c r="AW17" s="736">
        <v>2874342.58</v>
      </c>
      <c r="AX17" s="730">
        <f>[1]Субсидия_факт!OB17</f>
        <v>1170593.07</v>
      </c>
      <c r="AY17" s="736">
        <v>0</v>
      </c>
      <c r="AZ17" s="730">
        <f>[1]Субсидия_факт!OP17</f>
        <v>1430080</v>
      </c>
      <c r="BA17" s="736">
        <v>350000</v>
      </c>
      <c r="BB17" s="730">
        <f>[1]Субсидия_факт!OV17</f>
        <v>46224.67</v>
      </c>
      <c r="BC17" s="736">
        <v>7263.88</v>
      </c>
      <c r="BD17" s="730">
        <f>[1]Субсидия_факт!PC17</f>
        <v>0</v>
      </c>
      <c r="BE17" s="731">
        <f t="shared" si="4"/>
        <v>0</v>
      </c>
      <c r="BF17" s="730">
        <f>[1]Субсидия_факт!PE17</f>
        <v>0</v>
      </c>
      <c r="BG17" s="736"/>
      <c r="BH17" s="730">
        <f>[1]Субсидия_факт!PW17</f>
        <v>116833.16</v>
      </c>
      <c r="BI17" s="736"/>
    </row>
    <row r="18" spans="1:61" s="749" customFormat="1" ht="21" customHeight="1" x14ac:dyDescent="0.25">
      <c r="A18" s="1184" t="s">
        <v>1291</v>
      </c>
      <c r="B18" s="1183">
        <f t="shared" si="1"/>
        <v>45700525.539999999</v>
      </c>
      <c r="C18" s="1118">
        <f t="shared" si="2"/>
        <v>31513376.800000001</v>
      </c>
      <c r="D18" s="730">
        <f>[1]Субсидия_факт!AB19</f>
        <v>0</v>
      </c>
      <c r="E18" s="731"/>
      <c r="F18" s="730">
        <f>[1]Субсидия_факт!AH19</f>
        <v>217781.43</v>
      </c>
      <c r="G18" s="736">
        <v>211592.21</v>
      </c>
      <c r="H18" s="730">
        <f>[1]Субсидия_факт!AJ19</f>
        <v>0</v>
      </c>
      <c r="I18" s="736"/>
      <c r="J18" s="730">
        <f>[1]Субсидия_факт!BB19</f>
        <v>0</v>
      </c>
      <c r="K18" s="736"/>
      <c r="L18" s="730">
        <f>[1]Субсидия_факт!BD19</f>
        <v>0</v>
      </c>
      <c r="M18" s="736"/>
      <c r="N18" s="730">
        <f>[1]Субсидия_факт!BR19</f>
        <v>0</v>
      </c>
      <c r="O18" s="736"/>
      <c r="P18" s="730">
        <f>[1]Субсидия_факт!BT19</f>
        <v>0</v>
      </c>
      <c r="Q18" s="736"/>
      <c r="R18" s="730">
        <f>[1]Субсидия_факт!BV19</f>
        <v>119037.89</v>
      </c>
      <c r="S18" s="736">
        <v>56813.74</v>
      </c>
      <c r="T18" s="730">
        <f>[1]Субсидия_факт!DX19</f>
        <v>4347.83</v>
      </c>
      <c r="U18" s="731">
        <f t="shared" ref="U18:U24" si="5">T18</f>
        <v>4347.83</v>
      </c>
      <c r="V18" s="730">
        <f>[1]Субсидия_факт!HT19</f>
        <v>0</v>
      </c>
      <c r="W18" s="736"/>
      <c r="X18" s="730">
        <f>[1]Субсидия_факт!HX19</f>
        <v>0</v>
      </c>
      <c r="Y18" s="736"/>
      <c r="Z18" s="730">
        <f>[1]Субсидия_факт!HZ19</f>
        <v>0</v>
      </c>
      <c r="AA18" s="736"/>
      <c r="AB18" s="730">
        <f>[1]Субсидия_факт!IB19</f>
        <v>25350000</v>
      </c>
      <c r="AC18" s="760">
        <v>13301916.060000001</v>
      </c>
      <c r="AD18" s="734">
        <f>[1]Субсидия_факт!LF19</f>
        <v>18013338.98</v>
      </c>
      <c r="AE18" s="735">
        <v>17273469.140000001</v>
      </c>
      <c r="AF18" s="761">
        <f>[1]Субсидия_факт!LL19</f>
        <v>0</v>
      </c>
      <c r="AG18" s="735"/>
      <c r="AH18" s="762">
        <f>[1]Субсидия_факт!ML19</f>
        <v>0</v>
      </c>
      <c r="AI18" s="763"/>
      <c r="AJ18" s="730">
        <f>[1]Субсидия_факт!MT19</f>
        <v>0</v>
      </c>
      <c r="AK18" s="736"/>
      <c r="AL18" s="730">
        <f>[1]Субсидия_факт!ND19</f>
        <v>0</v>
      </c>
      <c r="AM18" s="736"/>
      <c r="AN18" s="730">
        <f>[1]Субсидия_факт!NJ19</f>
        <v>0</v>
      </c>
      <c r="AO18" s="736"/>
      <c r="AP18" s="764">
        <f>[1]Субсидия_факт!NL19</f>
        <v>0</v>
      </c>
      <c r="AQ18" s="736"/>
      <c r="AR18" s="730">
        <f>[1]Субсидия_факт!NR19</f>
        <v>700000</v>
      </c>
      <c r="AS18" s="736"/>
      <c r="AT18" s="730">
        <f>[1]Субсидия_факт!NX19</f>
        <v>0</v>
      </c>
      <c r="AU18" s="736"/>
      <c r="AV18" s="730">
        <f>[1]Субсидия_факт!NZ19</f>
        <v>367913.7</v>
      </c>
      <c r="AW18" s="736">
        <v>120958.49</v>
      </c>
      <c r="AX18" s="730">
        <f>[1]Субсидия_факт!OB19</f>
        <v>169151.66</v>
      </c>
      <c r="AY18" s="736">
        <v>169151.66</v>
      </c>
      <c r="AZ18" s="730">
        <f>[1]Субсидия_факт!OP19</f>
        <v>264430</v>
      </c>
      <c r="BA18" s="736">
        <v>0</v>
      </c>
      <c r="BB18" s="730">
        <f>[1]Субсидия_факт!OV19</f>
        <v>329453.15999999997</v>
      </c>
      <c r="BC18" s="736">
        <v>210056.78</v>
      </c>
      <c r="BD18" s="730">
        <f>[1]Субсидия_факт!PC19</f>
        <v>72449.78</v>
      </c>
      <c r="BE18" s="731">
        <f t="shared" si="4"/>
        <v>72449.78</v>
      </c>
      <c r="BF18" s="730">
        <f>[1]Субсидия_факт!PE19</f>
        <v>0</v>
      </c>
      <c r="BG18" s="736"/>
      <c r="BH18" s="730">
        <f>[1]Субсидия_факт!PW19</f>
        <v>92621.11</v>
      </c>
      <c r="BI18" s="736">
        <v>92621.11</v>
      </c>
    </row>
    <row r="19" spans="1:61" s="749" customFormat="1" ht="21" customHeight="1" x14ac:dyDescent="0.25">
      <c r="A19" s="1184" t="s">
        <v>1292</v>
      </c>
      <c r="B19" s="1183">
        <f t="shared" si="1"/>
        <v>192553302.00999999</v>
      </c>
      <c r="C19" s="1118">
        <f t="shared" si="2"/>
        <v>75599974.310000002</v>
      </c>
      <c r="D19" s="730">
        <f>[1]Субсидия_факт!AB20</f>
        <v>0</v>
      </c>
      <c r="E19" s="731"/>
      <c r="F19" s="730">
        <f>[1]Субсидия_факт!AH20</f>
        <v>474127.53</v>
      </c>
      <c r="G19" s="736">
        <v>321834.89</v>
      </c>
      <c r="H19" s="730">
        <f>[1]Субсидия_факт!AJ20</f>
        <v>0</v>
      </c>
      <c r="I19" s="736"/>
      <c r="J19" s="730">
        <f>[1]Субсидия_факт!BB20</f>
        <v>54677198.120000005</v>
      </c>
      <c r="K19" s="736">
        <v>4310277.47</v>
      </c>
      <c r="L19" s="730">
        <f>[1]Субсидия_факт!BD20</f>
        <v>0</v>
      </c>
      <c r="M19" s="736"/>
      <c r="N19" s="730">
        <f>[1]Субсидия_факт!BR20</f>
        <v>0</v>
      </c>
      <c r="O19" s="736"/>
      <c r="P19" s="730">
        <f>[1]Субсидия_факт!BT20</f>
        <v>0</v>
      </c>
      <c r="Q19" s="736"/>
      <c r="R19" s="730">
        <f>[1]Субсидия_факт!BV20</f>
        <v>115975.32</v>
      </c>
      <c r="S19" s="736">
        <v>43934.61</v>
      </c>
      <c r="T19" s="730">
        <f>[1]Субсидия_факт!DX20</f>
        <v>86956.52</v>
      </c>
      <c r="U19" s="731">
        <f t="shared" si="5"/>
        <v>86956.52</v>
      </c>
      <c r="V19" s="730">
        <f>[1]Субсидия_факт!HT20</f>
        <v>0</v>
      </c>
      <c r="W19" s="736"/>
      <c r="X19" s="730">
        <f>[1]Субсидия_факт!HX20</f>
        <v>0</v>
      </c>
      <c r="Y19" s="736"/>
      <c r="Z19" s="730">
        <f>[1]Субсидия_факт!HZ20</f>
        <v>59302390</v>
      </c>
      <c r="AA19" s="736">
        <v>17541499.760000002</v>
      </c>
      <c r="AB19" s="730">
        <f>[1]Субсидия_факт!IB20</f>
        <v>52668894.549999997</v>
      </c>
      <c r="AC19" s="760">
        <v>34543398.719999999</v>
      </c>
      <c r="AD19" s="734">
        <f>[1]Субсидия_факт!LF20</f>
        <v>18378285.260000002</v>
      </c>
      <c r="AE19" s="735">
        <v>14868197.67</v>
      </c>
      <c r="AF19" s="761">
        <f>[1]Субсидия_факт!LL20</f>
        <v>0</v>
      </c>
      <c r="AG19" s="735"/>
      <c r="AH19" s="762">
        <f>[1]Субсидия_факт!ML20</f>
        <v>0</v>
      </c>
      <c r="AI19" s="763"/>
      <c r="AJ19" s="730">
        <f>[1]Субсидия_факт!MT20</f>
        <v>0</v>
      </c>
      <c r="AK19" s="736"/>
      <c r="AL19" s="730">
        <f>[1]Субсидия_факт!ND20</f>
        <v>0</v>
      </c>
      <c r="AM19" s="736"/>
      <c r="AN19" s="730">
        <f>[1]Субсидия_факт!NJ20</f>
        <v>0</v>
      </c>
      <c r="AO19" s="736"/>
      <c r="AP19" s="764">
        <f>[1]Субсидия_факт!NL20</f>
        <v>0</v>
      </c>
      <c r="AQ19" s="736"/>
      <c r="AR19" s="730">
        <f>[1]Субсидия_факт!NR20</f>
        <v>700000</v>
      </c>
      <c r="AS19" s="736"/>
      <c r="AT19" s="730">
        <f>[1]Субсидия_факт!NX20</f>
        <v>4228000</v>
      </c>
      <c r="AU19" s="736">
        <v>3594099.6</v>
      </c>
      <c r="AV19" s="730">
        <f>[1]Субсидия_факт!NZ20</f>
        <v>206798.53</v>
      </c>
      <c r="AW19" s="736">
        <v>79247.490000000005</v>
      </c>
      <c r="AX19" s="730">
        <f>[1]Субсидия_факт!OB20</f>
        <v>804491.07</v>
      </c>
      <c r="AY19" s="736">
        <v>0</v>
      </c>
      <c r="AZ19" s="730">
        <f>[1]Субсидия_факт!OP20</f>
        <v>387900</v>
      </c>
      <c r="BA19" s="736">
        <v>0</v>
      </c>
      <c r="BB19" s="730">
        <f>[1]Субсидия_факт!OV20</f>
        <v>317539.19</v>
      </c>
      <c r="BC19" s="736">
        <v>210527.58</v>
      </c>
      <c r="BD19" s="730">
        <f>[1]Субсидия_факт!PC20</f>
        <v>107604.73</v>
      </c>
      <c r="BE19" s="731"/>
      <c r="BF19" s="730">
        <f>[1]Субсидия_факт!PE20</f>
        <v>0</v>
      </c>
      <c r="BG19" s="736"/>
      <c r="BH19" s="730">
        <f>[1]Субсидия_факт!PW20</f>
        <v>97141.19</v>
      </c>
      <c r="BI19" s="736"/>
    </row>
    <row r="20" spans="1:61" s="749" customFormat="1" ht="21" customHeight="1" x14ac:dyDescent="0.25">
      <c r="A20" s="1184" t="s">
        <v>1293</v>
      </c>
      <c r="B20" s="1183">
        <f t="shared" si="1"/>
        <v>45998286.200000003</v>
      </c>
      <c r="C20" s="1118">
        <f t="shared" si="2"/>
        <v>27720732.359999999</v>
      </c>
      <c r="D20" s="730">
        <f>[1]Субсидия_факт!AB21</f>
        <v>0</v>
      </c>
      <c r="E20" s="731"/>
      <c r="F20" s="730">
        <f>[1]Субсидия_факт!AH21</f>
        <v>217781.07</v>
      </c>
      <c r="G20" s="736">
        <v>183875.27</v>
      </c>
      <c r="H20" s="730">
        <f>[1]Субсидия_факт!AJ21</f>
        <v>0</v>
      </c>
      <c r="I20" s="736"/>
      <c r="J20" s="730">
        <f>[1]Субсидия_факт!BB21</f>
        <v>0</v>
      </c>
      <c r="K20" s="736"/>
      <c r="L20" s="730">
        <f>[1]Субсидия_факт!BD21</f>
        <v>0</v>
      </c>
      <c r="M20" s="736"/>
      <c r="N20" s="730">
        <f>[1]Субсидия_факт!BR21</f>
        <v>0</v>
      </c>
      <c r="O20" s="736"/>
      <c r="P20" s="730">
        <f>[1]Субсидия_факт!BT21</f>
        <v>0</v>
      </c>
      <c r="Q20" s="736"/>
      <c r="R20" s="730">
        <f>[1]Субсидия_факт!BV21</f>
        <v>107591.93</v>
      </c>
      <c r="S20" s="736">
        <v>66500</v>
      </c>
      <c r="T20" s="730">
        <f>[1]Субсидия_факт!DX21</f>
        <v>9565.2199999999993</v>
      </c>
      <c r="U20" s="731">
        <f t="shared" si="5"/>
        <v>9565.2199999999993</v>
      </c>
      <c r="V20" s="730">
        <f>[1]Субсидия_факт!HT21</f>
        <v>0</v>
      </c>
      <c r="W20" s="736"/>
      <c r="X20" s="730">
        <f>[1]Субсидия_факт!HX21</f>
        <v>0</v>
      </c>
      <c r="Y20" s="736"/>
      <c r="Z20" s="730">
        <f>[1]Субсидия_факт!HZ21</f>
        <v>0</v>
      </c>
      <c r="AA20" s="736"/>
      <c r="AB20" s="730">
        <f>[1]Субсидия_факт!IB21</f>
        <v>17752760.129999999</v>
      </c>
      <c r="AC20" s="760">
        <v>12749563.43</v>
      </c>
      <c r="AD20" s="734">
        <f>[1]Субсидия_факт!LF21</f>
        <v>13718449.16</v>
      </c>
      <c r="AE20" s="735">
        <v>13718449.16</v>
      </c>
      <c r="AF20" s="761">
        <f>[1]Субсидия_факт!LL21</f>
        <v>0</v>
      </c>
      <c r="AG20" s="735"/>
      <c r="AH20" s="762">
        <f>[1]Субсидия_факт!ML21</f>
        <v>0</v>
      </c>
      <c r="AI20" s="763"/>
      <c r="AJ20" s="730">
        <f>[1]Субсидия_факт!MT21</f>
        <v>0</v>
      </c>
      <c r="AK20" s="736"/>
      <c r="AL20" s="730">
        <f>[1]Субсидия_факт!ND21</f>
        <v>11159868.5</v>
      </c>
      <c r="AM20" s="736">
        <v>0</v>
      </c>
      <c r="AN20" s="730">
        <f>[1]Субсидия_факт!NJ21</f>
        <v>0</v>
      </c>
      <c r="AO20" s="736"/>
      <c r="AP20" s="764">
        <f>[1]Субсидия_факт!NL21</f>
        <v>0</v>
      </c>
      <c r="AQ20" s="736"/>
      <c r="AR20" s="730">
        <f>[1]Субсидия_факт!NR21</f>
        <v>0</v>
      </c>
      <c r="AS20" s="736"/>
      <c r="AT20" s="730">
        <f>[1]Субсидия_факт!NX21</f>
        <v>1492000</v>
      </c>
      <c r="AU20" s="736">
        <v>399000</v>
      </c>
      <c r="AV20" s="730">
        <f>[1]Субсидия_факт!NZ21</f>
        <v>460691.94</v>
      </c>
      <c r="AW20" s="736">
        <v>299650.38</v>
      </c>
      <c r="AX20" s="730">
        <f>[1]Субсидия_факт!OB21</f>
        <v>360727.91</v>
      </c>
      <c r="AY20" s="736">
        <v>0</v>
      </c>
      <c r="AZ20" s="730">
        <f>[1]Субсидия_факт!OP21</f>
        <v>207070</v>
      </c>
      <c r="BA20" s="736">
        <v>0</v>
      </c>
      <c r="BB20" s="730">
        <f>[1]Субсидия_факт!OV21</f>
        <v>354339.63</v>
      </c>
      <c r="BC20" s="736">
        <v>212218.44</v>
      </c>
      <c r="BD20" s="730">
        <f>[1]Субсидия_факт!PC21</f>
        <v>81910.460000000006</v>
      </c>
      <c r="BE20" s="731">
        <f>BD20</f>
        <v>81910.460000000006</v>
      </c>
      <c r="BF20" s="730">
        <f>[1]Субсидия_факт!PE21</f>
        <v>0</v>
      </c>
      <c r="BG20" s="736"/>
      <c r="BH20" s="730">
        <f>[1]Субсидия_факт!PW21</f>
        <v>75530.25</v>
      </c>
      <c r="BI20" s="736"/>
    </row>
    <row r="21" spans="1:61" s="749" customFormat="1" ht="21" customHeight="1" x14ac:dyDescent="0.25">
      <c r="A21" s="1184" t="s">
        <v>1294</v>
      </c>
      <c r="B21" s="1183">
        <f t="shared" si="1"/>
        <v>191772795.96000001</v>
      </c>
      <c r="C21" s="1118">
        <f t="shared" si="2"/>
        <v>152285748.93000001</v>
      </c>
      <c r="D21" s="730">
        <f>[1]Субсидия_факт!AB22</f>
        <v>0</v>
      </c>
      <c r="E21" s="731"/>
      <c r="F21" s="730">
        <f>[1]Субсидия_факт!AH22</f>
        <v>227353.86</v>
      </c>
      <c r="G21" s="736">
        <v>0</v>
      </c>
      <c r="H21" s="730">
        <f>[1]Субсидия_факт!AJ22</f>
        <v>0</v>
      </c>
      <c r="I21" s="736"/>
      <c r="J21" s="730">
        <f>[1]Субсидия_факт!BB22</f>
        <v>0</v>
      </c>
      <c r="K21" s="736"/>
      <c r="L21" s="730">
        <f>[1]Субсидия_факт!BD22</f>
        <v>0</v>
      </c>
      <c r="M21" s="736"/>
      <c r="N21" s="730">
        <f>[1]Субсидия_факт!BR22</f>
        <v>4137497.67</v>
      </c>
      <c r="O21" s="736">
        <v>3967250.51</v>
      </c>
      <c r="P21" s="730">
        <f>[1]Субсидия_факт!BT22</f>
        <v>10000000</v>
      </c>
      <c r="Q21" s="736">
        <v>1476703.41</v>
      </c>
      <c r="R21" s="730">
        <f>[1]Субсидия_факт!BV22</f>
        <v>289450.01</v>
      </c>
      <c r="S21" s="736">
        <v>0</v>
      </c>
      <c r="T21" s="730">
        <f>[1]Субсидия_факт!DX22</f>
        <v>26086.959999999999</v>
      </c>
      <c r="U21" s="731">
        <f t="shared" si="5"/>
        <v>26086.959999999999</v>
      </c>
      <c r="V21" s="730">
        <f>[1]Субсидия_факт!HT22</f>
        <v>0</v>
      </c>
      <c r="W21" s="736"/>
      <c r="X21" s="730">
        <f>[1]Субсидия_факт!HX22</f>
        <v>0</v>
      </c>
      <c r="Y21" s="736"/>
      <c r="Z21" s="730">
        <f>[1]Субсидия_факт!HZ22</f>
        <v>0</v>
      </c>
      <c r="AA21" s="736"/>
      <c r="AB21" s="730">
        <f>[1]Субсидия_факт!IB22</f>
        <v>86782962.159999996</v>
      </c>
      <c r="AC21" s="760">
        <v>70289918.290000007</v>
      </c>
      <c r="AD21" s="734">
        <f>[1]Субсидия_факт!LF22</f>
        <v>87233595.540000007</v>
      </c>
      <c r="AE21" s="735">
        <v>76165111.349999994</v>
      </c>
      <c r="AF21" s="761">
        <f>[1]Субсидия_факт!LL22</f>
        <v>0</v>
      </c>
      <c r="AG21" s="735"/>
      <c r="AH21" s="762">
        <f>[1]Субсидия_факт!ML22</f>
        <v>0</v>
      </c>
      <c r="AI21" s="763"/>
      <c r="AJ21" s="730">
        <f>[1]Субсидия_факт!MT22</f>
        <v>0</v>
      </c>
      <c r="AK21" s="736"/>
      <c r="AL21" s="730">
        <f>[1]Субсидия_факт!ND22</f>
        <v>0</v>
      </c>
      <c r="AM21" s="736"/>
      <c r="AN21" s="730">
        <f>[1]Субсидия_факт!NJ22</f>
        <v>0</v>
      </c>
      <c r="AO21" s="736"/>
      <c r="AP21" s="764">
        <f>[1]Субсидия_факт!NL22</f>
        <v>0</v>
      </c>
      <c r="AQ21" s="736"/>
      <c r="AR21" s="730">
        <f>[1]Субсидия_факт!NR22</f>
        <v>0</v>
      </c>
      <c r="AS21" s="736"/>
      <c r="AT21" s="730">
        <f>[1]Субсидия_факт!NX22</f>
        <v>0</v>
      </c>
      <c r="AU21" s="736"/>
      <c r="AV21" s="730">
        <f>[1]Субсидия_факт!NZ22</f>
        <v>1106300.49</v>
      </c>
      <c r="AW21" s="736">
        <v>169344.34</v>
      </c>
      <c r="AX21" s="730">
        <f>[1]Субсидия_факт!OB22</f>
        <v>0</v>
      </c>
      <c r="AY21" s="736"/>
      <c r="AZ21" s="730">
        <f>[1]Субсидия_факт!OP22</f>
        <v>1716530</v>
      </c>
      <c r="BA21" s="736">
        <v>0</v>
      </c>
      <c r="BB21" s="730">
        <f>[1]Субсидия_факт!OV22</f>
        <v>253019.27</v>
      </c>
      <c r="BC21" s="736">
        <v>191334.07</v>
      </c>
      <c r="BD21" s="730">
        <f>[1]Субсидия_факт!PC22</f>
        <v>0</v>
      </c>
      <c r="BE21" s="736"/>
      <c r="BF21" s="730">
        <f>[1]Субсидия_факт!PE22</f>
        <v>0</v>
      </c>
      <c r="BG21" s="736"/>
      <c r="BH21" s="730">
        <f>[1]Субсидия_факт!PW22</f>
        <v>0</v>
      </c>
      <c r="BI21" s="736"/>
    </row>
    <row r="22" spans="1:61" s="749" customFormat="1" ht="21" customHeight="1" x14ac:dyDescent="0.25">
      <c r="A22" s="1184" t="s">
        <v>1295</v>
      </c>
      <c r="B22" s="1183">
        <f t="shared" si="1"/>
        <v>73531341.359999999</v>
      </c>
      <c r="C22" s="1118">
        <f t="shared" si="2"/>
        <v>47798709.379999995</v>
      </c>
      <c r="D22" s="730">
        <f>[1]Субсидия_факт!AB24</f>
        <v>0</v>
      </c>
      <c r="E22" s="731"/>
      <c r="F22" s="730">
        <f>[1]Субсидия_факт!AH24</f>
        <v>220684.81</v>
      </c>
      <c r="G22" s="736">
        <v>167576.49</v>
      </c>
      <c r="H22" s="730">
        <f>[1]Субсидия_факт!AJ24</f>
        <v>0</v>
      </c>
      <c r="I22" s="736"/>
      <c r="J22" s="730">
        <f>[1]Субсидия_факт!BB24</f>
        <v>0</v>
      </c>
      <c r="K22" s="736"/>
      <c r="L22" s="730">
        <f>[1]Субсидия_факт!BD24</f>
        <v>0</v>
      </c>
      <c r="M22" s="736"/>
      <c r="N22" s="730">
        <f>[1]Субсидия_факт!BR24</f>
        <v>1833050.41</v>
      </c>
      <c r="O22" s="736">
        <v>1833050.41</v>
      </c>
      <c r="P22" s="730">
        <f>[1]Субсидия_факт!BT24</f>
        <v>0</v>
      </c>
      <c r="Q22" s="736">
        <v>0</v>
      </c>
      <c r="R22" s="730">
        <f>[1]Субсидия_факт!BV24</f>
        <v>103085.85</v>
      </c>
      <c r="S22" s="736">
        <v>103085.85</v>
      </c>
      <c r="T22" s="730">
        <f>[1]Субсидия_факт!DX24</f>
        <v>13913.04</v>
      </c>
      <c r="U22" s="731">
        <f t="shared" si="5"/>
        <v>13913.04</v>
      </c>
      <c r="V22" s="730">
        <f>[1]Субсидия_факт!HT24</f>
        <v>0</v>
      </c>
      <c r="W22" s="736"/>
      <c r="X22" s="730">
        <f>[1]Субсидия_факт!HX24</f>
        <v>0</v>
      </c>
      <c r="Y22" s="736"/>
      <c r="Z22" s="730">
        <f>[1]Субсидия_факт!HZ24</f>
        <v>0</v>
      </c>
      <c r="AA22" s="736"/>
      <c r="AB22" s="730">
        <f>[1]Субсидия_факт!IB24</f>
        <v>31138820.609999999</v>
      </c>
      <c r="AC22" s="760">
        <v>18816146.82</v>
      </c>
      <c r="AD22" s="734">
        <f>[1]Субсидия_факт!LF24</f>
        <v>35700154.090000004</v>
      </c>
      <c r="AE22" s="735">
        <v>24706213.82</v>
      </c>
      <c r="AF22" s="761">
        <f>[1]Субсидия_факт!LL24</f>
        <v>0</v>
      </c>
      <c r="AG22" s="735"/>
      <c r="AH22" s="762">
        <f>[1]Субсидия_факт!ML24</f>
        <v>0</v>
      </c>
      <c r="AI22" s="763"/>
      <c r="AJ22" s="730">
        <f>[1]Субсидия_факт!MT24</f>
        <v>0</v>
      </c>
      <c r="AK22" s="736"/>
      <c r="AL22" s="730">
        <f>[1]Субсидия_факт!ND24</f>
        <v>0</v>
      </c>
      <c r="AM22" s="736"/>
      <c r="AN22" s="730">
        <f>[1]Субсидия_факт!NJ24</f>
        <v>0</v>
      </c>
      <c r="AO22" s="736"/>
      <c r="AP22" s="764">
        <f>[1]Субсидия_факт!NL24</f>
        <v>0</v>
      </c>
      <c r="AQ22" s="736"/>
      <c r="AR22" s="730">
        <f>[1]Субсидия_факт!NR24</f>
        <v>1648843.7999999998</v>
      </c>
      <c r="AS22" s="736">
        <v>509999.66</v>
      </c>
      <c r="AT22" s="730">
        <f>[1]Субсидия_факт!NX24</f>
        <v>1469200</v>
      </c>
      <c r="AU22" s="736">
        <v>1128198.32</v>
      </c>
      <c r="AV22" s="730">
        <f>[1]Субсидия_факт!NZ24</f>
        <v>662244.66</v>
      </c>
      <c r="AW22" s="736">
        <v>304389.84000000003</v>
      </c>
      <c r="AX22" s="730">
        <f>[1]Субсидия_факт!OB24</f>
        <v>250276.43</v>
      </c>
      <c r="AY22" s="736">
        <v>0</v>
      </c>
      <c r="AZ22" s="730">
        <f>[1]Субсидия_факт!OP24</f>
        <v>105320</v>
      </c>
      <c r="BA22" s="736">
        <v>0</v>
      </c>
      <c r="BB22" s="730">
        <f>[1]Субсидия_факт!OV24</f>
        <v>211295.67</v>
      </c>
      <c r="BC22" s="736">
        <v>149262.60999999999</v>
      </c>
      <c r="BD22" s="730">
        <f>[1]Субсидия_факт!PC24</f>
        <v>87872.65</v>
      </c>
      <c r="BE22" s="736"/>
      <c r="BF22" s="730">
        <f>[1]Субсидия_факт!PE24</f>
        <v>0</v>
      </c>
      <c r="BG22" s="736"/>
      <c r="BH22" s="730">
        <f>[1]Субсидия_факт!PW24</f>
        <v>86579.34</v>
      </c>
      <c r="BI22" s="736">
        <v>66872.52</v>
      </c>
    </row>
    <row r="23" spans="1:61" s="749" customFormat="1" ht="21" customHeight="1" x14ac:dyDescent="0.25">
      <c r="A23" s="1184" t="s">
        <v>1296</v>
      </c>
      <c r="B23" s="1183">
        <f t="shared" si="1"/>
        <v>103141461.31999999</v>
      </c>
      <c r="C23" s="1118">
        <f t="shared" si="2"/>
        <v>60205035.239999995</v>
      </c>
      <c r="D23" s="730">
        <f>[1]Субсидия_факт!AB25</f>
        <v>0</v>
      </c>
      <c r="E23" s="731"/>
      <c r="F23" s="730">
        <f>[1]Субсидия_факт!AH25</f>
        <v>217781.07</v>
      </c>
      <c r="G23" s="736">
        <v>205728.24</v>
      </c>
      <c r="H23" s="730">
        <f>[1]Субсидия_факт!AJ25</f>
        <v>0</v>
      </c>
      <c r="I23" s="736"/>
      <c r="J23" s="730">
        <f>[1]Субсидия_факт!BB25</f>
        <v>0</v>
      </c>
      <c r="K23" s="736"/>
      <c r="L23" s="730">
        <f>[1]Субсидия_факт!BD25</f>
        <v>0</v>
      </c>
      <c r="M23" s="736"/>
      <c r="N23" s="730">
        <f>[1]Субсидия_факт!BR25</f>
        <v>0</v>
      </c>
      <c r="O23" s="736"/>
      <c r="P23" s="730">
        <f>[1]Субсидия_факт!BT25</f>
        <v>6100000</v>
      </c>
      <c r="Q23" s="736">
        <v>2631341.5299999998</v>
      </c>
      <c r="R23" s="730">
        <f>[1]Субсидия_факт!BV25</f>
        <v>166456.19</v>
      </c>
      <c r="S23" s="736">
        <v>138122.4</v>
      </c>
      <c r="T23" s="730">
        <f>[1]Субсидия_факт!DX25</f>
        <v>15652.17</v>
      </c>
      <c r="U23" s="731">
        <f t="shared" si="5"/>
        <v>15652.17</v>
      </c>
      <c r="V23" s="730">
        <f>[1]Субсидия_факт!HT25</f>
        <v>0</v>
      </c>
      <c r="W23" s="736"/>
      <c r="X23" s="730">
        <f>[1]Субсидия_факт!HX25</f>
        <v>0</v>
      </c>
      <c r="Y23" s="736"/>
      <c r="Z23" s="730">
        <f>[1]Субсидия_факт!HZ25</f>
        <v>0</v>
      </c>
      <c r="AA23" s="736"/>
      <c r="AB23" s="730">
        <f>[1]Субсидия_факт!IB25</f>
        <v>51129544.369999997</v>
      </c>
      <c r="AC23" s="760">
        <v>16645379.470000001</v>
      </c>
      <c r="AD23" s="734">
        <f>[1]Субсидия_факт!LF25</f>
        <v>34608660.109999999</v>
      </c>
      <c r="AE23" s="735">
        <v>34573810.799999997</v>
      </c>
      <c r="AF23" s="761">
        <f>[1]Субсидия_факт!LL25</f>
        <v>0</v>
      </c>
      <c r="AG23" s="735"/>
      <c r="AH23" s="762">
        <f>[1]Субсидия_факт!ML25</f>
        <v>0</v>
      </c>
      <c r="AI23" s="763"/>
      <c r="AJ23" s="730">
        <f>[1]Субсидия_факт!MT25</f>
        <v>0</v>
      </c>
      <c r="AK23" s="736"/>
      <c r="AL23" s="730">
        <f>[1]Субсидия_факт!ND25</f>
        <v>0</v>
      </c>
      <c r="AM23" s="736"/>
      <c r="AN23" s="730">
        <f>[1]Субсидия_факт!NJ25</f>
        <v>0</v>
      </c>
      <c r="AO23" s="736"/>
      <c r="AP23" s="764">
        <f>[1]Субсидия_факт!NL25</f>
        <v>0</v>
      </c>
      <c r="AQ23" s="736"/>
      <c r="AR23" s="730">
        <f>[1]Субсидия_факт!NR25</f>
        <v>0</v>
      </c>
      <c r="AS23" s="736"/>
      <c r="AT23" s="730">
        <f>[1]Субсидия_факт!NX25</f>
        <v>3658000</v>
      </c>
      <c r="AU23" s="736">
        <v>1793971.45</v>
      </c>
      <c r="AV23" s="730">
        <f>[1]Субсидия_факт!NZ25</f>
        <v>671842.41000000015</v>
      </c>
      <c r="AW23" s="736">
        <v>372084.52</v>
      </c>
      <c r="AX23" s="730">
        <f>[1]Субсидия_факт!OB25</f>
        <v>2339659.63</v>
      </c>
      <c r="AY23" s="736">
        <v>2218306.63</v>
      </c>
      <c r="AZ23" s="730">
        <f>[1]Субсидия_факт!OP25</f>
        <v>3782048.87</v>
      </c>
      <c r="BA23" s="736">
        <v>1453698.87</v>
      </c>
      <c r="BB23" s="730">
        <f>[1]Субсидия_факт!OV25</f>
        <v>185321.32</v>
      </c>
      <c r="BC23" s="736">
        <v>123023.65</v>
      </c>
      <c r="BD23" s="730">
        <f>[1]Субсидия_факт!PC25</f>
        <v>106222.74</v>
      </c>
      <c r="BE23" s="736"/>
      <c r="BF23" s="730">
        <f>[1]Субсидия_факт!PE25</f>
        <v>0</v>
      </c>
      <c r="BG23" s="736"/>
      <c r="BH23" s="730">
        <f>[1]Субсидия_факт!PW25</f>
        <v>160272.44</v>
      </c>
      <c r="BI23" s="736">
        <v>33915.51</v>
      </c>
    </row>
    <row r="24" spans="1:61" s="749" customFormat="1" ht="21" customHeight="1" x14ac:dyDescent="0.25">
      <c r="A24" s="1184" t="s">
        <v>1297</v>
      </c>
      <c r="B24" s="1183">
        <f t="shared" si="1"/>
        <v>81601969.620000005</v>
      </c>
      <c r="C24" s="1118">
        <f t="shared" si="2"/>
        <v>49826772.230000004</v>
      </c>
      <c r="D24" s="730">
        <f>[1]Субсидия_факт!AB26</f>
        <v>0</v>
      </c>
      <c r="E24" s="731"/>
      <c r="F24" s="730">
        <f>[1]Субсидия_факт!AH26</f>
        <v>222464.53</v>
      </c>
      <c r="G24" s="736">
        <v>222464.53</v>
      </c>
      <c r="H24" s="730">
        <f>[1]Субсидия_факт!AJ26</f>
        <v>0</v>
      </c>
      <c r="I24" s="736"/>
      <c r="J24" s="730">
        <f>[1]Субсидия_факт!BB26</f>
        <v>0</v>
      </c>
      <c r="K24" s="736"/>
      <c r="L24" s="730">
        <f>[1]Субсидия_факт!BD26</f>
        <v>0</v>
      </c>
      <c r="M24" s="736"/>
      <c r="N24" s="730">
        <f>[1]Субсидия_факт!BR26</f>
        <v>3257971.49</v>
      </c>
      <c r="O24" s="736"/>
      <c r="P24" s="730">
        <f>[1]Субсидия_факт!BT26</f>
        <v>300000</v>
      </c>
      <c r="Q24" s="736">
        <v>300000</v>
      </c>
      <c r="R24" s="730">
        <f>[1]Субсидия_факт!BV26</f>
        <v>56024.91</v>
      </c>
      <c r="S24" s="736">
        <v>0</v>
      </c>
      <c r="T24" s="730">
        <f>[1]Субсидия_факт!DX26</f>
        <v>8695.65</v>
      </c>
      <c r="U24" s="731">
        <f t="shared" si="5"/>
        <v>8695.65</v>
      </c>
      <c r="V24" s="730">
        <f>[1]Субсидия_факт!HT26</f>
        <v>0</v>
      </c>
      <c r="W24" s="736"/>
      <c r="X24" s="730">
        <f>[1]Субсидия_факт!HX26</f>
        <v>0</v>
      </c>
      <c r="Y24" s="736"/>
      <c r="Z24" s="730">
        <f>[1]Субсидия_факт!HZ26</f>
        <v>0</v>
      </c>
      <c r="AA24" s="736"/>
      <c r="AB24" s="730">
        <f>[1]Субсидия_факт!IB26</f>
        <v>29315000</v>
      </c>
      <c r="AC24" s="760">
        <v>19627371.27</v>
      </c>
      <c r="AD24" s="734">
        <f>[1]Субсидия_факт!LF26</f>
        <v>42466533.649999999</v>
      </c>
      <c r="AE24" s="735">
        <v>26315915.960000001</v>
      </c>
      <c r="AF24" s="761">
        <f>[1]Субсидия_факт!LL26</f>
        <v>0</v>
      </c>
      <c r="AG24" s="735"/>
      <c r="AH24" s="762">
        <f>[1]Субсидия_факт!ML26</f>
        <v>0</v>
      </c>
      <c r="AI24" s="763"/>
      <c r="AJ24" s="730">
        <f>[1]Субсидия_факт!MT26</f>
        <v>0</v>
      </c>
      <c r="AK24" s="736"/>
      <c r="AL24" s="730">
        <f>[1]Субсидия_факт!ND26</f>
        <v>0</v>
      </c>
      <c r="AM24" s="736"/>
      <c r="AN24" s="730">
        <f>[1]Субсидия_факт!NJ26</f>
        <v>0</v>
      </c>
      <c r="AO24" s="736"/>
      <c r="AP24" s="764">
        <f>[1]Субсидия_факт!NL26</f>
        <v>0</v>
      </c>
      <c r="AQ24" s="736"/>
      <c r="AR24" s="730">
        <f>[1]Субсидия_факт!NR26</f>
        <v>2230517.77</v>
      </c>
      <c r="AS24" s="736">
        <v>504555.54</v>
      </c>
      <c r="AT24" s="730">
        <f>[1]Субсидия_факт!NX26</f>
        <v>706800</v>
      </c>
      <c r="AU24" s="736">
        <v>421848</v>
      </c>
      <c r="AV24" s="730">
        <f>[1]Субсидия_факт!NZ26</f>
        <v>580183.91</v>
      </c>
      <c r="AW24" s="736">
        <v>318394.56</v>
      </c>
      <c r="AX24" s="730">
        <f>[1]Субсидия_факт!OB26</f>
        <v>1634033.69</v>
      </c>
      <c r="AY24" s="736">
        <v>1634033.69</v>
      </c>
      <c r="AZ24" s="730">
        <f>[1]Субсидия_факт!OP26</f>
        <v>228140</v>
      </c>
      <c r="BA24" s="736">
        <v>15968.22</v>
      </c>
      <c r="BB24" s="730">
        <f>[1]Субсидия_факт!OV26</f>
        <v>377128.78</v>
      </c>
      <c r="BC24" s="736">
        <v>239049.57</v>
      </c>
      <c r="BD24" s="730">
        <f>[1]Субсидия_факт!PC26</f>
        <v>84836.06</v>
      </c>
      <c r="BE24" s="731">
        <f>BD24</f>
        <v>84836.06</v>
      </c>
      <c r="BF24" s="730">
        <f>[1]Субсидия_факт!PE26</f>
        <v>0</v>
      </c>
      <c r="BG24" s="736"/>
      <c r="BH24" s="730">
        <f>[1]Субсидия_факт!PW26</f>
        <v>133639.18</v>
      </c>
      <c r="BI24" s="736">
        <v>133639.18</v>
      </c>
    </row>
    <row r="25" spans="1:61" s="749" customFormat="1" ht="21" customHeight="1" x14ac:dyDescent="0.25">
      <c r="A25" s="1184" t="s">
        <v>1298</v>
      </c>
      <c r="B25" s="1183">
        <f t="shared" si="1"/>
        <v>85936545.75</v>
      </c>
      <c r="C25" s="1118">
        <f t="shared" si="2"/>
        <v>55884989.390000001</v>
      </c>
      <c r="D25" s="730">
        <f>[1]Субсидия_факт!AB27</f>
        <v>0</v>
      </c>
      <c r="E25" s="731"/>
      <c r="F25" s="730">
        <f>[1]Субсидия_факт!AH27</f>
        <v>232753.51</v>
      </c>
      <c r="G25" s="736">
        <v>232753.51</v>
      </c>
      <c r="H25" s="730">
        <f>[1]Субсидия_факт!AJ27</f>
        <v>0</v>
      </c>
      <c r="I25" s="736"/>
      <c r="J25" s="730">
        <f>[1]Субсидия_факт!BB27</f>
        <v>0</v>
      </c>
      <c r="K25" s="736"/>
      <c r="L25" s="730">
        <f>[1]Субсидия_факт!BD27</f>
        <v>0</v>
      </c>
      <c r="M25" s="736"/>
      <c r="N25" s="730">
        <f>[1]Субсидия_факт!BR27</f>
        <v>0</v>
      </c>
      <c r="O25" s="736"/>
      <c r="P25" s="730">
        <f>[1]Субсидия_факт!BT27</f>
        <v>0</v>
      </c>
      <c r="Q25" s="736">
        <v>0</v>
      </c>
      <c r="R25" s="730">
        <f>[1]Субсидия_факт!BV27</f>
        <v>197063.12</v>
      </c>
      <c r="S25" s="736">
        <v>74542.94</v>
      </c>
      <c r="T25" s="730">
        <f>[1]Субсидия_факт!DX27</f>
        <v>5217.3900000000003</v>
      </c>
      <c r="U25" s="731">
        <f>T25</f>
        <v>5217.3900000000003</v>
      </c>
      <c r="V25" s="730">
        <f>[1]Субсидия_факт!HT27</f>
        <v>0</v>
      </c>
      <c r="W25" s="736"/>
      <c r="X25" s="730">
        <f>[1]Субсидия_факт!HX27</f>
        <v>0</v>
      </c>
      <c r="Y25" s="736"/>
      <c r="Z25" s="730">
        <f>[1]Субсидия_факт!HZ27</f>
        <v>0</v>
      </c>
      <c r="AA25" s="736"/>
      <c r="AB25" s="730">
        <f>[1]Субсидия_факт!IB27</f>
        <v>45124354.030000001</v>
      </c>
      <c r="AC25" s="760">
        <v>24980609.219999999</v>
      </c>
      <c r="AD25" s="734">
        <f>[1]Субсидия_факт!LF27</f>
        <v>37909807.450000003</v>
      </c>
      <c r="AE25" s="735">
        <v>29036242.100000001</v>
      </c>
      <c r="AF25" s="761">
        <f>[1]Субсидия_факт!LL27</f>
        <v>0</v>
      </c>
      <c r="AG25" s="735"/>
      <c r="AH25" s="762">
        <f>[1]Субсидия_факт!ML27</f>
        <v>0</v>
      </c>
      <c r="AI25" s="763"/>
      <c r="AJ25" s="730">
        <f>[1]Субсидия_факт!MT27</f>
        <v>0</v>
      </c>
      <c r="AK25" s="736"/>
      <c r="AL25" s="730">
        <f>[1]Субсидия_факт!ND27</f>
        <v>0</v>
      </c>
      <c r="AM25" s="736"/>
      <c r="AN25" s="730">
        <f>[1]Субсидия_факт!NJ27</f>
        <v>0</v>
      </c>
      <c r="AO25" s="736"/>
      <c r="AP25" s="764">
        <f>[1]Субсидия_факт!NL27</f>
        <v>0</v>
      </c>
      <c r="AQ25" s="736"/>
      <c r="AR25" s="730">
        <f>[1]Субсидия_факт!NR27</f>
        <v>0</v>
      </c>
      <c r="AS25" s="736"/>
      <c r="AT25" s="730">
        <f>[1]Субсидия_факт!NX27</f>
        <v>714400</v>
      </c>
      <c r="AU25" s="736">
        <v>311434.33</v>
      </c>
      <c r="AV25" s="730">
        <f>[1]Субсидия_факт!NZ27</f>
        <v>493719.02</v>
      </c>
      <c r="AW25" s="736">
        <v>372191.63</v>
      </c>
      <c r="AX25" s="730">
        <f>[1]Субсидия_факт!OB27</f>
        <v>530797.61</v>
      </c>
      <c r="AY25" s="736">
        <v>530797.61</v>
      </c>
      <c r="AZ25" s="730">
        <f>[1]Субсидия_факт!OP27</f>
        <v>533720</v>
      </c>
      <c r="BA25" s="736">
        <v>266860</v>
      </c>
      <c r="BB25" s="730">
        <f>[1]Субсидия_факт!OV27</f>
        <v>194713.62</v>
      </c>
      <c r="BC25" s="736">
        <v>74340.66</v>
      </c>
      <c r="BD25" s="730">
        <f>[1]Субсидия_факт!PC27</f>
        <v>0</v>
      </c>
      <c r="BE25" s="736"/>
      <c r="BF25" s="730">
        <f>[1]Субсидия_факт!PE27</f>
        <v>0</v>
      </c>
      <c r="BG25" s="736"/>
      <c r="BH25" s="730">
        <f>[1]Субсидия_факт!PW27</f>
        <v>0</v>
      </c>
      <c r="BI25" s="736"/>
    </row>
    <row r="26" spans="1:61" s="749" customFormat="1" ht="21" customHeight="1" x14ac:dyDescent="0.25">
      <c r="A26" s="1185" t="s">
        <v>335</v>
      </c>
      <c r="B26" s="770">
        <f t="shared" ref="B26:AG26" si="6">SUM(B8:B25)</f>
        <v>1892915919.7600002</v>
      </c>
      <c r="C26" s="743">
        <f t="shared" si="6"/>
        <v>1122546158.05</v>
      </c>
      <c r="D26" s="743">
        <f t="shared" si="6"/>
        <v>0</v>
      </c>
      <c r="E26" s="743">
        <f t="shared" si="6"/>
        <v>0</v>
      </c>
      <c r="F26" s="743">
        <f t="shared" si="6"/>
        <v>4221427.59</v>
      </c>
      <c r="G26" s="743">
        <f t="shared" si="6"/>
        <v>3239104.6500000004</v>
      </c>
      <c r="H26" s="743">
        <f t="shared" si="6"/>
        <v>476800</v>
      </c>
      <c r="I26" s="743">
        <f t="shared" si="6"/>
        <v>476800</v>
      </c>
      <c r="J26" s="743">
        <f t="shared" si="6"/>
        <v>54677198.120000005</v>
      </c>
      <c r="K26" s="743">
        <f t="shared" si="6"/>
        <v>4310277.47</v>
      </c>
      <c r="L26" s="743">
        <f t="shared" si="6"/>
        <v>12000000</v>
      </c>
      <c r="M26" s="743">
        <f t="shared" si="6"/>
        <v>3839816.54</v>
      </c>
      <c r="N26" s="743">
        <f t="shared" si="6"/>
        <v>18570204.66</v>
      </c>
      <c r="O26" s="743">
        <f t="shared" si="6"/>
        <v>10533091.49</v>
      </c>
      <c r="P26" s="743">
        <f t="shared" si="6"/>
        <v>17293000</v>
      </c>
      <c r="Q26" s="743">
        <f t="shared" si="6"/>
        <v>5301044.9399999995</v>
      </c>
      <c r="R26" s="743">
        <f t="shared" si="6"/>
        <v>2605151.83</v>
      </c>
      <c r="S26" s="743">
        <f t="shared" si="6"/>
        <v>1136463.8399999999</v>
      </c>
      <c r="T26" s="743">
        <f t="shared" si="6"/>
        <v>267826.09000000003</v>
      </c>
      <c r="U26" s="743">
        <f t="shared" si="6"/>
        <v>267826.09000000003</v>
      </c>
      <c r="V26" s="743">
        <f t="shared" si="6"/>
        <v>109067344.05000001</v>
      </c>
      <c r="W26" s="743">
        <f t="shared" si="6"/>
        <v>58699891.579999998</v>
      </c>
      <c r="X26" s="743">
        <f t="shared" si="6"/>
        <v>0</v>
      </c>
      <c r="Y26" s="743">
        <f t="shared" si="6"/>
        <v>0</v>
      </c>
      <c r="Z26" s="743">
        <f t="shared" si="6"/>
        <v>225412961.30000001</v>
      </c>
      <c r="AA26" s="743">
        <f t="shared" si="6"/>
        <v>121520921.64000002</v>
      </c>
      <c r="AB26" s="743">
        <f t="shared" si="6"/>
        <v>617252125.28999996</v>
      </c>
      <c r="AC26" s="767">
        <f t="shared" si="6"/>
        <v>397361522.48000002</v>
      </c>
      <c r="AD26" s="735">
        <f t="shared" si="6"/>
        <v>577269238.46000004</v>
      </c>
      <c r="AE26" s="735">
        <f t="shared" si="6"/>
        <v>447376974.72999996</v>
      </c>
      <c r="AF26" s="768">
        <f t="shared" si="6"/>
        <v>0</v>
      </c>
      <c r="AG26" s="735">
        <f t="shared" si="6"/>
        <v>0</v>
      </c>
      <c r="AH26" s="769">
        <f t="shared" ref="AH26:BI26" si="7">SUM(AH8:AH25)</f>
        <v>0</v>
      </c>
      <c r="AI26" s="769">
        <f t="shared" si="7"/>
        <v>0</v>
      </c>
      <c r="AJ26" s="743">
        <f t="shared" si="7"/>
        <v>6726687.7300000004</v>
      </c>
      <c r="AK26" s="743">
        <f t="shared" si="7"/>
        <v>4965519.3899999997</v>
      </c>
      <c r="AL26" s="743">
        <f t="shared" si="7"/>
        <v>109882288.5</v>
      </c>
      <c r="AM26" s="743">
        <f t="shared" si="7"/>
        <v>8643310.1500000004</v>
      </c>
      <c r="AN26" s="743">
        <f t="shared" si="7"/>
        <v>0</v>
      </c>
      <c r="AO26" s="743">
        <f t="shared" si="7"/>
        <v>0</v>
      </c>
      <c r="AP26" s="770">
        <f t="shared" si="7"/>
        <v>36115290</v>
      </c>
      <c r="AQ26" s="743">
        <f t="shared" si="7"/>
        <v>0</v>
      </c>
      <c r="AR26" s="743">
        <f t="shared" si="7"/>
        <v>9751508.209999999</v>
      </c>
      <c r="AS26" s="743">
        <f t="shared" si="7"/>
        <v>2416147.15</v>
      </c>
      <c r="AT26" s="743">
        <f t="shared" si="7"/>
        <v>28310000</v>
      </c>
      <c r="AU26" s="743">
        <f t="shared" si="7"/>
        <v>19181916.029999997</v>
      </c>
      <c r="AV26" s="743">
        <f t="shared" si="7"/>
        <v>19680599.999999996</v>
      </c>
      <c r="AW26" s="743">
        <f t="shared" si="7"/>
        <v>14329000.880000003</v>
      </c>
      <c r="AX26" s="743">
        <f t="shared" si="7"/>
        <v>14699999.999999998</v>
      </c>
      <c r="AY26" s="743">
        <f t="shared" si="7"/>
        <v>9729004.3300000001</v>
      </c>
      <c r="AZ26" s="743">
        <f t="shared" si="7"/>
        <v>20130231.120000001</v>
      </c>
      <c r="BA26" s="743">
        <f t="shared" si="7"/>
        <v>4332379.34</v>
      </c>
      <c r="BB26" s="743">
        <f t="shared" si="7"/>
        <v>6341171.7000000002</v>
      </c>
      <c r="BC26" s="743">
        <f t="shared" si="7"/>
        <v>3995662.5099999988</v>
      </c>
      <c r="BD26" s="743">
        <f t="shared" si="7"/>
        <v>993511.96</v>
      </c>
      <c r="BE26" s="743">
        <f t="shared" si="7"/>
        <v>336312.19</v>
      </c>
      <c r="BF26" s="743">
        <f t="shared" si="7"/>
        <v>0</v>
      </c>
      <c r="BG26" s="743">
        <f t="shared" si="7"/>
        <v>0</v>
      </c>
      <c r="BH26" s="743">
        <f t="shared" si="7"/>
        <v>1171353.1499999999</v>
      </c>
      <c r="BI26" s="743">
        <f t="shared" si="7"/>
        <v>553170.63</v>
      </c>
    </row>
    <row r="27" spans="1:61" s="749" customFormat="1" ht="21" customHeight="1" x14ac:dyDescent="0.25">
      <c r="A27" s="765"/>
      <c r="B27" s="730"/>
      <c r="C27" s="730"/>
      <c r="D27" s="730"/>
      <c r="E27" s="736"/>
      <c r="F27" s="730"/>
      <c r="G27" s="736"/>
      <c r="H27" s="730"/>
      <c r="I27" s="736"/>
      <c r="J27" s="736"/>
      <c r="K27" s="736"/>
      <c r="L27" s="736"/>
      <c r="M27" s="736"/>
      <c r="N27" s="736"/>
      <c r="O27" s="736"/>
      <c r="P27" s="736"/>
      <c r="Q27" s="736"/>
      <c r="R27" s="736"/>
      <c r="S27" s="736"/>
      <c r="T27" s="730"/>
      <c r="U27" s="736"/>
      <c r="V27" s="743"/>
      <c r="W27" s="736"/>
      <c r="X27" s="743"/>
      <c r="Y27" s="736"/>
      <c r="Z27" s="743"/>
      <c r="AA27" s="736"/>
      <c r="AB27" s="743"/>
      <c r="AC27" s="760"/>
      <c r="AD27" s="735"/>
      <c r="AE27" s="735"/>
      <c r="AF27" s="768"/>
      <c r="AG27" s="735"/>
      <c r="AH27" s="762"/>
      <c r="AI27" s="763"/>
      <c r="AJ27" s="730"/>
      <c r="AK27" s="736"/>
      <c r="AL27" s="743"/>
      <c r="AM27" s="736"/>
      <c r="AN27" s="743"/>
      <c r="AO27" s="736"/>
      <c r="AP27" s="764"/>
      <c r="AQ27" s="736"/>
      <c r="AR27" s="730"/>
      <c r="AS27" s="736"/>
      <c r="AT27" s="736"/>
      <c r="AU27" s="736"/>
      <c r="AV27" s="730"/>
      <c r="AW27" s="736"/>
      <c r="AX27" s="736"/>
      <c r="AY27" s="736"/>
      <c r="AZ27" s="730"/>
      <c r="BA27" s="736"/>
      <c r="BB27" s="730"/>
      <c r="BC27" s="736"/>
      <c r="BD27" s="743"/>
      <c r="BE27" s="736"/>
      <c r="BF27" s="743"/>
      <c r="BG27" s="736"/>
      <c r="BH27" s="743"/>
      <c r="BI27" s="736"/>
    </row>
    <row r="28" spans="1:61" s="749" customFormat="1" ht="21" customHeight="1" x14ac:dyDescent="0.25">
      <c r="A28" s="1184" t="s">
        <v>1299</v>
      </c>
      <c r="B28" s="1183">
        <f t="shared" ref="B28:B29" si="8">F28+N28+R28+T28+AJ28+AV28+AP28+BB28+BD28+AL28+AX28+AT28+AN28+BH28+AR28+D28+P28+J28+AB28+AH28+AF28+V28+BF28+AZ28+H28+AD28+L28+Z28+X28</f>
        <v>80585795.650000006</v>
      </c>
      <c r="C28" s="1118">
        <f t="shared" ref="C28:C29" si="9">G28+O28+S28+U28+AK28+AW28+AQ28+BC28+BE28+AM28+AY28+AU28+AO28+BI28+AS28+E28+Q28+K28+AC28+AI28+AG28+W28+BG28+BA28+I28+AE28+M28+AA28+Y28</f>
        <v>45948155.470000006</v>
      </c>
      <c r="D28" s="730">
        <f>[1]Субсидия_факт!AB30</f>
        <v>0</v>
      </c>
      <c r="E28" s="731"/>
      <c r="F28" s="730">
        <f>[1]Субсидия_факт!AH30</f>
        <v>605309.13</v>
      </c>
      <c r="G28" s="736">
        <v>604527.81000000006</v>
      </c>
      <c r="H28" s="730">
        <f>[1]Субсидия_факт!AJ30</f>
        <v>2200444.5</v>
      </c>
      <c r="I28" s="736">
        <v>1743723.42</v>
      </c>
      <c r="J28" s="730">
        <f>[1]Субсидия_факт!BB30</f>
        <v>0</v>
      </c>
      <c r="K28" s="736"/>
      <c r="L28" s="730">
        <f>[1]Субсидия_факт!BD30</f>
        <v>12000000</v>
      </c>
      <c r="M28" s="736"/>
      <c r="N28" s="730">
        <f>[1]Субсидия_факт!BR30</f>
        <v>0</v>
      </c>
      <c r="O28" s="736"/>
      <c r="P28" s="730">
        <f>[1]Субсидия_факт!BT30</f>
        <v>0</v>
      </c>
      <c r="Q28" s="736"/>
      <c r="R28" s="730">
        <f>[1]Субсидия_факт!BV30</f>
        <v>368451.74</v>
      </c>
      <c r="S28" s="736">
        <v>216924.96</v>
      </c>
      <c r="T28" s="730">
        <f>[1]Субсидия_факт!DX30</f>
        <v>78260.87</v>
      </c>
      <c r="U28" s="731">
        <f t="shared" ref="U28:U29" si="10">T28</f>
        <v>78260.87</v>
      </c>
      <c r="V28" s="730">
        <f>[1]Субсидия_факт!HT30</f>
        <v>0</v>
      </c>
      <c r="W28" s="736"/>
      <c r="X28" s="730">
        <f>[1]Субсидия_факт!HX30</f>
        <v>0</v>
      </c>
      <c r="Y28" s="736"/>
      <c r="Z28" s="730">
        <f>[1]Субсидия_факт!HZ30</f>
        <v>0</v>
      </c>
      <c r="AA28" s="736"/>
      <c r="AB28" s="730">
        <f>[1]Субсидия_факт!IB30</f>
        <v>0</v>
      </c>
      <c r="AC28" s="760"/>
      <c r="AD28" s="734">
        <f>[1]Субсидия_факт!LF30</f>
        <v>8836097.5</v>
      </c>
      <c r="AE28" s="735"/>
      <c r="AF28" s="761">
        <f>[1]Субсидия_факт!LL30</f>
        <v>35219325.390000001</v>
      </c>
      <c r="AG28" s="735">
        <v>33824494.990000002</v>
      </c>
      <c r="AH28" s="762">
        <f>[1]Субсидия_факт!ML30</f>
        <v>0</v>
      </c>
      <c r="AI28" s="763"/>
      <c r="AJ28" s="730">
        <f>[1]Субсидия_факт!MT30</f>
        <v>0</v>
      </c>
      <c r="AK28" s="736"/>
      <c r="AL28" s="730">
        <f>[1]Субсидия_факт!ND30</f>
        <v>0</v>
      </c>
      <c r="AM28" s="736"/>
      <c r="AN28" s="730">
        <f>[1]Субсидия_факт!NJ30</f>
        <v>0</v>
      </c>
      <c r="AO28" s="736"/>
      <c r="AP28" s="764">
        <f>[1]Субсидия_факт!NL30</f>
        <v>0</v>
      </c>
      <c r="AQ28" s="736"/>
      <c r="AR28" s="730">
        <f>[1]Субсидия_факт!NR30</f>
        <v>2560000</v>
      </c>
      <c r="AS28" s="736"/>
      <c r="AT28" s="730">
        <f>[1]Субсидия_факт!NX30</f>
        <v>15450750</v>
      </c>
      <c r="AU28" s="736">
        <v>8897091.8399999999</v>
      </c>
      <c r="AV28" s="730">
        <f>[1]Субсидия_факт!NZ30</f>
        <v>0</v>
      </c>
      <c r="AW28" s="731"/>
      <c r="AX28" s="730">
        <f>[1]Субсидия_факт!OB30</f>
        <v>0</v>
      </c>
      <c r="AY28" s="736"/>
      <c r="AZ28" s="730">
        <f>[1]Субсидия_факт!OP30</f>
        <v>2142010</v>
      </c>
      <c r="BA28" s="731"/>
      <c r="BB28" s="730">
        <f>[1]Субсидия_факт!OV30</f>
        <v>826233.13</v>
      </c>
      <c r="BC28" s="736">
        <v>583131.57999999996</v>
      </c>
      <c r="BD28" s="730">
        <f>[1]Субсидия_факт!PC30</f>
        <v>170266.54</v>
      </c>
      <c r="BE28" s="736"/>
      <c r="BF28" s="730">
        <f>[1]Субсидия_факт!PE30</f>
        <v>0</v>
      </c>
      <c r="BG28" s="736"/>
      <c r="BH28" s="730">
        <f>[1]Субсидия_факт!PW30</f>
        <v>128646.85</v>
      </c>
      <c r="BI28" s="736"/>
    </row>
    <row r="29" spans="1:61" s="749" customFormat="1" ht="21" customHeight="1" x14ac:dyDescent="0.25">
      <c r="A29" s="1184" t="s">
        <v>1300</v>
      </c>
      <c r="B29" s="1183">
        <f t="shared" si="8"/>
        <v>1680689428.6700001</v>
      </c>
      <c r="C29" s="1118">
        <f t="shared" si="9"/>
        <v>1010096015.5699999</v>
      </c>
      <c r="D29" s="730">
        <f>[1]Субсидия_факт!AB31</f>
        <v>0</v>
      </c>
      <c r="E29" s="731"/>
      <c r="F29" s="730">
        <f>[1]Субсидия_факт!AH31</f>
        <v>573263.28</v>
      </c>
      <c r="G29" s="736">
        <v>499659.4</v>
      </c>
      <c r="H29" s="730">
        <f>[1]Субсидия_факт!AJ31</f>
        <v>5822755.5</v>
      </c>
      <c r="I29" s="736">
        <v>2470454.85</v>
      </c>
      <c r="J29" s="730">
        <f>[1]Субсидия_факт!BB31</f>
        <v>218122801.88</v>
      </c>
      <c r="K29" s="736"/>
      <c r="L29" s="730">
        <f>[1]Субсидия_факт!BD31</f>
        <v>36000000</v>
      </c>
      <c r="M29" s="736">
        <v>4726910.32</v>
      </c>
      <c r="N29" s="730">
        <f>[1]Субсидия_факт!BR31</f>
        <v>0</v>
      </c>
      <c r="O29" s="736"/>
      <c r="P29" s="730">
        <f>[1]Субсидия_факт!BT31</f>
        <v>109890300</v>
      </c>
      <c r="Q29" s="736">
        <v>6598459.3399999999</v>
      </c>
      <c r="R29" s="730">
        <f>[1]Субсидия_факт!BV31</f>
        <v>2026396.43</v>
      </c>
      <c r="S29" s="736">
        <v>875088</v>
      </c>
      <c r="T29" s="730">
        <f>[1]Субсидия_факт!DX31</f>
        <v>246956.52</v>
      </c>
      <c r="U29" s="731">
        <f t="shared" si="10"/>
        <v>246956.52</v>
      </c>
      <c r="V29" s="730">
        <f>[1]Субсидия_факт!HT31</f>
        <v>39227634</v>
      </c>
      <c r="W29" s="736">
        <v>18814262.780000001</v>
      </c>
      <c r="X29" s="730">
        <f>[1]Субсидия_факт!HX31</f>
        <v>360000000</v>
      </c>
      <c r="Y29" s="736">
        <v>305562281.93000001</v>
      </c>
      <c r="Z29" s="730">
        <f>[1]Субсидия_факт!HZ31</f>
        <v>440147472.10000002</v>
      </c>
      <c r="AA29" s="736">
        <v>374125351.27999997</v>
      </c>
      <c r="AB29" s="730">
        <f>[1]Субсидия_факт!IB31</f>
        <v>0</v>
      </c>
      <c r="AC29" s="760"/>
      <c r="AD29" s="734">
        <f>[1]Субсидия_факт!LF31</f>
        <v>138440000</v>
      </c>
      <c r="AE29" s="735">
        <v>71153109.780000001</v>
      </c>
      <c r="AF29" s="761">
        <f>[1]Субсидия_факт!LL31</f>
        <v>114780674.61</v>
      </c>
      <c r="AG29" s="735">
        <v>112384012.62</v>
      </c>
      <c r="AH29" s="762">
        <f>[1]Субсидия_факт!ML31</f>
        <v>0</v>
      </c>
      <c r="AI29" s="763"/>
      <c r="AJ29" s="730">
        <f>[1]Субсидия_факт!MT31</f>
        <v>0</v>
      </c>
      <c r="AK29" s="736"/>
      <c r="AL29" s="730">
        <f>[1]Субсидия_факт!ND31</f>
        <v>21670349.969999999</v>
      </c>
      <c r="AM29" s="736">
        <v>0</v>
      </c>
      <c r="AN29" s="730">
        <f>[1]Субсидия_факт!NJ31</f>
        <v>20000000</v>
      </c>
      <c r="AO29" s="736"/>
      <c r="AP29" s="764">
        <f>[1]Субсидия_факт!NL31</f>
        <v>0</v>
      </c>
      <c r="AQ29" s="736"/>
      <c r="AR29" s="730">
        <f>[1]Субсидия_факт!NR31</f>
        <v>0</v>
      </c>
      <c r="AS29" s="736"/>
      <c r="AT29" s="730">
        <f>[1]Субсидия_факт!NX31</f>
        <v>168063410</v>
      </c>
      <c r="AU29" s="736">
        <v>110730502.5</v>
      </c>
      <c r="AV29" s="730">
        <f>[1]Субсидия_факт!NZ31</f>
        <v>0</v>
      </c>
      <c r="AW29" s="731"/>
      <c r="AX29" s="730">
        <f>[1]Субсидия_факт!OB31</f>
        <v>0</v>
      </c>
      <c r="AY29" s="736"/>
      <c r="AZ29" s="730">
        <f>[1]Субсидия_факт!OP31</f>
        <v>2450510</v>
      </c>
      <c r="BA29" s="731"/>
      <c r="BB29" s="730">
        <f>[1]Субсидия_факт!OV31</f>
        <v>1888482.88</v>
      </c>
      <c r="BC29" s="736">
        <v>1072744.75</v>
      </c>
      <c r="BD29" s="730">
        <f>[1]Субсидия_факт!PC31</f>
        <v>836221.5</v>
      </c>
      <c r="BE29" s="731">
        <f>BD29</f>
        <v>836221.5</v>
      </c>
      <c r="BF29" s="730">
        <f>[1]Субсидия_факт!PE31</f>
        <v>502200</v>
      </c>
      <c r="BG29" s="736"/>
      <c r="BH29" s="730">
        <f>[1]Субсидия_факт!PW31</f>
        <v>0</v>
      </c>
      <c r="BI29" s="736"/>
    </row>
    <row r="30" spans="1:61" s="749" customFormat="1" ht="21" customHeight="1" x14ac:dyDescent="0.25">
      <c r="A30" s="1185" t="s">
        <v>338</v>
      </c>
      <c r="B30" s="741">
        <f t="shared" ref="B30:BI30" si="11">SUM(B28:B29)</f>
        <v>1761275224.3200002</v>
      </c>
      <c r="C30" s="741">
        <f t="shared" si="11"/>
        <v>1056044171.04</v>
      </c>
      <c r="D30" s="741">
        <f t="shared" si="11"/>
        <v>0</v>
      </c>
      <c r="E30" s="741">
        <f>SUM(E28:E29)</f>
        <v>0</v>
      </c>
      <c r="F30" s="741">
        <f t="shared" si="11"/>
        <v>1178572.4100000001</v>
      </c>
      <c r="G30" s="741">
        <f>SUM(G28:G29)</f>
        <v>1104187.21</v>
      </c>
      <c r="H30" s="741">
        <f t="shared" ref="H30" si="12">SUM(H28:H29)</f>
        <v>8023200</v>
      </c>
      <c r="I30" s="741">
        <f>SUM(I28:I29)</f>
        <v>4214178.2699999996</v>
      </c>
      <c r="J30" s="741">
        <f>SUM(J28:J29)</f>
        <v>218122801.88</v>
      </c>
      <c r="K30" s="741">
        <f t="shared" ref="K30" si="13">SUM(K28:K29)</f>
        <v>0</v>
      </c>
      <c r="L30" s="741">
        <f>SUM(L28:L29)</f>
        <v>48000000</v>
      </c>
      <c r="M30" s="741">
        <f t="shared" ref="M30" si="14">SUM(M28:M29)</f>
        <v>4726910.32</v>
      </c>
      <c r="N30" s="741">
        <f>SUM(N28:N29)</f>
        <v>0</v>
      </c>
      <c r="O30" s="741">
        <f t="shared" ref="O30" si="15">SUM(O28:O29)</f>
        <v>0</v>
      </c>
      <c r="P30" s="741">
        <f>SUM(P28:P29)</f>
        <v>109890300</v>
      </c>
      <c r="Q30" s="741">
        <f>SUM(Q28:Q29)</f>
        <v>6598459.3399999999</v>
      </c>
      <c r="R30" s="741">
        <f>SUM(R28:R29)</f>
        <v>2394848.17</v>
      </c>
      <c r="S30" s="741">
        <f>SUM(S28:S29)</f>
        <v>1092012.96</v>
      </c>
      <c r="T30" s="741">
        <f t="shared" si="11"/>
        <v>325217.39</v>
      </c>
      <c r="U30" s="741">
        <f t="shared" si="11"/>
        <v>325217.39</v>
      </c>
      <c r="V30" s="771">
        <f t="shared" si="11"/>
        <v>39227634</v>
      </c>
      <c r="W30" s="741">
        <f t="shared" si="11"/>
        <v>18814262.780000001</v>
      </c>
      <c r="X30" s="771">
        <f t="shared" ref="X30:Y30" si="16">SUM(X28:X29)</f>
        <v>360000000</v>
      </c>
      <c r="Y30" s="771">
        <f t="shared" si="16"/>
        <v>305562281.93000001</v>
      </c>
      <c r="Z30" s="771">
        <f t="shared" si="11"/>
        <v>440147472.10000002</v>
      </c>
      <c r="AA30" s="771">
        <f t="shared" si="11"/>
        <v>374125351.27999997</v>
      </c>
      <c r="AB30" s="771">
        <f t="shared" si="11"/>
        <v>0</v>
      </c>
      <c r="AC30" s="772">
        <f t="shared" si="11"/>
        <v>0</v>
      </c>
      <c r="AD30" s="735">
        <f>SUM(AD28:AD29)</f>
        <v>147276097.5</v>
      </c>
      <c r="AE30" s="735">
        <f>SUM(AE28:AE29)</f>
        <v>71153109.780000001</v>
      </c>
      <c r="AF30" s="768">
        <f t="shared" si="11"/>
        <v>150000000</v>
      </c>
      <c r="AG30" s="735">
        <f t="shared" si="11"/>
        <v>146208507.61000001</v>
      </c>
      <c r="AH30" s="773">
        <f t="shared" si="11"/>
        <v>0</v>
      </c>
      <c r="AI30" s="773">
        <f t="shared" si="11"/>
        <v>0</v>
      </c>
      <c r="AJ30" s="741">
        <f t="shared" si="11"/>
        <v>0</v>
      </c>
      <c r="AK30" s="741">
        <f t="shared" si="11"/>
        <v>0</v>
      </c>
      <c r="AL30" s="771">
        <f>SUM(AL28:AL29)</f>
        <v>21670349.969999999</v>
      </c>
      <c r="AM30" s="741">
        <f>SUM(AM28:AM29)</f>
        <v>0</v>
      </c>
      <c r="AN30" s="771">
        <f t="shared" ref="AN30:AO30" si="17">SUM(AN28:AN29)</f>
        <v>20000000</v>
      </c>
      <c r="AO30" s="741">
        <f t="shared" si="17"/>
        <v>0</v>
      </c>
      <c r="AP30" s="741">
        <f>SUM(AP28:AP29)</f>
        <v>0</v>
      </c>
      <c r="AQ30" s="741">
        <f>SUM(AQ28:AQ29)</f>
        <v>0</v>
      </c>
      <c r="AR30" s="741">
        <f t="shared" ref="AR30:AS30" si="18">SUM(AR28:AR29)</f>
        <v>2560000</v>
      </c>
      <c r="AS30" s="741">
        <f t="shared" si="18"/>
        <v>0</v>
      </c>
      <c r="AT30" s="741">
        <f>SUM(AT28:AT29)</f>
        <v>183514160</v>
      </c>
      <c r="AU30" s="741">
        <f>SUM(AU28:AU29)</f>
        <v>119627594.34</v>
      </c>
      <c r="AV30" s="741">
        <f t="shared" ref="AV30:BC30" si="19">SUM(AV28:AV29)</f>
        <v>0</v>
      </c>
      <c r="AW30" s="741">
        <f t="shared" si="19"/>
        <v>0</v>
      </c>
      <c r="AX30" s="741">
        <f t="shared" si="19"/>
        <v>0</v>
      </c>
      <c r="AY30" s="741">
        <f t="shared" si="19"/>
        <v>0</v>
      </c>
      <c r="AZ30" s="771">
        <f t="shared" si="19"/>
        <v>4592520</v>
      </c>
      <c r="BA30" s="771">
        <f t="shared" si="19"/>
        <v>0</v>
      </c>
      <c r="BB30" s="771">
        <f t="shared" si="19"/>
        <v>2714716.01</v>
      </c>
      <c r="BC30" s="771">
        <f t="shared" si="19"/>
        <v>1655876.33</v>
      </c>
      <c r="BD30" s="771">
        <f t="shared" si="11"/>
        <v>1006488.04</v>
      </c>
      <c r="BE30" s="741">
        <f t="shared" si="11"/>
        <v>836221.5</v>
      </c>
      <c r="BF30" s="771">
        <f t="shared" si="11"/>
        <v>502200</v>
      </c>
      <c r="BG30" s="741">
        <f t="shared" si="11"/>
        <v>0</v>
      </c>
      <c r="BH30" s="771">
        <f t="shared" si="11"/>
        <v>128646.85</v>
      </c>
      <c r="BI30" s="741">
        <f t="shared" si="11"/>
        <v>0</v>
      </c>
    </row>
    <row r="31" spans="1:61" s="749" customFormat="1" ht="21" customHeight="1" x14ac:dyDescent="0.25">
      <c r="A31" s="765"/>
      <c r="B31" s="774"/>
      <c r="C31" s="774"/>
      <c r="D31" s="743"/>
      <c r="E31" s="743"/>
      <c r="F31" s="743"/>
      <c r="G31" s="743"/>
      <c r="H31" s="743"/>
      <c r="I31" s="743"/>
      <c r="J31" s="743"/>
      <c r="K31" s="743"/>
      <c r="L31" s="743"/>
      <c r="M31" s="743"/>
      <c r="N31" s="743"/>
      <c r="O31" s="743"/>
      <c r="P31" s="743"/>
      <c r="Q31" s="743"/>
      <c r="R31" s="743"/>
      <c r="S31" s="743"/>
      <c r="T31" s="775"/>
      <c r="U31" s="743"/>
      <c r="V31" s="743"/>
      <c r="W31" s="743"/>
      <c r="X31" s="743"/>
      <c r="Y31" s="743"/>
      <c r="Z31" s="743"/>
      <c r="AA31" s="743"/>
      <c r="AB31" s="743"/>
      <c r="AC31" s="767"/>
      <c r="AD31" s="735"/>
      <c r="AE31" s="735"/>
      <c r="AF31" s="768"/>
      <c r="AG31" s="735"/>
      <c r="AH31" s="776"/>
      <c r="AI31" s="769"/>
      <c r="AJ31" s="775"/>
      <c r="AK31" s="743"/>
      <c r="AL31" s="743"/>
      <c r="AM31" s="743"/>
      <c r="AN31" s="743"/>
      <c r="AO31" s="743"/>
      <c r="AP31" s="770"/>
      <c r="AQ31" s="743"/>
      <c r="AR31" s="743"/>
      <c r="AS31" s="743"/>
      <c r="AT31" s="743"/>
      <c r="AU31" s="743"/>
      <c r="AV31" s="775"/>
      <c r="AW31" s="743"/>
      <c r="AX31" s="743"/>
      <c r="AY31" s="743"/>
      <c r="AZ31" s="743"/>
      <c r="BA31" s="743"/>
      <c r="BB31" s="743"/>
      <c r="BC31" s="743"/>
      <c r="BD31" s="743"/>
      <c r="BE31" s="743"/>
      <c r="BF31" s="743"/>
      <c r="BG31" s="743"/>
      <c r="BH31" s="743"/>
      <c r="BI31" s="743"/>
    </row>
    <row r="32" spans="1:61" s="749" customFormat="1" ht="21" customHeight="1" x14ac:dyDescent="0.25">
      <c r="A32" s="765"/>
      <c r="B32" s="774"/>
      <c r="C32" s="774"/>
      <c r="D32" s="743"/>
      <c r="E32" s="743"/>
      <c r="F32" s="743"/>
      <c r="G32" s="743"/>
      <c r="H32" s="743"/>
      <c r="I32" s="743"/>
      <c r="J32" s="743"/>
      <c r="K32" s="743"/>
      <c r="L32" s="743"/>
      <c r="M32" s="743"/>
      <c r="N32" s="743"/>
      <c r="O32" s="743"/>
      <c r="P32" s="743"/>
      <c r="Q32" s="743"/>
      <c r="R32" s="743"/>
      <c r="S32" s="743"/>
      <c r="T32" s="775"/>
      <c r="U32" s="743"/>
      <c r="V32" s="743"/>
      <c r="W32" s="743"/>
      <c r="X32" s="743"/>
      <c r="Y32" s="743"/>
      <c r="Z32" s="743"/>
      <c r="AA32" s="743"/>
      <c r="AB32" s="743"/>
      <c r="AC32" s="767"/>
      <c r="AD32" s="735"/>
      <c r="AE32" s="735"/>
      <c r="AF32" s="768"/>
      <c r="AG32" s="735"/>
      <c r="AH32" s="776"/>
      <c r="AI32" s="769"/>
      <c r="AJ32" s="775"/>
      <c r="AK32" s="743"/>
      <c r="AL32" s="743"/>
      <c r="AM32" s="743"/>
      <c r="AN32" s="743"/>
      <c r="AO32" s="743"/>
      <c r="AP32" s="770"/>
      <c r="AQ32" s="743"/>
      <c r="AR32" s="743"/>
      <c r="AS32" s="743"/>
      <c r="AT32" s="743"/>
      <c r="AU32" s="743"/>
      <c r="AV32" s="775"/>
      <c r="AW32" s="743"/>
      <c r="AX32" s="743"/>
      <c r="AY32" s="743"/>
      <c r="AZ32" s="743"/>
      <c r="BA32" s="743"/>
      <c r="BB32" s="743"/>
      <c r="BC32" s="743"/>
      <c r="BD32" s="743"/>
      <c r="BE32" s="743"/>
      <c r="BF32" s="743"/>
      <c r="BG32" s="743"/>
      <c r="BH32" s="743"/>
      <c r="BI32" s="743"/>
    </row>
    <row r="33" spans="1:61" s="747" customFormat="1" ht="21" customHeight="1" x14ac:dyDescent="0.25">
      <c r="A33" s="771" t="s">
        <v>339</v>
      </c>
      <c r="B33" s="741">
        <f t="shared" ref="B33:BI33" si="20">B26+B30</f>
        <v>3654191144.0800004</v>
      </c>
      <c r="C33" s="741">
        <f t="shared" si="20"/>
        <v>2178590329.0900002</v>
      </c>
      <c r="D33" s="741">
        <f t="shared" si="20"/>
        <v>0</v>
      </c>
      <c r="E33" s="741">
        <f t="shared" si="20"/>
        <v>0</v>
      </c>
      <c r="F33" s="741">
        <f t="shared" si="20"/>
        <v>5400000</v>
      </c>
      <c r="G33" s="741">
        <f t="shared" si="20"/>
        <v>4343291.8600000003</v>
      </c>
      <c r="H33" s="741">
        <f t="shared" si="20"/>
        <v>8500000</v>
      </c>
      <c r="I33" s="741">
        <f t="shared" si="20"/>
        <v>4690978.2699999996</v>
      </c>
      <c r="J33" s="741">
        <f t="shared" si="20"/>
        <v>272800000</v>
      </c>
      <c r="K33" s="741">
        <f t="shared" si="20"/>
        <v>4310277.47</v>
      </c>
      <c r="L33" s="741">
        <f t="shared" si="20"/>
        <v>60000000</v>
      </c>
      <c r="M33" s="741">
        <f t="shared" si="20"/>
        <v>8566726.8599999994</v>
      </c>
      <c r="N33" s="741">
        <f>N26+N30</f>
        <v>18570204.66</v>
      </c>
      <c r="O33" s="741">
        <f>O26+O30</f>
        <v>10533091.49</v>
      </c>
      <c r="P33" s="741">
        <f t="shared" ref="P33:Q33" si="21">P26+P30</f>
        <v>127183300</v>
      </c>
      <c r="Q33" s="741">
        <f t="shared" si="21"/>
        <v>11899504.279999999</v>
      </c>
      <c r="R33" s="741">
        <f>R26+R30</f>
        <v>5000000</v>
      </c>
      <c r="S33" s="741">
        <f>S26+S30</f>
        <v>2228476.7999999998</v>
      </c>
      <c r="T33" s="741">
        <f t="shared" si="20"/>
        <v>593043.48</v>
      </c>
      <c r="U33" s="741">
        <f t="shared" si="20"/>
        <v>593043.48</v>
      </c>
      <c r="V33" s="771">
        <f t="shared" si="20"/>
        <v>148294978.05000001</v>
      </c>
      <c r="W33" s="741">
        <f t="shared" si="20"/>
        <v>77514154.359999999</v>
      </c>
      <c r="X33" s="771">
        <f t="shared" ref="X33:Y33" si="22">X26+X30</f>
        <v>360000000</v>
      </c>
      <c r="Y33" s="771">
        <f t="shared" si="22"/>
        <v>305562281.93000001</v>
      </c>
      <c r="Z33" s="771">
        <f t="shared" si="20"/>
        <v>665560433.4000001</v>
      </c>
      <c r="AA33" s="771">
        <f t="shared" si="20"/>
        <v>495646272.91999996</v>
      </c>
      <c r="AB33" s="771">
        <f t="shared" si="20"/>
        <v>617252125.28999996</v>
      </c>
      <c r="AC33" s="772">
        <f t="shared" si="20"/>
        <v>397361522.48000002</v>
      </c>
      <c r="AD33" s="735">
        <f>AD26+AD30</f>
        <v>724545335.96000004</v>
      </c>
      <c r="AE33" s="735">
        <f>AE26+AE30</f>
        <v>518530084.50999999</v>
      </c>
      <c r="AF33" s="768">
        <f t="shared" si="20"/>
        <v>150000000</v>
      </c>
      <c r="AG33" s="735">
        <f t="shared" si="20"/>
        <v>146208507.61000001</v>
      </c>
      <c r="AH33" s="773">
        <f t="shared" si="20"/>
        <v>0</v>
      </c>
      <c r="AI33" s="773">
        <f t="shared" si="20"/>
        <v>0</v>
      </c>
      <c r="AJ33" s="741">
        <f t="shared" si="20"/>
        <v>6726687.7300000004</v>
      </c>
      <c r="AK33" s="741">
        <f t="shared" si="20"/>
        <v>4965519.3899999997</v>
      </c>
      <c r="AL33" s="771">
        <f>AL26+AL30</f>
        <v>131552638.47</v>
      </c>
      <c r="AM33" s="741">
        <f>AM26+AM30</f>
        <v>8643310.1500000004</v>
      </c>
      <c r="AN33" s="771">
        <f t="shared" ref="AN33:AO33" si="23">AN26+AN30</f>
        <v>20000000</v>
      </c>
      <c r="AO33" s="741">
        <f t="shared" si="23"/>
        <v>0</v>
      </c>
      <c r="AP33" s="741">
        <f>AP26+AP30</f>
        <v>36115290</v>
      </c>
      <c r="AQ33" s="741">
        <f>AQ26+AQ30</f>
        <v>0</v>
      </c>
      <c r="AR33" s="741">
        <f t="shared" ref="AR33:BC33" si="24">AR26+AR30</f>
        <v>12311508.209999999</v>
      </c>
      <c r="AS33" s="741">
        <f t="shared" si="24"/>
        <v>2416147.15</v>
      </c>
      <c r="AT33" s="741">
        <f t="shared" si="24"/>
        <v>211824160</v>
      </c>
      <c r="AU33" s="741">
        <f t="shared" si="24"/>
        <v>138809510.37</v>
      </c>
      <c r="AV33" s="741">
        <f t="shared" si="24"/>
        <v>19680599.999999996</v>
      </c>
      <c r="AW33" s="741">
        <f t="shared" si="24"/>
        <v>14329000.880000003</v>
      </c>
      <c r="AX33" s="741">
        <f t="shared" si="24"/>
        <v>14699999.999999998</v>
      </c>
      <c r="AY33" s="741">
        <f t="shared" si="24"/>
        <v>9729004.3300000001</v>
      </c>
      <c r="AZ33" s="771">
        <f t="shared" si="24"/>
        <v>24722751.120000001</v>
      </c>
      <c r="BA33" s="771">
        <f t="shared" si="24"/>
        <v>4332379.34</v>
      </c>
      <c r="BB33" s="771">
        <f t="shared" si="24"/>
        <v>9055887.7100000009</v>
      </c>
      <c r="BC33" s="771">
        <f t="shared" si="24"/>
        <v>5651538.8399999989</v>
      </c>
      <c r="BD33" s="771">
        <f t="shared" si="20"/>
        <v>2000000</v>
      </c>
      <c r="BE33" s="741">
        <f t="shared" si="20"/>
        <v>1172533.69</v>
      </c>
      <c r="BF33" s="771">
        <f t="shared" si="20"/>
        <v>502200</v>
      </c>
      <c r="BG33" s="741">
        <f t="shared" si="20"/>
        <v>0</v>
      </c>
      <c r="BH33" s="771">
        <f t="shared" si="20"/>
        <v>1300000</v>
      </c>
      <c r="BI33" s="741">
        <f t="shared" si="20"/>
        <v>553170.63</v>
      </c>
    </row>
    <row r="34" spans="1:61" s="749" customFormat="1" ht="15.75" x14ac:dyDescent="0.25">
      <c r="B34" s="745"/>
      <c r="C34" s="745"/>
      <c r="D34" s="745"/>
      <c r="E34" s="745"/>
      <c r="F34" s="745"/>
      <c r="G34" s="745"/>
      <c r="H34" s="745"/>
      <c r="I34" s="745"/>
      <c r="J34" s="745"/>
      <c r="K34" s="745"/>
      <c r="L34" s="745"/>
      <c r="M34" s="745"/>
      <c r="N34" s="745"/>
      <c r="O34" s="745"/>
      <c r="P34" s="745"/>
      <c r="Q34" s="745"/>
      <c r="R34" s="745"/>
      <c r="S34" s="745"/>
      <c r="T34" s="777"/>
      <c r="U34" s="777"/>
      <c r="V34" s="745"/>
      <c r="W34" s="745"/>
      <c r="X34" s="745"/>
      <c r="Y34" s="745"/>
      <c r="Z34" s="745"/>
      <c r="AA34" s="745"/>
      <c r="AB34" s="745"/>
      <c r="AC34" s="745"/>
      <c r="AD34" s="745"/>
      <c r="AE34" s="745"/>
      <c r="AF34" s="745"/>
      <c r="AG34" s="745"/>
      <c r="AH34" s="778"/>
      <c r="AI34" s="778"/>
      <c r="AJ34" s="777"/>
      <c r="AK34" s="777"/>
      <c r="AL34" s="745"/>
      <c r="AM34" s="745"/>
      <c r="AN34" s="745"/>
      <c r="AO34" s="745"/>
      <c r="AP34" s="745"/>
      <c r="AQ34" s="745"/>
      <c r="AR34" s="745"/>
      <c r="AS34" s="745"/>
      <c r="AT34" s="745"/>
      <c r="AU34" s="745"/>
      <c r="AV34" s="777"/>
      <c r="AW34" s="777"/>
      <c r="AX34" s="745"/>
      <c r="AY34" s="745"/>
      <c r="AZ34" s="745"/>
      <c r="BA34" s="745"/>
      <c r="BB34" s="745"/>
      <c r="BC34" s="745"/>
      <c r="BD34" s="745"/>
      <c r="BE34" s="745"/>
      <c r="BF34" s="745"/>
      <c r="BG34" s="745"/>
      <c r="BH34" s="745"/>
      <c r="BI34" s="745"/>
    </row>
    <row r="35" spans="1:61" s="749" customFormat="1" x14ac:dyDescent="0.25">
      <c r="B35" s="745"/>
      <c r="C35" s="745"/>
      <c r="D35" s="745"/>
      <c r="E35" s="745"/>
      <c r="F35" s="745"/>
      <c r="G35" s="745"/>
      <c r="H35" s="745"/>
      <c r="I35" s="745"/>
      <c r="J35" s="745"/>
      <c r="K35" s="745"/>
      <c r="L35" s="745"/>
      <c r="M35" s="745"/>
      <c r="N35" s="745"/>
      <c r="O35" s="745"/>
      <c r="P35" s="745"/>
      <c r="Q35" s="745"/>
      <c r="R35" s="745"/>
      <c r="S35" s="745"/>
      <c r="T35" s="777"/>
      <c r="U35" s="777"/>
      <c r="V35" s="745"/>
      <c r="W35" s="745"/>
      <c r="X35" s="745"/>
      <c r="Y35" s="745"/>
      <c r="Z35" s="745"/>
      <c r="AA35" s="745"/>
      <c r="AB35" s="745"/>
      <c r="AC35" s="745"/>
      <c r="AD35" s="752"/>
      <c r="AE35" s="752"/>
      <c r="AF35" s="745"/>
      <c r="AG35" s="745"/>
      <c r="AH35" s="778"/>
      <c r="AI35" s="778"/>
      <c r="AJ35" s="777"/>
      <c r="AK35" s="777"/>
      <c r="AL35" s="745"/>
      <c r="AM35" s="745"/>
      <c r="AN35" s="745"/>
      <c r="AO35" s="745"/>
      <c r="AP35" s="745"/>
      <c r="AQ35" s="745"/>
      <c r="AR35" s="745"/>
      <c r="AS35" s="745"/>
      <c r="AT35" s="745"/>
      <c r="AU35" s="745"/>
      <c r="AV35" s="777"/>
      <c r="AW35" s="777"/>
      <c r="AX35" s="745"/>
      <c r="AY35" s="745"/>
      <c r="AZ35" s="745"/>
      <c r="BA35" s="745"/>
      <c r="BB35" s="745"/>
      <c r="BC35" s="745"/>
      <c r="BD35" s="745"/>
      <c r="BE35" s="745"/>
      <c r="BF35" s="745"/>
      <c r="BG35" s="745"/>
      <c r="BH35" s="745"/>
      <c r="BI35" s="745"/>
    </row>
    <row r="36" spans="1:61" s="689" customFormat="1" ht="31.5" x14ac:dyDescent="0.25">
      <c r="A36" s="779" t="s">
        <v>880</v>
      </c>
      <c r="B36" s="1193">
        <f t="shared" ref="B36:BI36" si="25">B26-B37</f>
        <v>1628299737.8300002</v>
      </c>
      <c r="C36" s="1193">
        <f t="shared" si="25"/>
        <v>949347074.38999999</v>
      </c>
      <c r="D36" s="1193">
        <f t="shared" si="25"/>
        <v>0</v>
      </c>
      <c r="E36" s="1193">
        <f t="shared" si="25"/>
        <v>0</v>
      </c>
      <c r="F36" s="1193">
        <f t="shared" si="25"/>
        <v>3350156.9699999997</v>
      </c>
      <c r="G36" s="1193">
        <f t="shared" si="25"/>
        <v>2689090.87</v>
      </c>
      <c r="H36" s="1193">
        <f t="shared" si="25"/>
        <v>476800</v>
      </c>
      <c r="I36" s="1193">
        <f t="shared" si="25"/>
        <v>476800</v>
      </c>
      <c r="J36" s="1193">
        <f t="shared" si="25"/>
        <v>54677198.120000005</v>
      </c>
      <c r="K36" s="1193">
        <f t="shared" si="25"/>
        <v>4310277.47</v>
      </c>
      <c r="L36" s="1193">
        <f t="shared" si="25"/>
        <v>12000000</v>
      </c>
      <c r="M36" s="1193">
        <f t="shared" si="25"/>
        <v>3839816.54</v>
      </c>
      <c r="N36" s="1193">
        <f t="shared" si="25"/>
        <v>13007785.91</v>
      </c>
      <c r="O36" s="1193">
        <f t="shared" si="25"/>
        <v>7275120</v>
      </c>
      <c r="P36" s="1193">
        <f t="shared" si="25"/>
        <v>16858000</v>
      </c>
      <c r="Q36" s="1193">
        <f t="shared" si="25"/>
        <v>4866044.9399999995</v>
      </c>
      <c r="R36" s="1193">
        <f t="shared" si="25"/>
        <v>2017504.7000000002</v>
      </c>
      <c r="S36" s="1193">
        <f t="shared" si="25"/>
        <v>1036080.1199999999</v>
      </c>
      <c r="T36" s="1193">
        <f t="shared" si="25"/>
        <v>212173.92000000004</v>
      </c>
      <c r="U36" s="1193">
        <f t="shared" si="25"/>
        <v>212173.92000000004</v>
      </c>
      <c r="V36" s="1193">
        <f t="shared" si="25"/>
        <v>109067344.05000001</v>
      </c>
      <c r="W36" s="1193">
        <f t="shared" si="25"/>
        <v>58699891.579999998</v>
      </c>
      <c r="X36" s="1193">
        <f t="shared" ref="X36:Y36" si="26">X26-X37</f>
        <v>0</v>
      </c>
      <c r="Y36" s="1193">
        <f t="shared" si="26"/>
        <v>0</v>
      </c>
      <c r="Z36" s="1193">
        <f t="shared" si="25"/>
        <v>225412961.30000001</v>
      </c>
      <c r="AA36" s="1193">
        <f t="shared" si="25"/>
        <v>121520921.64000002</v>
      </c>
      <c r="AB36" s="1193">
        <f t="shared" si="25"/>
        <v>494054322.06999993</v>
      </c>
      <c r="AC36" s="1193">
        <f t="shared" si="25"/>
        <v>318489792.09000003</v>
      </c>
      <c r="AD36" s="1193">
        <f t="shared" si="25"/>
        <v>464331556.11000001</v>
      </c>
      <c r="AE36" s="1193">
        <f t="shared" si="25"/>
        <v>369080824.77999997</v>
      </c>
      <c r="AF36" s="1193">
        <f t="shared" si="25"/>
        <v>0</v>
      </c>
      <c r="AG36" s="1193">
        <f t="shared" si="25"/>
        <v>0</v>
      </c>
      <c r="AH36" s="1193">
        <f t="shared" si="25"/>
        <v>0</v>
      </c>
      <c r="AI36" s="1193">
        <f t="shared" si="25"/>
        <v>0</v>
      </c>
      <c r="AJ36" s="1193">
        <f t="shared" si="25"/>
        <v>0</v>
      </c>
      <c r="AK36" s="1193">
        <f t="shared" si="25"/>
        <v>0</v>
      </c>
      <c r="AL36" s="1193">
        <f t="shared" si="25"/>
        <v>109049638.5</v>
      </c>
      <c r="AM36" s="1193">
        <f t="shared" si="25"/>
        <v>8257016.8300000001</v>
      </c>
      <c r="AN36" s="1193">
        <f t="shared" si="25"/>
        <v>0</v>
      </c>
      <c r="AO36" s="1193">
        <f t="shared" si="25"/>
        <v>0</v>
      </c>
      <c r="AP36" s="1193">
        <f t="shared" si="25"/>
        <v>36115290</v>
      </c>
      <c r="AQ36" s="1193">
        <f t="shared" si="25"/>
        <v>0</v>
      </c>
      <c r="AR36" s="1193">
        <f t="shared" si="25"/>
        <v>8513127.459999999</v>
      </c>
      <c r="AS36" s="1193">
        <f t="shared" si="25"/>
        <v>2113684.23</v>
      </c>
      <c r="AT36" s="1193">
        <f t="shared" si="25"/>
        <v>26896400</v>
      </c>
      <c r="AU36" s="1193">
        <f t="shared" si="25"/>
        <v>17921793.399999999</v>
      </c>
      <c r="AV36" s="1193">
        <f t="shared" si="25"/>
        <v>16223347.999999996</v>
      </c>
      <c r="AW36" s="1193">
        <f t="shared" si="25"/>
        <v>11513874.610000003</v>
      </c>
      <c r="AX36" s="1193">
        <f t="shared" si="25"/>
        <v>13596581.489999998</v>
      </c>
      <c r="AY36" s="1193">
        <f t="shared" si="25"/>
        <v>9729004.3300000001</v>
      </c>
      <c r="AZ36" s="1193">
        <f t="shared" si="25"/>
        <v>16413681.120000001</v>
      </c>
      <c r="BA36" s="1193">
        <f t="shared" si="25"/>
        <v>3752379.34</v>
      </c>
      <c r="BB36" s="1193">
        <f t="shared" si="25"/>
        <v>4217728.0999999996</v>
      </c>
      <c r="BC36" s="1193">
        <f t="shared" si="25"/>
        <v>2673004.879999999</v>
      </c>
      <c r="BD36" s="1193">
        <f t="shared" si="25"/>
        <v>813333.73</v>
      </c>
      <c r="BE36" s="1193">
        <f t="shared" si="25"/>
        <v>336312.19</v>
      </c>
      <c r="BF36" s="1193">
        <f t="shared" si="25"/>
        <v>0</v>
      </c>
      <c r="BG36" s="1193">
        <f t="shared" si="25"/>
        <v>0</v>
      </c>
      <c r="BH36" s="1193">
        <f t="shared" si="25"/>
        <v>994806.27999999991</v>
      </c>
      <c r="BI36" s="1193">
        <f t="shared" si="25"/>
        <v>553170.63</v>
      </c>
    </row>
    <row r="37" spans="1:61" s="689" customFormat="1" x14ac:dyDescent="0.25">
      <c r="A37" s="780" t="s">
        <v>749</v>
      </c>
      <c r="B37" s="1194">
        <f t="shared" ref="B37:AG37" si="27">B8+B9+B10+B11</f>
        <v>264616181.93000001</v>
      </c>
      <c r="C37" s="1194">
        <f t="shared" si="27"/>
        <v>173199083.66</v>
      </c>
      <c r="D37" s="1194">
        <f t="shared" si="27"/>
        <v>0</v>
      </c>
      <c r="E37" s="1194">
        <f t="shared" si="27"/>
        <v>0</v>
      </c>
      <c r="F37" s="1194">
        <f t="shared" si="27"/>
        <v>871270.62000000011</v>
      </c>
      <c r="G37" s="1194">
        <f t="shared" si="27"/>
        <v>550013.78</v>
      </c>
      <c r="H37" s="1194">
        <f t="shared" si="27"/>
        <v>0</v>
      </c>
      <c r="I37" s="1194">
        <f t="shared" si="27"/>
        <v>0</v>
      </c>
      <c r="J37" s="1194">
        <f t="shared" si="27"/>
        <v>0</v>
      </c>
      <c r="K37" s="1194">
        <f t="shared" si="27"/>
        <v>0</v>
      </c>
      <c r="L37" s="1194">
        <f t="shared" si="27"/>
        <v>0</v>
      </c>
      <c r="M37" s="1194">
        <f t="shared" si="27"/>
        <v>0</v>
      </c>
      <c r="N37" s="1194">
        <f t="shared" si="27"/>
        <v>5562418.75</v>
      </c>
      <c r="O37" s="1194">
        <f t="shared" si="27"/>
        <v>3257971.49</v>
      </c>
      <c r="P37" s="1194">
        <f t="shared" si="27"/>
        <v>435000</v>
      </c>
      <c r="Q37" s="1194">
        <f t="shared" si="27"/>
        <v>435000</v>
      </c>
      <c r="R37" s="1194">
        <f t="shared" si="27"/>
        <v>587647.13</v>
      </c>
      <c r="S37" s="1194">
        <f t="shared" si="27"/>
        <v>100383.72</v>
      </c>
      <c r="T37" s="1194">
        <f t="shared" si="27"/>
        <v>55652.17</v>
      </c>
      <c r="U37" s="1194">
        <f t="shared" si="27"/>
        <v>55652.17</v>
      </c>
      <c r="V37" s="1194">
        <f t="shared" si="27"/>
        <v>0</v>
      </c>
      <c r="W37" s="1194">
        <f t="shared" si="27"/>
        <v>0</v>
      </c>
      <c r="X37" s="1194">
        <f t="shared" si="27"/>
        <v>0</v>
      </c>
      <c r="Y37" s="1194">
        <f t="shared" si="27"/>
        <v>0</v>
      </c>
      <c r="Z37" s="1194">
        <f t="shared" si="27"/>
        <v>0</v>
      </c>
      <c r="AA37" s="1194">
        <f t="shared" si="27"/>
        <v>0</v>
      </c>
      <c r="AB37" s="1194">
        <f t="shared" si="27"/>
        <v>123197803.22</v>
      </c>
      <c r="AC37" s="1194">
        <f t="shared" si="27"/>
        <v>78871730.390000001</v>
      </c>
      <c r="AD37" s="1194">
        <f t="shared" si="27"/>
        <v>112937682.34999999</v>
      </c>
      <c r="AE37" s="1194">
        <f t="shared" si="27"/>
        <v>78296149.950000003</v>
      </c>
      <c r="AF37" s="1194">
        <f t="shared" si="27"/>
        <v>0</v>
      </c>
      <c r="AG37" s="1194">
        <f t="shared" si="27"/>
        <v>0</v>
      </c>
      <c r="AH37" s="1194">
        <f t="shared" ref="AH37:BI37" si="28">AH8+AH9+AH10+AH11</f>
        <v>0</v>
      </c>
      <c r="AI37" s="1194">
        <f t="shared" si="28"/>
        <v>0</v>
      </c>
      <c r="AJ37" s="1194">
        <f t="shared" si="28"/>
        <v>6726687.7300000004</v>
      </c>
      <c r="AK37" s="1194">
        <f t="shared" si="28"/>
        <v>4965519.3899999997</v>
      </c>
      <c r="AL37" s="1194">
        <f t="shared" si="28"/>
        <v>832650</v>
      </c>
      <c r="AM37" s="1194">
        <f t="shared" si="28"/>
        <v>386293.32</v>
      </c>
      <c r="AN37" s="1194">
        <f t="shared" si="28"/>
        <v>0</v>
      </c>
      <c r="AO37" s="1194">
        <f t="shared" si="28"/>
        <v>0</v>
      </c>
      <c r="AP37" s="1194">
        <f t="shared" si="28"/>
        <v>0</v>
      </c>
      <c r="AQ37" s="1194">
        <f t="shared" si="28"/>
        <v>0</v>
      </c>
      <c r="AR37" s="1194">
        <f t="shared" si="28"/>
        <v>1238380.75</v>
      </c>
      <c r="AS37" s="1194">
        <f t="shared" si="28"/>
        <v>302462.92</v>
      </c>
      <c r="AT37" s="1194">
        <f t="shared" si="28"/>
        <v>1413600</v>
      </c>
      <c r="AU37" s="1194">
        <f t="shared" si="28"/>
        <v>1260122.6299999999</v>
      </c>
      <c r="AV37" s="1194">
        <f t="shared" si="28"/>
        <v>3457252</v>
      </c>
      <c r="AW37" s="1194">
        <f t="shared" si="28"/>
        <v>2815126.27</v>
      </c>
      <c r="AX37" s="1194">
        <f t="shared" si="28"/>
        <v>1103418.51</v>
      </c>
      <c r="AY37" s="1194">
        <f t="shared" si="28"/>
        <v>0</v>
      </c>
      <c r="AZ37" s="1194">
        <f t="shared" si="28"/>
        <v>3716550</v>
      </c>
      <c r="BA37" s="1194">
        <f t="shared" si="28"/>
        <v>580000</v>
      </c>
      <c r="BB37" s="1194">
        <f t="shared" si="28"/>
        <v>2123443.6</v>
      </c>
      <c r="BC37" s="1194">
        <f t="shared" si="28"/>
        <v>1322657.6299999999</v>
      </c>
      <c r="BD37" s="1194">
        <f t="shared" si="28"/>
        <v>180178.22999999998</v>
      </c>
      <c r="BE37" s="1194">
        <f t="shared" si="28"/>
        <v>0</v>
      </c>
      <c r="BF37" s="1194">
        <f t="shared" si="28"/>
        <v>0</v>
      </c>
      <c r="BG37" s="1194">
        <f t="shared" si="28"/>
        <v>0</v>
      </c>
      <c r="BH37" s="1194">
        <f t="shared" si="28"/>
        <v>176546.87</v>
      </c>
      <c r="BI37" s="1194">
        <f t="shared" si="28"/>
        <v>0</v>
      </c>
    </row>
    <row r="38" spans="1:61" s="689" customFormat="1" x14ac:dyDescent="0.25">
      <c r="A38" s="779" t="s">
        <v>750</v>
      </c>
      <c r="B38" s="1193">
        <f t="shared" ref="B38:BI38" si="29">B30</f>
        <v>1761275224.3200002</v>
      </c>
      <c r="C38" s="1193">
        <f t="shared" si="29"/>
        <v>1056044171.04</v>
      </c>
      <c r="D38" s="1193">
        <f t="shared" si="29"/>
        <v>0</v>
      </c>
      <c r="E38" s="1193">
        <f t="shared" si="29"/>
        <v>0</v>
      </c>
      <c r="F38" s="1193">
        <f t="shared" si="29"/>
        <v>1178572.4100000001</v>
      </c>
      <c r="G38" s="1193">
        <f t="shared" si="29"/>
        <v>1104187.21</v>
      </c>
      <c r="H38" s="1193">
        <f t="shared" si="29"/>
        <v>8023200</v>
      </c>
      <c r="I38" s="1193">
        <f t="shared" si="29"/>
        <v>4214178.2699999996</v>
      </c>
      <c r="J38" s="1193">
        <f t="shared" si="29"/>
        <v>218122801.88</v>
      </c>
      <c r="K38" s="1193">
        <f t="shared" si="29"/>
        <v>0</v>
      </c>
      <c r="L38" s="1193">
        <f t="shared" si="29"/>
        <v>48000000</v>
      </c>
      <c r="M38" s="1193">
        <f t="shared" si="29"/>
        <v>4726910.32</v>
      </c>
      <c r="N38" s="1193">
        <f t="shared" si="29"/>
        <v>0</v>
      </c>
      <c r="O38" s="1193">
        <f t="shared" si="29"/>
        <v>0</v>
      </c>
      <c r="P38" s="1193">
        <f t="shared" si="29"/>
        <v>109890300</v>
      </c>
      <c r="Q38" s="1193">
        <f t="shared" si="29"/>
        <v>6598459.3399999999</v>
      </c>
      <c r="R38" s="1193">
        <f t="shared" si="29"/>
        <v>2394848.17</v>
      </c>
      <c r="S38" s="1193">
        <f t="shared" si="29"/>
        <v>1092012.96</v>
      </c>
      <c r="T38" s="1193">
        <f t="shared" si="29"/>
        <v>325217.39</v>
      </c>
      <c r="U38" s="1193">
        <f t="shared" si="29"/>
        <v>325217.39</v>
      </c>
      <c r="V38" s="1193">
        <f t="shared" si="29"/>
        <v>39227634</v>
      </c>
      <c r="W38" s="1193">
        <f t="shared" si="29"/>
        <v>18814262.780000001</v>
      </c>
      <c r="X38" s="1193">
        <f t="shared" ref="X38:Y38" si="30">X30</f>
        <v>360000000</v>
      </c>
      <c r="Y38" s="1193">
        <f t="shared" si="30"/>
        <v>305562281.93000001</v>
      </c>
      <c r="Z38" s="1193">
        <f t="shared" si="29"/>
        <v>440147472.10000002</v>
      </c>
      <c r="AA38" s="1193">
        <f t="shared" si="29"/>
        <v>374125351.27999997</v>
      </c>
      <c r="AB38" s="1193">
        <f t="shared" si="29"/>
        <v>0</v>
      </c>
      <c r="AC38" s="1193">
        <f t="shared" si="29"/>
        <v>0</v>
      </c>
      <c r="AD38" s="1193">
        <f t="shared" si="29"/>
        <v>147276097.5</v>
      </c>
      <c r="AE38" s="1193">
        <f t="shared" si="29"/>
        <v>71153109.780000001</v>
      </c>
      <c r="AF38" s="1193">
        <f t="shared" si="29"/>
        <v>150000000</v>
      </c>
      <c r="AG38" s="1193">
        <f t="shared" si="29"/>
        <v>146208507.61000001</v>
      </c>
      <c r="AH38" s="1193">
        <f t="shared" si="29"/>
        <v>0</v>
      </c>
      <c r="AI38" s="1193">
        <f t="shared" si="29"/>
        <v>0</v>
      </c>
      <c r="AJ38" s="1193">
        <f t="shared" si="29"/>
        <v>0</v>
      </c>
      <c r="AK38" s="1193">
        <f t="shared" si="29"/>
        <v>0</v>
      </c>
      <c r="AL38" s="1193">
        <f t="shared" si="29"/>
        <v>21670349.969999999</v>
      </c>
      <c r="AM38" s="1193">
        <f t="shared" si="29"/>
        <v>0</v>
      </c>
      <c r="AN38" s="1193">
        <f t="shared" si="29"/>
        <v>20000000</v>
      </c>
      <c r="AO38" s="1193">
        <f t="shared" si="29"/>
        <v>0</v>
      </c>
      <c r="AP38" s="1193">
        <f t="shared" si="29"/>
        <v>0</v>
      </c>
      <c r="AQ38" s="1193">
        <f t="shared" si="29"/>
        <v>0</v>
      </c>
      <c r="AR38" s="1193">
        <f t="shared" si="29"/>
        <v>2560000</v>
      </c>
      <c r="AS38" s="1193">
        <f t="shared" si="29"/>
        <v>0</v>
      </c>
      <c r="AT38" s="1193">
        <f t="shared" si="29"/>
        <v>183514160</v>
      </c>
      <c r="AU38" s="1193">
        <f t="shared" si="29"/>
        <v>119627594.34</v>
      </c>
      <c r="AV38" s="1193">
        <f t="shared" si="29"/>
        <v>0</v>
      </c>
      <c r="AW38" s="1193">
        <f t="shared" si="29"/>
        <v>0</v>
      </c>
      <c r="AX38" s="1193">
        <f t="shared" si="29"/>
        <v>0</v>
      </c>
      <c r="AY38" s="1193">
        <f t="shared" si="29"/>
        <v>0</v>
      </c>
      <c r="AZ38" s="1193">
        <f t="shared" si="29"/>
        <v>4592520</v>
      </c>
      <c r="BA38" s="1193">
        <f t="shared" si="29"/>
        <v>0</v>
      </c>
      <c r="BB38" s="1193">
        <f t="shared" si="29"/>
        <v>2714716.01</v>
      </c>
      <c r="BC38" s="1193">
        <f t="shared" si="29"/>
        <v>1655876.33</v>
      </c>
      <c r="BD38" s="1193">
        <f t="shared" si="29"/>
        <v>1006488.04</v>
      </c>
      <c r="BE38" s="1193">
        <f t="shared" si="29"/>
        <v>836221.5</v>
      </c>
      <c r="BF38" s="1193">
        <f t="shared" si="29"/>
        <v>502200</v>
      </c>
      <c r="BG38" s="1193">
        <f t="shared" si="29"/>
        <v>0</v>
      </c>
      <c r="BH38" s="1193">
        <f t="shared" si="29"/>
        <v>128646.85</v>
      </c>
      <c r="BI38" s="1193">
        <f t="shared" si="29"/>
        <v>0</v>
      </c>
    </row>
    <row r="39" spans="1:61" s="749" customFormat="1" ht="15.75" x14ac:dyDescent="0.25">
      <c r="B39" s="745"/>
      <c r="C39" s="745"/>
      <c r="D39" s="745"/>
      <c r="E39" s="745"/>
      <c r="F39" s="745"/>
      <c r="G39" s="745"/>
      <c r="H39" s="745"/>
      <c r="I39" s="745"/>
      <c r="J39" s="745"/>
      <c r="K39" s="745"/>
      <c r="L39" s="745"/>
      <c r="M39" s="745"/>
      <c r="N39" s="745"/>
      <c r="O39" s="745"/>
      <c r="P39" s="745"/>
      <c r="Q39" s="745"/>
      <c r="R39" s="745"/>
      <c r="S39" s="745"/>
      <c r="T39" s="777"/>
      <c r="U39" s="777"/>
      <c r="V39" s="745"/>
      <c r="W39" s="745"/>
      <c r="X39" s="745"/>
      <c r="Y39" s="745"/>
      <c r="Z39" s="745"/>
      <c r="AA39" s="745"/>
      <c r="AB39" s="745"/>
      <c r="AC39" s="745"/>
      <c r="AF39" s="745"/>
      <c r="AG39" s="745"/>
      <c r="AH39" s="778"/>
      <c r="AI39" s="778"/>
      <c r="AJ39" s="777"/>
      <c r="AK39" s="777"/>
      <c r="AL39" s="745"/>
      <c r="AM39" s="745"/>
      <c r="AN39" s="745"/>
      <c r="AO39" s="745"/>
      <c r="AP39" s="745"/>
      <c r="AQ39" s="745"/>
      <c r="AR39" s="745"/>
      <c r="AS39" s="745"/>
      <c r="AT39" s="745"/>
      <c r="AU39" s="745"/>
      <c r="AV39" s="777"/>
      <c r="AW39" s="777"/>
      <c r="AX39" s="745"/>
      <c r="AY39" s="745"/>
      <c r="AZ39" s="745"/>
      <c r="BA39" s="745"/>
      <c r="BB39" s="745"/>
      <c r="BC39" s="745"/>
      <c r="BD39" s="745"/>
      <c r="BE39" s="745"/>
      <c r="BF39" s="745"/>
      <c r="BG39" s="745"/>
      <c r="BH39" s="745"/>
      <c r="BI39" s="745"/>
    </row>
    <row r="40" spans="1:61" s="749" customFormat="1" ht="15.75" x14ac:dyDescent="0.25">
      <c r="B40" s="745"/>
      <c r="C40" s="745"/>
      <c r="D40" s="745"/>
      <c r="E40" s="745"/>
      <c r="F40" s="745"/>
      <c r="G40" s="745"/>
      <c r="H40" s="745"/>
      <c r="I40" s="745"/>
      <c r="J40" s="745"/>
      <c r="K40" s="745"/>
      <c r="L40" s="745"/>
      <c r="M40" s="745"/>
      <c r="N40" s="745"/>
      <c r="O40" s="745"/>
      <c r="P40" s="745"/>
      <c r="Q40" s="745"/>
      <c r="R40" s="745"/>
      <c r="S40" s="745"/>
      <c r="T40" s="777"/>
      <c r="U40" s="777"/>
      <c r="V40" s="745"/>
      <c r="W40" s="745"/>
      <c r="X40" s="745"/>
      <c r="Y40" s="745"/>
      <c r="Z40" s="745"/>
      <c r="AA40" s="745"/>
      <c r="AB40" s="745"/>
      <c r="AC40" s="745"/>
      <c r="AF40" s="745"/>
      <c r="AG40" s="745"/>
      <c r="AH40" s="778"/>
      <c r="AI40" s="778"/>
      <c r="AJ40" s="777"/>
      <c r="AK40" s="777"/>
      <c r="AL40" s="745"/>
      <c r="AM40" s="745"/>
      <c r="AN40" s="745"/>
      <c r="AO40" s="745"/>
      <c r="AP40" s="745"/>
      <c r="AQ40" s="745"/>
      <c r="AR40" s="745"/>
      <c r="AS40" s="745"/>
      <c r="AT40" s="745"/>
      <c r="AU40" s="745"/>
      <c r="AV40" s="777"/>
      <c r="AW40" s="777"/>
      <c r="AX40" s="745"/>
      <c r="AY40" s="745"/>
      <c r="AZ40" s="745"/>
      <c r="BA40" s="745"/>
      <c r="BB40" s="745"/>
      <c r="BC40" s="745"/>
      <c r="BD40" s="745"/>
      <c r="BE40" s="745"/>
      <c r="BF40" s="745"/>
      <c r="BG40" s="745"/>
      <c r="BH40" s="745"/>
      <c r="BI40" s="745"/>
    </row>
    <row r="41" spans="1:61" s="749" customFormat="1" ht="31.5" x14ac:dyDescent="0.25">
      <c r="A41" s="779" t="s">
        <v>898</v>
      </c>
      <c r="B41" s="1118">
        <f t="shared" ref="B41" si="31">F41+N41+R41+T41+AJ41+AV41+AP41+BB41+BD41+AL41+AX41+AT41+AN41+BH41+AR41+D41+P41+J41+AB41+AH41+AF41+V41+BF41+AZ41+H41+AD41+L41+Z41+X41</f>
        <v>192312357.74000001</v>
      </c>
      <c r="C41" s="1118">
        <f t="shared" ref="C41" si="32">G41+O41+S41+U41+AK41+AW41+AQ41+BC41+BE41+AM41+AY41+AU41+AO41+BI41+AS41+E41+Q41+K41+AC41+AI41+AG41+W41+BG41+BA41+I41+AE41+M41+AA41+Y41</f>
        <v>135235834.90000001</v>
      </c>
      <c r="D41" s="739"/>
      <c r="E41" s="739"/>
      <c r="F41" s="739"/>
      <c r="G41" s="771"/>
      <c r="H41" s="739"/>
      <c r="I41" s="739"/>
      <c r="J41" s="739"/>
      <c r="K41" s="739"/>
      <c r="L41" s="739"/>
      <c r="M41" s="739"/>
      <c r="N41" s="739"/>
      <c r="O41" s="739"/>
      <c r="P41" s="739"/>
      <c r="Q41" s="739"/>
      <c r="R41" s="739"/>
      <c r="S41" s="739"/>
      <c r="T41" s="739">
        <f>'Прочая  субсидия_БП'!H26</f>
        <v>6956.5199999999977</v>
      </c>
      <c r="U41" s="739">
        <f>'Прочая  субсидия_БП'!I26</f>
        <v>6956.5199999999977</v>
      </c>
      <c r="V41" s="739"/>
      <c r="W41" s="739"/>
      <c r="X41" s="739"/>
      <c r="Y41" s="739"/>
      <c r="Z41" s="739"/>
      <c r="AA41" s="739"/>
      <c r="AB41" s="739"/>
      <c r="AC41" s="739"/>
      <c r="AD41" s="739">
        <f>'Прочая  субсидия_БП'!N26</f>
        <v>73588985.790000007</v>
      </c>
      <c r="AE41" s="739">
        <f>'Прочая  субсидия_БП'!O26</f>
        <v>50756896.219999999</v>
      </c>
      <c r="AF41" s="739"/>
      <c r="AG41" s="739"/>
      <c r="AH41" s="781">
        <f>'Прочая  субсидия_БП'!T26</f>
        <v>0</v>
      </c>
      <c r="AI41" s="781">
        <f>'Прочая  субсидия_БП'!U26</f>
        <v>0</v>
      </c>
      <c r="AJ41" s="739">
        <f>'Прочая  субсидия_БП'!Z26</f>
        <v>0</v>
      </c>
      <c r="AK41" s="739">
        <f>'Прочая  субсидия_БП'!AA26</f>
        <v>0</v>
      </c>
      <c r="AL41" s="739">
        <f>'Прочая  субсидия_БП'!AF26</f>
        <v>110186982.72000001</v>
      </c>
      <c r="AM41" s="739">
        <f>'Прочая  субсидия_БП'!AG26</f>
        <v>77926459.219999999</v>
      </c>
      <c r="AN41" s="739"/>
      <c r="AO41" s="739"/>
      <c r="AP41" s="739">
        <f>'Прочая  субсидия_БП'!AL26</f>
        <v>0</v>
      </c>
      <c r="AQ41" s="739">
        <f>'Прочая  субсидия_БП'!AM26</f>
        <v>0</v>
      </c>
      <c r="AR41" s="739">
        <f>'Прочая  субсидия_БП'!AR26</f>
        <v>2221320.4200000004</v>
      </c>
      <c r="AS41" s="739">
        <f>'Прочая  субсидия_БП'!AS26</f>
        <v>2016703.18</v>
      </c>
      <c r="AT41" s="739"/>
      <c r="AU41" s="739"/>
      <c r="AV41" s="739"/>
      <c r="AW41" s="739"/>
      <c r="AX41" s="739"/>
      <c r="AY41" s="739"/>
      <c r="AZ41" s="739"/>
      <c r="BA41" s="739"/>
      <c r="BB41" s="739">
        <f>'Прочая  субсидия_БП'!AX26</f>
        <v>6308112.290000001</v>
      </c>
      <c r="BC41" s="739">
        <f>'Прочая  субсидия_БП'!AY26</f>
        <v>4528819.76</v>
      </c>
      <c r="BD41" s="739"/>
      <c r="BE41" s="739"/>
      <c r="BF41" s="739">
        <f>'Прочая  субсидия_БП'!BE26</f>
        <v>0</v>
      </c>
      <c r="BG41" s="739"/>
      <c r="BH41" s="739">
        <f>'Прочая  субсидия_БП'!BK26</f>
        <v>0</v>
      </c>
      <c r="BI41" s="739">
        <f>'Прочая  субсидия_БП'!BL26</f>
        <v>0</v>
      </c>
    </row>
    <row r="42" spans="1:61" s="749" customFormat="1" ht="15.75" x14ac:dyDescent="0.25">
      <c r="A42" s="779"/>
      <c r="B42" s="771"/>
      <c r="C42" s="771"/>
      <c r="D42" s="771"/>
      <c r="E42" s="771"/>
      <c r="F42" s="771"/>
      <c r="G42" s="771"/>
      <c r="H42" s="771"/>
      <c r="I42" s="771"/>
      <c r="J42" s="771"/>
      <c r="K42" s="771"/>
      <c r="L42" s="771"/>
      <c r="M42" s="771"/>
      <c r="N42" s="771"/>
      <c r="O42" s="771"/>
      <c r="P42" s="771"/>
      <c r="Q42" s="771"/>
      <c r="R42" s="771"/>
      <c r="S42" s="771"/>
      <c r="T42" s="771"/>
      <c r="U42" s="771"/>
      <c r="V42" s="771"/>
      <c r="W42" s="771"/>
      <c r="X42" s="771"/>
      <c r="Y42" s="771"/>
      <c r="Z42" s="771"/>
      <c r="AA42" s="771"/>
      <c r="AB42" s="771"/>
      <c r="AC42" s="771"/>
      <c r="AF42" s="771"/>
      <c r="AG42" s="771"/>
      <c r="AH42" s="782"/>
      <c r="AI42" s="782"/>
      <c r="AJ42" s="771"/>
      <c r="AK42" s="771"/>
      <c r="AL42" s="771"/>
      <c r="AM42" s="771"/>
      <c r="AN42" s="771"/>
      <c r="AO42" s="771"/>
      <c r="AP42" s="771"/>
      <c r="AQ42" s="771"/>
      <c r="AR42" s="771"/>
      <c r="AS42" s="771"/>
      <c r="AT42" s="771"/>
      <c r="AU42" s="771"/>
      <c r="AV42" s="771"/>
      <c r="AW42" s="771"/>
      <c r="AX42" s="771"/>
      <c r="AY42" s="771"/>
      <c r="AZ42" s="771"/>
      <c r="BA42" s="771"/>
      <c r="BB42" s="771"/>
      <c r="BC42" s="771"/>
      <c r="BD42" s="771"/>
      <c r="BE42" s="771"/>
      <c r="BF42" s="771"/>
      <c r="BG42" s="771"/>
      <c r="BH42" s="771"/>
      <c r="BI42" s="771"/>
    </row>
    <row r="43" spans="1:61" s="749" customFormat="1" ht="47.25" x14ac:dyDescent="0.25">
      <c r="A43" s="779" t="s">
        <v>899</v>
      </c>
      <c r="B43" s="771">
        <f t="shared" ref="B43:BI43" si="33">B33+B41</f>
        <v>3846503501.8200006</v>
      </c>
      <c r="C43" s="771">
        <f t="shared" si="33"/>
        <v>2313826163.9900002</v>
      </c>
      <c r="D43" s="771">
        <f t="shared" si="33"/>
        <v>0</v>
      </c>
      <c r="E43" s="771">
        <f t="shared" si="33"/>
        <v>0</v>
      </c>
      <c r="F43" s="771">
        <f t="shared" si="33"/>
        <v>5400000</v>
      </c>
      <c r="G43" s="771">
        <f t="shared" si="33"/>
        <v>4343291.8600000003</v>
      </c>
      <c r="H43" s="771">
        <f t="shared" si="33"/>
        <v>8500000</v>
      </c>
      <c r="I43" s="771">
        <f t="shared" si="33"/>
        <v>4690978.2699999996</v>
      </c>
      <c r="J43" s="771">
        <f t="shared" si="33"/>
        <v>272800000</v>
      </c>
      <c r="K43" s="771">
        <f t="shared" si="33"/>
        <v>4310277.47</v>
      </c>
      <c r="L43" s="771">
        <f t="shared" si="33"/>
        <v>60000000</v>
      </c>
      <c r="M43" s="771">
        <f t="shared" si="33"/>
        <v>8566726.8599999994</v>
      </c>
      <c r="N43" s="771">
        <f t="shared" si="33"/>
        <v>18570204.66</v>
      </c>
      <c r="O43" s="771">
        <f t="shared" si="33"/>
        <v>10533091.49</v>
      </c>
      <c r="P43" s="771">
        <f t="shared" si="33"/>
        <v>127183300</v>
      </c>
      <c r="Q43" s="771">
        <f t="shared" si="33"/>
        <v>11899504.279999999</v>
      </c>
      <c r="R43" s="771">
        <f t="shared" si="33"/>
        <v>5000000</v>
      </c>
      <c r="S43" s="771">
        <f t="shared" si="33"/>
        <v>2228476.7999999998</v>
      </c>
      <c r="T43" s="771">
        <f t="shared" si="33"/>
        <v>600000</v>
      </c>
      <c r="U43" s="771">
        <f t="shared" si="33"/>
        <v>600000</v>
      </c>
      <c r="V43" s="771">
        <f t="shared" si="33"/>
        <v>148294978.05000001</v>
      </c>
      <c r="W43" s="771">
        <f t="shared" si="33"/>
        <v>77514154.359999999</v>
      </c>
      <c r="X43" s="771">
        <f t="shared" ref="X43:Y43" si="34">X33+X41</f>
        <v>360000000</v>
      </c>
      <c r="Y43" s="771">
        <f t="shared" si="34"/>
        <v>305562281.93000001</v>
      </c>
      <c r="Z43" s="771">
        <f t="shared" si="33"/>
        <v>665560433.4000001</v>
      </c>
      <c r="AA43" s="771">
        <f t="shared" si="33"/>
        <v>495646272.91999996</v>
      </c>
      <c r="AB43" s="771">
        <f t="shared" si="33"/>
        <v>617252125.28999996</v>
      </c>
      <c r="AC43" s="771">
        <f t="shared" si="33"/>
        <v>397361522.48000002</v>
      </c>
      <c r="AD43" s="771">
        <f t="shared" si="33"/>
        <v>798134321.75</v>
      </c>
      <c r="AE43" s="771">
        <f t="shared" si="33"/>
        <v>569286980.73000002</v>
      </c>
      <c r="AF43" s="771">
        <f t="shared" si="33"/>
        <v>150000000</v>
      </c>
      <c r="AG43" s="771">
        <f t="shared" si="33"/>
        <v>146208507.61000001</v>
      </c>
      <c r="AH43" s="782">
        <f t="shared" si="33"/>
        <v>0</v>
      </c>
      <c r="AI43" s="782">
        <f t="shared" si="33"/>
        <v>0</v>
      </c>
      <c r="AJ43" s="771">
        <f t="shared" si="33"/>
        <v>6726687.7300000004</v>
      </c>
      <c r="AK43" s="771">
        <f t="shared" si="33"/>
        <v>4965519.3899999997</v>
      </c>
      <c r="AL43" s="771">
        <f t="shared" si="33"/>
        <v>241739621.19</v>
      </c>
      <c r="AM43" s="771">
        <f t="shared" si="33"/>
        <v>86569769.370000005</v>
      </c>
      <c r="AN43" s="771">
        <f t="shared" si="33"/>
        <v>20000000</v>
      </c>
      <c r="AO43" s="771">
        <f t="shared" si="33"/>
        <v>0</v>
      </c>
      <c r="AP43" s="771">
        <f t="shared" si="33"/>
        <v>36115290</v>
      </c>
      <c r="AQ43" s="771">
        <f t="shared" si="33"/>
        <v>0</v>
      </c>
      <c r="AR43" s="771">
        <f t="shared" si="33"/>
        <v>14532828.629999999</v>
      </c>
      <c r="AS43" s="771">
        <f t="shared" si="33"/>
        <v>4432850.33</v>
      </c>
      <c r="AT43" s="771">
        <f t="shared" si="33"/>
        <v>211824160</v>
      </c>
      <c r="AU43" s="771">
        <f t="shared" si="33"/>
        <v>138809510.37</v>
      </c>
      <c r="AV43" s="771">
        <f t="shared" si="33"/>
        <v>19680599.999999996</v>
      </c>
      <c r="AW43" s="771">
        <f t="shared" si="33"/>
        <v>14329000.880000003</v>
      </c>
      <c r="AX43" s="771">
        <f t="shared" si="33"/>
        <v>14699999.999999998</v>
      </c>
      <c r="AY43" s="771">
        <f t="shared" si="33"/>
        <v>9729004.3300000001</v>
      </c>
      <c r="AZ43" s="771">
        <f t="shared" si="33"/>
        <v>24722751.120000001</v>
      </c>
      <c r="BA43" s="771">
        <f t="shared" si="33"/>
        <v>4332379.34</v>
      </c>
      <c r="BB43" s="771">
        <f t="shared" si="33"/>
        <v>15364000.000000002</v>
      </c>
      <c r="BC43" s="771">
        <f t="shared" si="33"/>
        <v>10180358.599999998</v>
      </c>
      <c r="BD43" s="771">
        <f t="shared" si="33"/>
        <v>2000000</v>
      </c>
      <c r="BE43" s="771">
        <f t="shared" si="33"/>
        <v>1172533.69</v>
      </c>
      <c r="BF43" s="771">
        <f t="shared" si="33"/>
        <v>502200</v>
      </c>
      <c r="BG43" s="771">
        <f t="shared" si="33"/>
        <v>0</v>
      </c>
      <c r="BH43" s="771">
        <f t="shared" si="33"/>
        <v>1300000</v>
      </c>
      <c r="BI43" s="771">
        <f t="shared" si="33"/>
        <v>553170.63</v>
      </c>
    </row>
    <row r="44" spans="1:61" s="749" customFormat="1" ht="15.75" x14ac:dyDescent="0.25">
      <c r="A44" s="783"/>
      <c r="B44" s="745"/>
      <c r="C44" s="745"/>
      <c r="D44" s="745"/>
      <c r="E44" s="784">
        <v>0</v>
      </c>
      <c r="F44" s="745"/>
      <c r="G44" s="10">
        <v>4343291.8600000003</v>
      </c>
      <c r="H44" s="745"/>
      <c r="I44" s="10">
        <v>4690978.2699999996</v>
      </c>
      <c r="J44" s="748"/>
      <c r="K44" s="10">
        <v>4310277.47</v>
      </c>
      <c r="L44" s="748"/>
      <c r="M44" s="10">
        <v>8566726.8599999994</v>
      </c>
      <c r="N44" s="748"/>
      <c r="O44" s="10">
        <v>10533091.49</v>
      </c>
      <c r="P44" s="748"/>
      <c r="Q44" s="10">
        <v>11899504.279999999</v>
      </c>
      <c r="R44" s="748"/>
      <c r="S44" s="10">
        <v>2228476.7999999998</v>
      </c>
      <c r="T44" s="745"/>
      <c r="U44" s="10">
        <v>600000</v>
      </c>
      <c r="V44" s="745"/>
      <c r="W44" s="10">
        <v>77514154.359999999</v>
      </c>
      <c r="X44" s="745"/>
      <c r="Y44" s="10">
        <v>305562281.93000001</v>
      </c>
      <c r="Z44" s="745"/>
      <c r="AA44" s="10">
        <v>495646272.92000002</v>
      </c>
      <c r="AB44" s="745"/>
      <c r="AC44" s="10">
        <v>397361522.48000002</v>
      </c>
      <c r="AD44" s="745"/>
      <c r="AE44" s="10">
        <v>569286980.73000002</v>
      </c>
      <c r="AF44" s="745"/>
      <c r="AG44" s="10">
        <v>146208507.61000001</v>
      </c>
      <c r="AH44" s="745"/>
      <c r="AI44" s="785"/>
      <c r="AJ44" s="745"/>
      <c r="AK44" s="10">
        <v>4965519.3899999997</v>
      </c>
      <c r="AL44" s="745"/>
      <c r="AM44" s="10">
        <v>86569769.370000005</v>
      </c>
      <c r="AN44" s="745"/>
      <c r="AO44" s="10">
        <v>0</v>
      </c>
      <c r="AP44" s="745"/>
      <c r="AQ44" s="10">
        <v>0</v>
      </c>
      <c r="AR44" s="745"/>
      <c r="AS44" s="10">
        <v>4432850.33</v>
      </c>
      <c r="AT44" s="748"/>
      <c r="AU44" s="10">
        <v>138809510.37</v>
      </c>
      <c r="AV44" s="745"/>
      <c r="AW44" s="10">
        <v>14329000.880000001</v>
      </c>
      <c r="AX44" s="748"/>
      <c r="AY44" s="10">
        <v>9729004.3300000001</v>
      </c>
      <c r="AZ44" s="745"/>
      <c r="BA44" s="10">
        <v>4332379.34</v>
      </c>
      <c r="BB44" s="745"/>
      <c r="BC44" s="10">
        <v>10180358.6</v>
      </c>
      <c r="BD44" s="745"/>
      <c r="BE44" s="10">
        <v>1172533.69</v>
      </c>
      <c r="BF44" s="745"/>
      <c r="BG44" s="10">
        <v>0</v>
      </c>
      <c r="BH44" s="745"/>
      <c r="BI44" s="10">
        <v>553170.63</v>
      </c>
    </row>
    <row r="45" spans="1:61" s="787" customFormat="1" ht="15.75" x14ac:dyDescent="0.25">
      <c r="E45" s="788">
        <f>E44-E43</f>
        <v>0</v>
      </c>
      <c r="G45" s="788">
        <f>G44-G43</f>
        <v>0</v>
      </c>
      <c r="I45" s="788">
        <f>I44-I43</f>
        <v>0</v>
      </c>
      <c r="J45" s="788"/>
      <c r="K45" s="788">
        <f>K44-K43</f>
        <v>0</v>
      </c>
      <c r="L45" s="788"/>
      <c r="M45" s="788">
        <f>M44-M43</f>
        <v>0</v>
      </c>
      <c r="N45" s="788"/>
      <c r="O45" s="788">
        <f>O44-O43</f>
        <v>0</v>
      </c>
      <c r="P45" s="788"/>
      <c r="Q45" s="788">
        <f>Q44-Q43</f>
        <v>0</v>
      </c>
      <c r="R45" s="788"/>
      <c r="S45" s="788">
        <f>S44-S43</f>
        <v>0</v>
      </c>
      <c r="U45" s="788">
        <f>U44-U43</f>
        <v>0</v>
      </c>
      <c r="W45" s="788">
        <f>W44-W43</f>
        <v>0</v>
      </c>
      <c r="Y45" s="788">
        <f>Y44-Y43</f>
        <v>0</v>
      </c>
      <c r="AA45" s="788">
        <f>AA44-AA43</f>
        <v>0</v>
      </c>
      <c r="AC45" s="788">
        <f>AC44-AC43</f>
        <v>0</v>
      </c>
      <c r="AE45" s="788">
        <f>AE44-AE43</f>
        <v>0</v>
      </c>
      <c r="AG45" s="788">
        <f>AG44-AG43</f>
        <v>0</v>
      </c>
      <c r="AH45" s="788"/>
      <c r="AI45" s="788"/>
      <c r="AK45" s="788">
        <f>AK44-AK43</f>
        <v>0</v>
      </c>
      <c r="AM45" s="788">
        <f>AM44-AM43</f>
        <v>0</v>
      </c>
      <c r="AO45" s="788">
        <f>AO44-AO43</f>
        <v>0</v>
      </c>
      <c r="AQ45" s="788">
        <f>AQ44-AQ43</f>
        <v>0</v>
      </c>
      <c r="AS45" s="788">
        <f>AS44-AS43</f>
        <v>0</v>
      </c>
      <c r="AT45" s="788"/>
      <c r="AU45" s="788">
        <f>AU44-AU43</f>
        <v>0</v>
      </c>
      <c r="AW45" s="788">
        <f>AW44-AW43</f>
        <v>0</v>
      </c>
      <c r="AX45" s="788"/>
      <c r="AY45" s="788">
        <f>AY44-AY43</f>
        <v>0</v>
      </c>
      <c r="BA45" s="788">
        <f>BA44-BA43</f>
        <v>0</v>
      </c>
      <c r="BC45" s="788">
        <f>BC44-BC43</f>
        <v>0</v>
      </c>
      <c r="BE45" s="788">
        <f>BE44-BE43</f>
        <v>0</v>
      </c>
      <c r="BG45" s="788">
        <f>BG44-BG43</f>
        <v>0</v>
      </c>
      <c r="BI45" s="788">
        <f>BI44-BI43</f>
        <v>0</v>
      </c>
    </row>
    <row r="46" spans="1:61" ht="15.75" x14ac:dyDescent="0.25">
      <c r="E46" s="748"/>
      <c r="G46" s="786"/>
      <c r="I46" s="748"/>
      <c r="J46" s="748"/>
      <c r="K46" s="748"/>
      <c r="L46" s="748"/>
      <c r="M46" s="748"/>
      <c r="N46" s="748"/>
      <c r="O46" s="748"/>
      <c r="P46" s="748"/>
      <c r="Q46" s="748"/>
      <c r="R46" s="748"/>
      <c r="S46" s="748"/>
      <c r="U46" s="748"/>
      <c r="V46" s="787"/>
      <c r="W46" s="788"/>
      <c r="X46" s="787"/>
      <c r="Y46" s="788"/>
      <c r="Z46" s="787"/>
      <c r="AA46" s="788"/>
      <c r="AC46" s="748"/>
      <c r="AD46" s="724"/>
      <c r="AE46" s="748"/>
      <c r="AF46" s="724"/>
      <c r="AG46" s="748"/>
      <c r="AH46" s="748"/>
      <c r="AI46" s="748"/>
      <c r="AM46" s="748"/>
      <c r="AO46" s="748"/>
      <c r="AQ46" s="748"/>
      <c r="AS46" s="748"/>
      <c r="AT46" s="748"/>
      <c r="AU46" s="748"/>
      <c r="AW46" s="748"/>
      <c r="AX46" s="748"/>
      <c r="AY46" s="748"/>
      <c r="BA46" s="748"/>
      <c r="BC46" s="748"/>
      <c r="BE46" s="748"/>
      <c r="BG46" s="748"/>
      <c r="BI46" s="748"/>
    </row>
    <row r="47" spans="1:61" x14ac:dyDescent="0.2">
      <c r="AD47" s="750"/>
      <c r="AE47" s="789"/>
      <c r="AF47" s="752"/>
      <c r="AG47" s="752"/>
    </row>
    <row r="48" spans="1:61" x14ac:dyDescent="0.2">
      <c r="AD48" s="750"/>
      <c r="AE48" s="790"/>
      <c r="AF48" s="751"/>
      <c r="AG48" s="751"/>
    </row>
    <row r="49" spans="30:33" x14ac:dyDescent="0.2">
      <c r="AD49" s="750"/>
      <c r="AE49" s="750"/>
      <c r="AF49" s="751"/>
      <c r="AG49" s="751"/>
    </row>
    <row r="50" spans="30:33" x14ac:dyDescent="0.2">
      <c r="AD50" s="751"/>
      <c r="AE50" s="751"/>
      <c r="AF50" s="751"/>
      <c r="AG50" s="751"/>
    </row>
    <row r="51" spans="30:33" x14ac:dyDescent="0.2">
      <c r="AD51" s="752"/>
      <c r="AE51" s="752"/>
    </row>
    <row r="52" spans="30:33" x14ac:dyDescent="0.2">
      <c r="AD52" s="752"/>
      <c r="AE52" s="752"/>
    </row>
    <row r="53" spans="30:33" x14ac:dyDescent="0.2">
      <c r="AD53" s="752"/>
      <c r="AE53" s="752"/>
    </row>
    <row r="54" spans="30:33" x14ac:dyDescent="0.2">
      <c r="AD54" s="752"/>
      <c r="AE54" s="752"/>
    </row>
    <row r="55" spans="30:33" x14ac:dyDescent="0.2">
      <c r="AD55" s="751"/>
      <c r="AE55" s="751"/>
    </row>
    <row r="56" spans="30:33" x14ac:dyDescent="0.2">
      <c r="AD56" s="751"/>
      <c r="AE56" s="751"/>
    </row>
    <row r="57" spans="30:33" x14ac:dyDescent="0.2">
      <c r="AD57" s="751"/>
      <c r="AE57" s="751"/>
    </row>
  </sheetData>
  <mergeCells count="60">
    <mergeCell ref="J5:K5"/>
    <mergeCell ref="D6:E6"/>
    <mergeCell ref="F6:G6"/>
    <mergeCell ref="H6:I6"/>
    <mergeCell ref="J6:K6"/>
    <mergeCell ref="A5:A7"/>
    <mergeCell ref="B5:C6"/>
    <mergeCell ref="D5:E5"/>
    <mergeCell ref="F5:G5"/>
    <mergeCell ref="H5:I5"/>
    <mergeCell ref="AJ5:AK5"/>
    <mergeCell ref="L5:M5"/>
    <mergeCell ref="N5:O5"/>
    <mergeCell ref="P5:Q5"/>
    <mergeCell ref="R5:S5"/>
    <mergeCell ref="T5:U5"/>
    <mergeCell ref="V5:W5"/>
    <mergeCell ref="Z5:AA5"/>
    <mergeCell ref="AB5:AC5"/>
    <mergeCell ref="AD5:AE5"/>
    <mergeCell ref="AF5:AG5"/>
    <mergeCell ref="AH5:AI5"/>
    <mergeCell ref="X5:Y5"/>
    <mergeCell ref="BH5:BI5"/>
    <mergeCell ref="AL5:AM5"/>
    <mergeCell ref="AN5:AO5"/>
    <mergeCell ref="AP5:AQ5"/>
    <mergeCell ref="AR5:AS5"/>
    <mergeCell ref="AT5:AU5"/>
    <mergeCell ref="AV5:AW5"/>
    <mergeCell ref="AX5:AY5"/>
    <mergeCell ref="AZ5:BA5"/>
    <mergeCell ref="BB5:BC5"/>
    <mergeCell ref="BD5:BE5"/>
    <mergeCell ref="BF5:BG5"/>
    <mergeCell ref="AJ6:AK6"/>
    <mergeCell ref="L6:M6"/>
    <mergeCell ref="N6:O6"/>
    <mergeCell ref="P6:Q6"/>
    <mergeCell ref="R6:S6"/>
    <mergeCell ref="T6:U6"/>
    <mergeCell ref="V6:W6"/>
    <mergeCell ref="Z6:AA6"/>
    <mergeCell ref="AB6:AC6"/>
    <mergeCell ref="AD6:AE6"/>
    <mergeCell ref="AF6:AG6"/>
    <mergeCell ref="AH6:AI6"/>
    <mergeCell ref="X6:Y6"/>
    <mergeCell ref="BH6:BI6"/>
    <mergeCell ref="AL6:AM6"/>
    <mergeCell ref="AN6:AO6"/>
    <mergeCell ref="AP6:AQ6"/>
    <mergeCell ref="AR6:AS6"/>
    <mergeCell ref="AT6:AU6"/>
    <mergeCell ref="AV6:AW6"/>
    <mergeCell ref="AX6:AY6"/>
    <mergeCell ref="AZ6:BA6"/>
    <mergeCell ref="BB6:BC6"/>
    <mergeCell ref="BD6:BE6"/>
    <mergeCell ref="BF6:BG6"/>
  </mergeCells>
  <pageMargins left="0.78740157480314965" right="0.39370078740157483" top="0.59055118110236227" bottom="0.59055118110236227" header="0.51181102362204722" footer="0.51181102362204722"/>
  <pageSetup paperSize="9" scale="40" fitToWidth="10" orientation="landscape" r:id="rId1"/>
  <headerFooter alignWithMargins="0">
    <oddFooter>&amp;L&amp;P&amp;R&amp;Z&amp;F&amp;A</oddFooter>
  </headerFooter>
  <colBreaks count="4" manualBreakCount="4">
    <brk id="13" max="42" man="1"/>
    <brk id="25" max="42" man="1"/>
    <brk id="37" max="42" man="1"/>
    <brk id="49"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P57"/>
  <sheetViews>
    <sheetView topLeftCell="A2" zoomScale="40" zoomScaleNormal="40" zoomScaleSheetLayoutView="40" workbookViewId="0">
      <pane xSplit="1" ySplit="6" topLeftCell="B8" activePane="bottomRight" state="frozen"/>
      <selection activeCell="A2" sqref="A2"/>
      <selection pane="topRight" activeCell="B2" sqref="B2"/>
      <selection pane="bottomLeft" activeCell="A8" sqref="A8"/>
      <selection pane="bottomRight" activeCell="AK12" sqref="AK12"/>
    </sheetView>
  </sheetViews>
  <sheetFormatPr defaultColWidth="8.7109375" defaultRowHeight="16.5" x14ac:dyDescent="0.2"/>
  <cols>
    <col min="1" max="1" width="28.140625" style="1" customWidth="1"/>
    <col min="2" max="2" width="21.5703125" style="1" customWidth="1"/>
    <col min="3" max="3" width="23.140625" style="1" customWidth="1"/>
    <col min="4" max="4" width="22.85546875" style="1" customWidth="1"/>
    <col min="5" max="5" width="22" style="1" customWidth="1"/>
    <col min="6" max="6" width="23.140625" style="1" customWidth="1"/>
    <col min="7" max="7" width="22.42578125" style="1" bestFit="1" customWidth="1"/>
    <col min="8" max="9" width="20.140625" style="1" customWidth="1"/>
    <col min="10" max="13" width="17.85546875" style="1" customWidth="1"/>
    <col min="14" max="14" width="22.85546875" style="692" customWidth="1"/>
    <col min="15" max="19" width="23" style="692" customWidth="1"/>
    <col min="20" max="21" width="24.140625" style="1" customWidth="1"/>
    <col min="22" max="25" width="17.85546875" style="1" customWidth="1"/>
    <col min="26" max="27" width="21.140625" style="1" customWidth="1"/>
    <col min="28" max="28" width="20.5703125" style="1" customWidth="1"/>
    <col min="29" max="29" width="21.140625" style="1" customWidth="1"/>
    <col min="30" max="31" width="17.5703125" style="1" customWidth="1"/>
    <col min="32" max="32" width="21.85546875" style="1" customWidth="1"/>
    <col min="33" max="33" width="20" style="1" customWidth="1"/>
    <col min="34" max="34" width="20.5703125" style="1" bestFit="1" customWidth="1"/>
    <col min="35" max="35" width="20.5703125" style="1" customWidth="1"/>
    <col min="36" max="36" width="22.28515625" style="1" bestFit="1" customWidth="1"/>
    <col min="37" max="37" width="22.42578125" style="1" customWidth="1"/>
    <col min="38" max="39" width="29.140625" style="724" customWidth="1"/>
    <col min="40" max="43" width="21.42578125" style="724" customWidth="1"/>
    <col min="44" max="45" width="23.85546875" style="724" customWidth="1"/>
    <col min="46" max="49" width="21.42578125" style="724" customWidth="1"/>
    <col min="50" max="50" width="20.85546875" style="1" customWidth="1"/>
    <col min="51" max="51" width="19" style="1" customWidth="1"/>
    <col min="52" max="52" width="19" style="1126" hidden="1" customWidth="1"/>
    <col min="53" max="53" width="20.5703125" style="1" bestFit="1" customWidth="1"/>
    <col min="54" max="54" width="18.85546875" style="1" customWidth="1"/>
    <col min="55" max="56" width="17.5703125" style="1" customWidth="1"/>
    <col min="57" max="58" width="19.140625" style="1" customWidth="1"/>
    <col min="59" max="62" width="18.42578125" style="1" customWidth="1"/>
    <col min="63" max="64" width="23" style="1" customWidth="1"/>
    <col min="65" max="68" width="18.42578125" style="1" customWidth="1"/>
    <col min="69" max="16384" width="8.7109375" style="1"/>
  </cols>
  <sheetData>
    <row r="2" spans="1:68" ht="18" x14ac:dyDescent="0.25">
      <c r="C2" s="721" t="s">
        <v>881</v>
      </c>
      <c r="F2" s="722" t="str">
        <f>'Район  и  поселения'!E3</f>
        <v>ПО  СОСТОЯНИЮ  НА  1  ОКТЯБРЯ  2024  ГОДА</v>
      </c>
      <c r="Z2" s="723"/>
      <c r="AA2" s="723"/>
      <c r="AB2" s="723"/>
      <c r="AC2" s="723"/>
      <c r="AD2" s="723"/>
      <c r="AE2" s="723"/>
    </row>
    <row r="3" spans="1:68" x14ac:dyDescent="0.25">
      <c r="B3" s="723"/>
      <c r="C3" s="723"/>
      <c r="D3" s="723"/>
      <c r="E3" s="723"/>
      <c r="F3" s="723"/>
      <c r="G3" s="723"/>
      <c r="Z3" s="723"/>
      <c r="AA3" s="723"/>
      <c r="AB3" s="723"/>
      <c r="AC3" s="723"/>
      <c r="AD3" s="723"/>
      <c r="AE3" s="723"/>
    </row>
    <row r="4" spans="1:68" x14ac:dyDescent="0.25">
      <c r="I4" s="508" t="s">
        <v>882</v>
      </c>
    </row>
    <row r="5" spans="1:68" s="725" customFormat="1" ht="274.5" customHeight="1" x14ac:dyDescent="0.2">
      <c r="A5" s="1712" t="s">
        <v>797</v>
      </c>
      <c r="B5" s="1707" t="s">
        <v>31</v>
      </c>
      <c r="C5" s="1713"/>
      <c r="D5" s="1701" t="s">
        <v>799</v>
      </c>
      <c r="E5" s="1716"/>
      <c r="F5" s="1719" t="s">
        <v>800</v>
      </c>
      <c r="G5" s="1719"/>
      <c r="H5" s="1706" t="s">
        <v>883</v>
      </c>
      <c r="I5" s="1706"/>
      <c r="J5" s="1701" t="s">
        <v>799</v>
      </c>
      <c r="K5" s="1702"/>
      <c r="L5" s="1701" t="s">
        <v>800</v>
      </c>
      <c r="M5" s="1702"/>
      <c r="N5" s="1708" t="s">
        <v>884</v>
      </c>
      <c r="O5" s="1709"/>
      <c r="P5" s="1701" t="s">
        <v>799</v>
      </c>
      <c r="Q5" s="1702"/>
      <c r="R5" s="1701" t="s">
        <v>800</v>
      </c>
      <c r="S5" s="1702"/>
      <c r="T5" s="1704" t="s">
        <v>885</v>
      </c>
      <c r="U5" s="1705"/>
      <c r="V5" s="1701" t="s">
        <v>799</v>
      </c>
      <c r="W5" s="1702"/>
      <c r="X5" s="1701" t="s">
        <v>800</v>
      </c>
      <c r="Y5" s="1702"/>
      <c r="Z5" s="1710" t="s">
        <v>886</v>
      </c>
      <c r="AA5" s="1711"/>
      <c r="AB5" s="1701" t="s">
        <v>799</v>
      </c>
      <c r="AC5" s="1702"/>
      <c r="AD5" s="1701" t="s">
        <v>800</v>
      </c>
      <c r="AE5" s="1702"/>
      <c r="AF5" s="1712" t="s">
        <v>606</v>
      </c>
      <c r="AG5" s="1712"/>
      <c r="AH5" s="1701" t="s">
        <v>799</v>
      </c>
      <c r="AI5" s="1702"/>
      <c r="AJ5" s="1701" t="s">
        <v>800</v>
      </c>
      <c r="AK5" s="1702"/>
      <c r="AL5" s="1704" t="s">
        <v>523</v>
      </c>
      <c r="AM5" s="1705"/>
      <c r="AN5" s="1701" t="s">
        <v>799</v>
      </c>
      <c r="AO5" s="1702"/>
      <c r="AP5" s="1701" t="s">
        <v>800</v>
      </c>
      <c r="AQ5" s="1702"/>
      <c r="AR5" s="1706" t="s">
        <v>507</v>
      </c>
      <c r="AS5" s="1707"/>
      <c r="AT5" s="1701" t="s">
        <v>799</v>
      </c>
      <c r="AU5" s="1702"/>
      <c r="AV5" s="1701" t="s">
        <v>800</v>
      </c>
      <c r="AW5" s="1702"/>
      <c r="AX5" s="1706" t="s">
        <v>887</v>
      </c>
      <c r="AY5" s="1707"/>
      <c r="AZ5" s="1127"/>
      <c r="BA5" s="1701" t="s">
        <v>799</v>
      </c>
      <c r="BB5" s="1702"/>
      <c r="BC5" s="1701" t="s">
        <v>800</v>
      </c>
      <c r="BD5" s="1702"/>
      <c r="BE5" s="1704" t="s">
        <v>888</v>
      </c>
      <c r="BF5" s="1705"/>
      <c r="BG5" s="1701" t="s">
        <v>799</v>
      </c>
      <c r="BH5" s="1702"/>
      <c r="BI5" s="1701" t="s">
        <v>800</v>
      </c>
      <c r="BJ5" s="1702"/>
      <c r="BK5" s="1703" t="s">
        <v>439</v>
      </c>
      <c r="BL5" s="1703"/>
      <c r="BM5" s="1701" t="s">
        <v>799</v>
      </c>
      <c r="BN5" s="1702"/>
      <c r="BO5" s="1701" t="s">
        <v>800</v>
      </c>
      <c r="BP5" s="1702"/>
    </row>
    <row r="6" spans="1:68" s="726" customFormat="1" ht="18" customHeight="1" x14ac:dyDescent="0.2">
      <c r="A6" s="1712"/>
      <c r="B6" s="1714"/>
      <c r="C6" s="1715"/>
      <c r="D6" s="1717"/>
      <c r="E6" s="1718"/>
      <c r="F6" s="1719"/>
      <c r="G6" s="1719"/>
      <c r="H6" s="1699" t="s">
        <v>584</v>
      </c>
      <c r="I6" s="1700"/>
      <c r="J6" s="1700"/>
      <c r="K6" s="1700"/>
      <c r="L6" s="1700"/>
      <c r="M6" s="1700"/>
      <c r="N6" s="1700" t="s">
        <v>461</v>
      </c>
      <c r="O6" s="1699"/>
      <c r="P6" s="1699"/>
      <c r="Q6" s="1699"/>
      <c r="R6" s="1699"/>
      <c r="S6" s="1699"/>
      <c r="T6" s="1699" t="s">
        <v>469</v>
      </c>
      <c r="U6" s="1699"/>
      <c r="V6" s="1699"/>
      <c r="W6" s="1699"/>
      <c r="X6" s="1699"/>
      <c r="Y6" s="1699"/>
      <c r="Z6" s="1699" t="s">
        <v>889</v>
      </c>
      <c r="AA6" s="1699"/>
      <c r="AB6" s="1699"/>
      <c r="AC6" s="1699"/>
      <c r="AD6" s="1699"/>
      <c r="AE6" s="1699"/>
      <c r="AF6" s="1699" t="s">
        <v>607</v>
      </c>
      <c r="AG6" s="1700"/>
      <c r="AH6" s="1700"/>
      <c r="AI6" s="1700"/>
      <c r="AJ6" s="1700"/>
      <c r="AK6" s="1700"/>
      <c r="AL6" s="1677" t="s">
        <v>524</v>
      </c>
      <c r="AM6" s="1674"/>
      <c r="AN6" s="1674"/>
      <c r="AO6" s="1674"/>
      <c r="AP6" s="1674"/>
      <c r="AQ6" s="1673"/>
      <c r="AR6" s="1699" t="s">
        <v>508</v>
      </c>
      <c r="AS6" s="1700"/>
      <c r="AT6" s="1700"/>
      <c r="AU6" s="1700"/>
      <c r="AV6" s="1700"/>
      <c r="AW6" s="1700"/>
      <c r="AX6" s="1700" t="s">
        <v>436</v>
      </c>
      <c r="AY6" s="1700"/>
      <c r="AZ6" s="1700"/>
      <c r="BA6" s="1700"/>
      <c r="BB6" s="1700"/>
      <c r="BC6" s="1700"/>
      <c r="BD6" s="1700"/>
      <c r="BE6" s="1699" t="s">
        <v>518</v>
      </c>
      <c r="BF6" s="1700"/>
      <c r="BG6" s="1700"/>
      <c r="BH6" s="1700"/>
      <c r="BI6" s="1700"/>
      <c r="BJ6" s="1700"/>
      <c r="BK6" s="1699" t="s">
        <v>440</v>
      </c>
      <c r="BL6" s="1700"/>
      <c r="BM6" s="1700"/>
      <c r="BN6" s="1700"/>
      <c r="BO6" s="1700"/>
      <c r="BP6" s="1700"/>
    </row>
    <row r="7" spans="1:68" s="213" customFormat="1" ht="18" customHeight="1" x14ac:dyDescent="0.25">
      <c r="A7" s="254"/>
      <c r="B7" s="403" t="s">
        <v>314</v>
      </c>
      <c r="C7" s="403" t="s">
        <v>316</v>
      </c>
      <c r="D7" s="727" t="s">
        <v>314</v>
      </c>
      <c r="E7" s="727" t="s">
        <v>316</v>
      </c>
      <c r="F7" s="727" t="s">
        <v>314</v>
      </c>
      <c r="G7" s="727" t="s">
        <v>316</v>
      </c>
      <c r="H7" s="403" t="s">
        <v>314</v>
      </c>
      <c r="I7" s="403" t="s">
        <v>316</v>
      </c>
      <c r="J7" s="728" t="s">
        <v>314</v>
      </c>
      <c r="K7" s="728" t="s">
        <v>316</v>
      </c>
      <c r="L7" s="728" t="s">
        <v>314</v>
      </c>
      <c r="M7" s="728" t="s">
        <v>316</v>
      </c>
      <c r="N7" s="403" t="s">
        <v>314</v>
      </c>
      <c r="O7" s="403" t="s">
        <v>316</v>
      </c>
      <c r="P7" s="728" t="s">
        <v>314</v>
      </c>
      <c r="Q7" s="728" t="s">
        <v>316</v>
      </c>
      <c r="R7" s="728" t="s">
        <v>314</v>
      </c>
      <c r="S7" s="728" t="s">
        <v>316</v>
      </c>
      <c r="T7" s="403" t="s">
        <v>314</v>
      </c>
      <c r="U7" s="403" t="s">
        <v>316</v>
      </c>
      <c r="V7" s="728" t="s">
        <v>314</v>
      </c>
      <c r="W7" s="728" t="s">
        <v>316</v>
      </c>
      <c r="X7" s="728" t="s">
        <v>314</v>
      </c>
      <c r="Y7" s="728" t="s">
        <v>316</v>
      </c>
      <c r="Z7" s="403" t="s">
        <v>314</v>
      </c>
      <c r="AA7" s="403" t="s">
        <v>316</v>
      </c>
      <c r="AB7" s="728" t="s">
        <v>314</v>
      </c>
      <c r="AC7" s="728" t="s">
        <v>316</v>
      </c>
      <c r="AD7" s="728" t="s">
        <v>314</v>
      </c>
      <c r="AE7" s="728" t="s">
        <v>316</v>
      </c>
      <c r="AF7" s="403" t="s">
        <v>314</v>
      </c>
      <c r="AG7" s="403" t="s">
        <v>316</v>
      </c>
      <c r="AH7" s="727" t="s">
        <v>314</v>
      </c>
      <c r="AI7" s="727" t="s">
        <v>316</v>
      </c>
      <c r="AJ7" s="727" t="s">
        <v>314</v>
      </c>
      <c r="AK7" s="727" t="s">
        <v>316</v>
      </c>
      <c r="AL7" s="372" t="s">
        <v>314</v>
      </c>
      <c r="AM7" s="372" t="s">
        <v>316</v>
      </c>
      <c r="AN7" s="727" t="s">
        <v>314</v>
      </c>
      <c r="AO7" s="727" t="s">
        <v>316</v>
      </c>
      <c r="AP7" s="727" t="s">
        <v>314</v>
      </c>
      <c r="AQ7" s="727" t="s">
        <v>316</v>
      </c>
      <c r="AR7" s="403" t="s">
        <v>314</v>
      </c>
      <c r="AS7" s="403" t="s">
        <v>316</v>
      </c>
      <c r="AT7" s="728" t="s">
        <v>314</v>
      </c>
      <c r="AU7" s="728" t="s">
        <v>316</v>
      </c>
      <c r="AV7" s="728" t="s">
        <v>314</v>
      </c>
      <c r="AW7" s="728" t="s">
        <v>316</v>
      </c>
      <c r="AX7" s="403" t="s">
        <v>314</v>
      </c>
      <c r="AY7" s="403" t="s">
        <v>316</v>
      </c>
      <c r="AZ7" s="1128"/>
      <c r="BA7" s="727" t="s">
        <v>314</v>
      </c>
      <c r="BB7" s="727" t="s">
        <v>316</v>
      </c>
      <c r="BC7" s="727" t="s">
        <v>314</v>
      </c>
      <c r="BD7" s="727" t="s">
        <v>316</v>
      </c>
      <c r="BE7" s="403" t="s">
        <v>314</v>
      </c>
      <c r="BF7" s="403" t="s">
        <v>316</v>
      </c>
      <c r="BG7" s="728" t="s">
        <v>314</v>
      </c>
      <c r="BH7" s="728" t="s">
        <v>316</v>
      </c>
      <c r="BI7" s="728" t="s">
        <v>314</v>
      </c>
      <c r="BJ7" s="728" t="s">
        <v>316</v>
      </c>
      <c r="BK7" s="403" t="s">
        <v>314</v>
      </c>
      <c r="BL7" s="403" t="s">
        <v>316</v>
      </c>
      <c r="BM7" s="728" t="s">
        <v>314</v>
      </c>
      <c r="BN7" s="728" t="s">
        <v>316</v>
      </c>
      <c r="BO7" s="728" t="s">
        <v>314</v>
      </c>
      <c r="BP7" s="728" t="s">
        <v>316</v>
      </c>
    </row>
    <row r="8" spans="1:68" s="737" customFormat="1" ht="21" customHeight="1" x14ac:dyDescent="0.25">
      <c r="A8" s="1188" t="s">
        <v>1281</v>
      </c>
      <c r="B8" s="1189">
        <f t="shared" ref="B8:C11" si="0">H8+AX8+Z8+AL8+AF8+AR8+BK8+T8+BE8+N8</f>
        <v>0</v>
      </c>
      <c r="C8" s="1189">
        <f t="shared" si="0"/>
        <v>0</v>
      </c>
      <c r="D8" s="729">
        <f t="shared" ref="D8:G11" si="1">J8+BA8+AB8+AN8+AH8+AT8+BM8+V8+BG8+P8</f>
        <v>0</v>
      </c>
      <c r="E8" s="729">
        <f t="shared" si="1"/>
        <v>0</v>
      </c>
      <c r="F8" s="729">
        <f t="shared" si="1"/>
        <v>0</v>
      </c>
      <c r="G8" s="729">
        <f t="shared" si="1"/>
        <v>0</v>
      </c>
      <c r="H8" s="730">
        <f>[1]Субсидия_факт!DZ10</f>
        <v>0</v>
      </c>
      <c r="I8" s="731"/>
      <c r="J8" s="729">
        <f t="shared" ref="J8:K23" si="2">H8-L8</f>
        <v>0</v>
      </c>
      <c r="K8" s="729">
        <f t="shared" si="2"/>
        <v>0</v>
      </c>
      <c r="L8" s="732">
        <f>[1]Субсидия_факт!EB10</f>
        <v>0</v>
      </c>
      <c r="M8" s="733"/>
      <c r="N8" s="734">
        <f>[1]Субсидия_факт!LH10</f>
        <v>0</v>
      </c>
      <c r="O8" s="735"/>
      <c r="P8" s="729">
        <f t="shared" ref="P8:Q25" si="3">N8-R8</f>
        <v>0</v>
      </c>
      <c r="Q8" s="729">
        <f t="shared" si="3"/>
        <v>0</v>
      </c>
      <c r="R8" s="732">
        <f t="shared" ref="R8:S11" si="4">N8</f>
        <v>0</v>
      </c>
      <c r="S8" s="732">
        <f t="shared" si="4"/>
        <v>0</v>
      </c>
      <c r="T8" s="730">
        <f>[1]Субсидия_факт!MN10</f>
        <v>0</v>
      </c>
      <c r="U8" s="736"/>
      <c r="V8" s="729">
        <f t="shared" ref="V8:W23" si="5">T8-X8</f>
        <v>0</v>
      </c>
      <c r="W8" s="729">
        <f t="shared" si="5"/>
        <v>0</v>
      </c>
      <c r="X8" s="732">
        <f>[1]Субсидия_факт!MP10</f>
        <v>0</v>
      </c>
      <c r="Y8" s="733"/>
      <c r="Z8" s="730">
        <f>[1]Субсидия_факт!MZ10</f>
        <v>0</v>
      </c>
      <c r="AA8" s="736"/>
      <c r="AB8" s="729">
        <f t="shared" ref="AB8:AC23" si="6">Z8-AD8</f>
        <v>0</v>
      </c>
      <c r="AC8" s="729">
        <f t="shared" si="6"/>
        <v>0</v>
      </c>
      <c r="AD8" s="732">
        <f>[1]Субсидия_факт!NB10</f>
        <v>0</v>
      </c>
      <c r="AE8" s="733"/>
      <c r="AF8" s="730">
        <f>[1]Субсидия_факт!NF10</f>
        <v>0</v>
      </c>
      <c r="AG8" s="736"/>
      <c r="AH8" s="729">
        <f t="shared" ref="AH8:AI23" si="7">AF8-AJ8</f>
        <v>0</v>
      </c>
      <c r="AI8" s="729">
        <f t="shared" si="7"/>
        <v>0</v>
      </c>
      <c r="AJ8" s="732">
        <f>[1]Субсидия_факт!NH10</f>
        <v>0</v>
      </c>
      <c r="AK8" s="733"/>
      <c r="AL8" s="730">
        <f>[1]Субсидия_факт!NN10</f>
        <v>0</v>
      </c>
      <c r="AM8" s="736"/>
      <c r="AN8" s="729">
        <f t="shared" ref="AN8:AO23" si="8">AL8-AP8</f>
        <v>0</v>
      </c>
      <c r="AO8" s="729">
        <f t="shared" si="8"/>
        <v>0</v>
      </c>
      <c r="AP8" s="732">
        <f>[1]Субсидия_факт!NP10</f>
        <v>0</v>
      </c>
      <c r="AQ8" s="733"/>
      <c r="AR8" s="730">
        <f>[1]Субсидия_факт!NT10</f>
        <v>0</v>
      </c>
      <c r="AS8" s="731"/>
      <c r="AT8" s="729">
        <f t="shared" ref="AT8:AU23" si="9">AR8-AV8</f>
        <v>0</v>
      </c>
      <c r="AU8" s="729">
        <f t="shared" si="9"/>
        <v>0</v>
      </c>
      <c r="AV8" s="732">
        <f>[1]Субсидия_факт!NV10</f>
        <v>0</v>
      </c>
      <c r="AW8" s="733"/>
      <c r="AX8" s="730">
        <f>[1]Субсидия_факт!OY10</f>
        <v>0</v>
      </c>
      <c r="AY8" s="731">
        <f>AZ8-'Прочая  субсидия_МР  и  ГО'!BC8</f>
        <v>0</v>
      </c>
      <c r="AZ8" s="1131">
        <v>352136.71</v>
      </c>
      <c r="BA8" s="729">
        <f t="shared" ref="BA8:BB23" si="10">AX8-BC8</f>
        <v>0</v>
      </c>
      <c r="BB8" s="729">
        <f t="shared" si="10"/>
        <v>0</v>
      </c>
      <c r="BC8" s="732">
        <f>[1]Субсидия_факт!PA10</f>
        <v>0</v>
      </c>
      <c r="BD8" s="733"/>
      <c r="BE8" s="730">
        <f>[1]Субсидия_факт!PG10</f>
        <v>0</v>
      </c>
      <c r="BF8" s="736"/>
      <c r="BG8" s="729">
        <f t="shared" ref="BG8:BH23" si="11">BE8-BI8</f>
        <v>0</v>
      </c>
      <c r="BH8" s="729">
        <f t="shared" si="11"/>
        <v>0</v>
      </c>
      <c r="BI8" s="732">
        <f>[1]Субсидия_факт!PI10</f>
        <v>0</v>
      </c>
      <c r="BJ8" s="733"/>
      <c r="BK8" s="730">
        <f>[1]Субсидия_факт!PY10</f>
        <v>0</v>
      </c>
      <c r="BL8" s="736"/>
      <c r="BM8" s="729">
        <f t="shared" ref="BM8:BN23" si="12">BK8-BO8</f>
        <v>0</v>
      </c>
      <c r="BN8" s="729">
        <f t="shared" si="12"/>
        <v>0</v>
      </c>
      <c r="BO8" s="732">
        <f>[1]Субсидия_факт!QA10</f>
        <v>0</v>
      </c>
      <c r="BP8" s="733"/>
    </row>
    <row r="9" spans="1:68" s="737" customFormat="1" ht="21" customHeight="1" x14ac:dyDescent="0.25">
      <c r="A9" s="1188" t="s">
        <v>1282</v>
      </c>
      <c r="B9" s="1189">
        <f t="shared" si="0"/>
        <v>0</v>
      </c>
      <c r="C9" s="1189">
        <f t="shared" si="0"/>
        <v>0</v>
      </c>
      <c r="D9" s="729">
        <f t="shared" si="1"/>
        <v>0</v>
      </c>
      <c r="E9" s="729">
        <f t="shared" si="1"/>
        <v>0</v>
      </c>
      <c r="F9" s="729">
        <f t="shared" si="1"/>
        <v>0</v>
      </c>
      <c r="G9" s="729">
        <f t="shared" si="1"/>
        <v>0</v>
      </c>
      <c r="H9" s="730">
        <f>[1]Субсидия_факт!DZ14</f>
        <v>0</v>
      </c>
      <c r="I9" s="731"/>
      <c r="J9" s="729">
        <f t="shared" ref="J9:K11" si="13">H9-L9</f>
        <v>0</v>
      </c>
      <c r="K9" s="729">
        <f t="shared" si="13"/>
        <v>0</v>
      </c>
      <c r="L9" s="732">
        <f>[1]Субсидия_факт!EB14</f>
        <v>0</v>
      </c>
      <c r="M9" s="733"/>
      <c r="N9" s="734">
        <f>[1]Субсидия_факт!LH14</f>
        <v>0</v>
      </c>
      <c r="O9" s="735"/>
      <c r="P9" s="729">
        <f t="shared" ref="P9:Q11" si="14">N9-R9</f>
        <v>0</v>
      </c>
      <c r="Q9" s="729">
        <f t="shared" si="14"/>
        <v>0</v>
      </c>
      <c r="R9" s="732">
        <f t="shared" si="4"/>
        <v>0</v>
      </c>
      <c r="S9" s="732">
        <f t="shared" si="4"/>
        <v>0</v>
      </c>
      <c r="T9" s="730">
        <f>[1]Субсидия_факт!MN14</f>
        <v>0</v>
      </c>
      <c r="U9" s="736"/>
      <c r="V9" s="729">
        <f t="shared" ref="V9:W11" si="15">T9-X9</f>
        <v>0</v>
      </c>
      <c r="W9" s="729">
        <f t="shared" si="15"/>
        <v>0</v>
      </c>
      <c r="X9" s="732">
        <f>[1]Субсидия_факт!MP14</f>
        <v>0</v>
      </c>
      <c r="Y9" s="733"/>
      <c r="Z9" s="730">
        <f>[1]Субсидия_факт!MZ14</f>
        <v>0</v>
      </c>
      <c r="AA9" s="736"/>
      <c r="AB9" s="729">
        <f t="shared" ref="AB9:AC11" si="16">Z9-AD9</f>
        <v>0</v>
      </c>
      <c r="AC9" s="729">
        <f t="shared" si="16"/>
        <v>0</v>
      </c>
      <c r="AD9" s="732">
        <f>[1]Субсидия_факт!NB14</f>
        <v>0</v>
      </c>
      <c r="AE9" s="733"/>
      <c r="AF9" s="730">
        <f>[1]Субсидия_факт!NF14</f>
        <v>0</v>
      </c>
      <c r="AG9" s="736"/>
      <c r="AH9" s="729">
        <f t="shared" ref="AH9:AI11" si="17">AF9-AJ9</f>
        <v>0</v>
      </c>
      <c r="AI9" s="729">
        <f t="shared" si="17"/>
        <v>0</v>
      </c>
      <c r="AJ9" s="732">
        <f>[1]Субсидия_факт!NH14</f>
        <v>0</v>
      </c>
      <c r="AK9" s="733"/>
      <c r="AL9" s="730">
        <f>[1]Субсидия_факт!NN14</f>
        <v>0</v>
      </c>
      <c r="AM9" s="736"/>
      <c r="AN9" s="729">
        <f t="shared" ref="AN9:AO11" si="18">AL9-AP9</f>
        <v>0</v>
      </c>
      <c r="AO9" s="729">
        <f t="shared" si="18"/>
        <v>0</v>
      </c>
      <c r="AP9" s="732">
        <f>[1]Субсидия_факт!NP14</f>
        <v>0</v>
      </c>
      <c r="AQ9" s="733"/>
      <c r="AR9" s="730">
        <f>[1]Субсидия_факт!NT14</f>
        <v>0</v>
      </c>
      <c r="AS9" s="731"/>
      <c r="AT9" s="729">
        <f t="shared" ref="AT9:AU11" si="19">AR9-AV9</f>
        <v>0</v>
      </c>
      <c r="AU9" s="729">
        <f t="shared" si="19"/>
        <v>0</v>
      </c>
      <c r="AV9" s="732">
        <f>[1]Субсидия_факт!NV14</f>
        <v>0</v>
      </c>
      <c r="AW9" s="733"/>
      <c r="AX9" s="730">
        <f>[1]Субсидия_факт!OY14</f>
        <v>0</v>
      </c>
      <c r="AY9" s="731">
        <f>AZ9-'Прочая  субсидия_МР  и  ГО'!BC9</f>
        <v>0</v>
      </c>
      <c r="AZ9" s="766">
        <v>130260.65</v>
      </c>
      <c r="BA9" s="729">
        <f t="shared" ref="BA9:BB11" si="20">AX9-BC9</f>
        <v>0</v>
      </c>
      <c r="BB9" s="729">
        <f t="shared" si="20"/>
        <v>0</v>
      </c>
      <c r="BC9" s="732">
        <f>[1]Субсидия_факт!PA14</f>
        <v>0</v>
      </c>
      <c r="BD9" s="733"/>
      <c r="BE9" s="730">
        <f>[1]Субсидия_факт!PG14</f>
        <v>0</v>
      </c>
      <c r="BF9" s="736"/>
      <c r="BG9" s="729">
        <f t="shared" ref="BG9:BH11" si="21">BE9-BI9</f>
        <v>0</v>
      </c>
      <c r="BH9" s="729">
        <f t="shared" si="21"/>
        <v>0</v>
      </c>
      <c r="BI9" s="732">
        <f>[1]Субсидия_факт!PI14</f>
        <v>0</v>
      </c>
      <c r="BJ9" s="733"/>
      <c r="BK9" s="730">
        <f>[1]Субсидия_факт!PY14</f>
        <v>0</v>
      </c>
      <c r="BL9" s="736"/>
      <c r="BM9" s="729">
        <f t="shared" ref="BM9:BN11" si="22">BK9-BO9</f>
        <v>0</v>
      </c>
      <c r="BN9" s="729">
        <f t="shared" si="22"/>
        <v>0</v>
      </c>
      <c r="BO9" s="732">
        <f>[1]Субсидия_факт!QA14</f>
        <v>0</v>
      </c>
      <c r="BP9" s="733"/>
    </row>
    <row r="10" spans="1:68" s="737" customFormat="1" ht="21" customHeight="1" x14ac:dyDescent="0.25">
      <c r="A10" s="1188" t="s">
        <v>1283</v>
      </c>
      <c r="B10" s="1189">
        <f t="shared" si="0"/>
        <v>0</v>
      </c>
      <c r="C10" s="1189">
        <f t="shared" si="0"/>
        <v>0</v>
      </c>
      <c r="D10" s="729">
        <f t="shared" si="1"/>
        <v>0</v>
      </c>
      <c r="E10" s="729">
        <f t="shared" si="1"/>
        <v>0</v>
      </c>
      <c r="F10" s="729">
        <f t="shared" si="1"/>
        <v>0</v>
      </c>
      <c r="G10" s="729">
        <f t="shared" si="1"/>
        <v>0</v>
      </c>
      <c r="H10" s="730">
        <f>[1]Субсидия_факт!DZ18</f>
        <v>0</v>
      </c>
      <c r="I10" s="731"/>
      <c r="J10" s="729">
        <f t="shared" si="13"/>
        <v>0</v>
      </c>
      <c r="K10" s="729">
        <f t="shared" si="13"/>
        <v>0</v>
      </c>
      <c r="L10" s="732">
        <f>[1]Субсидия_факт!EB18</f>
        <v>0</v>
      </c>
      <c r="M10" s="733"/>
      <c r="N10" s="734">
        <f>[1]Субсидия_факт!LH18</f>
        <v>0</v>
      </c>
      <c r="O10" s="735"/>
      <c r="P10" s="729">
        <f t="shared" si="14"/>
        <v>0</v>
      </c>
      <c r="Q10" s="729">
        <f t="shared" si="14"/>
        <v>0</v>
      </c>
      <c r="R10" s="732">
        <f t="shared" si="4"/>
        <v>0</v>
      </c>
      <c r="S10" s="732">
        <f t="shared" si="4"/>
        <v>0</v>
      </c>
      <c r="T10" s="730">
        <f>[1]Субсидия_факт!MN18</f>
        <v>0</v>
      </c>
      <c r="U10" s="736"/>
      <c r="V10" s="729">
        <f t="shared" si="15"/>
        <v>0</v>
      </c>
      <c r="W10" s="729">
        <f t="shared" si="15"/>
        <v>0</v>
      </c>
      <c r="X10" s="732">
        <f>[1]Субсидия_факт!MP18</f>
        <v>0</v>
      </c>
      <c r="Y10" s="733"/>
      <c r="Z10" s="730">
        <f>[1]Субсидия_факт!MZ18</f>
        <v>0</v>
      </c>
      <c r="AA10" s="736"/>
      <c r="AB10" s="729">
        <f t="shared" si="16"/>
        <v>0</v>
      </c>
      <c r="AC10" s="729">
        <f t="shared" si="16"/>
        <v>0</v>
      </c>
      <c r="AD10" s="732">
        <f>[1]Субсидия_факт!NB18</f>
        <v>0</v>
      </c>
      <c r="AE10" s="733"/>
      <c r="AF10" s="730">
        <f>[1]Субсидия_факт!NF18</f>
        <v>0</v>
      </c>
      <c r="AG10" s="736"/>
      <c r="AH10" s="729">
        <f t="shared" si="17"/>
        <v>0</v>
      </c>
      <c r="AI10" s="729">
        <f t="shared" si="17"/>
        <v>0</v>
      </c>
      <c r="AJ10" s="732">
        <f>[1]Субсидия_факт!NH18</f>
        <v>0</v>
      </c>
      <c r="AK10" s="733"/>
      <c r="AL10" s="730">
        <f>[1]Субсидия_факт!NN18</f>
        <v>0</v>
      </c>
      <c r="AM10" s="736"/>
      <c r="AN10" s="729">
        <f t="shared" si="18"/>
        <v>0</v>
      </c>
      <c r="AO10" s="729">
        <f t="shared" si="18"/>
        <v>0</v>
      </c>
      <c r="AP10" s="732">
        <f>[1]Субсидия_факт!NP18</f>
        <v>0</v>
      </c>
      <c r="AQ10" s="733"/>
      <c r="AR10" s="730">
        <f>[1]Субсидия_факт!NT18</f>
        <v>0</v>
      </c>
      <c r="AS10" s="731"/>
      <c r="AT10" s="729">
        <f t="shared" si="19"/>
        <v>0</v>
      </c>
      <c r="AU10" s="729">
        <f t="shared" si="19"/>
        <v>0</v>
      </c>
      <c r="AV10" s="732">
        <f>[1]Субсидия_факт!NV18</f>
        <v>0</v>
      </c>
      <c r="AW10" s="733"/>
      <c r="AX10" s="730">
        <f>[1]Субсидия_факт!OY18</f>
        <v>0</v>
      </c>
      <c r="AY10" s="731">
        <f>AZ10-'Прочая  субсидия_МР  и  ГО'!BC10</f>
        <v>0</v>
      </c>
      <c r="AZ10" s="766">
        <v>256112.99</v>
      </c>
      <c r="BA10" s="729">
        <f t="shared" si="20"/>
        <v>0</v>
      </c>
      <c r="BB10" s="729">
        <f t="shared" si="20"/>
        <v>0</v>
      </c>
      <c r="BC10" s="732">
        <f>[1]Субсидия_факт!PA18</f>
        <v>0</v>
      </c>
      <c r="BD10" s="733"/>
      <c r="BE10" s="730">
        <f>[1]Субсидия_факт!PG18</f>
        <v>0</v>
      </c>
      <c r="BF10" s="736"/>
      <c r="BG10" s="729">
        <f t="shared" si="21"/>
        <v>0</v>
      </c>
      <c r="BH10" s="729">
        <f t="shared" si="21"/>
        <v>0</v>
      </c>
      <c r="BI10" s="732">
        <f>[1]Субсидия_факт!PI18</f>
        <v>0</v>
      </c>
      <c r="BJ10" s="733"/>
      <c r="BK10" s="730">
        <f>[1]Субсидия_факт!PY18</f>
        <v>0</v>
      </c>
      <c r="BL10" s="736"/>
      <c r="BM10" s="729">
        <f t="shared" si="22"/>
        <v>0</v>
      </c>
      <c r="BN10" s="729">
        <f t="shared" si="22"/>
        <v>0</v>
      </c>
      <c r="BO10" s="732">
        <f>[1]Субсидия_факт!QA18</f>
        <v>0</v>
      </c>
      <c r="BP10" s="733"/>
    </row>
    <row r="11" spans="1:68" s="737" customFormat="1" ht="21" customHeight="1" x14ac:dyDescent="0.25">
      <c r="A11" s="1188" t="s">
        <v>1284</v>
      </c>
      <c r="B11" s="1189">
        <f t="shared" si="0"/>
        <v>0</v>
      </c>
      <c r="C11" s="1189">
        <f t="shared" si="0"/>
        <v>0</v>
      </c>
      <c r="D11" s="729">
        <f t="shared" si="1"/>
        <v>0</v>
      </c>
      <c r="E11" s="729">
        <f t="shared" si="1"/>
        <v>0</v>
      </c>
      <c r="F11" s="729">
        <f t="shared" si="1"/>
        <v>0</v>
      </c>
      <c r="G11" s="729">
        <f t="shared" si="1"/>
        <v>0</v>
      </c>
      <c r="H11" s="730">
        <f>[1]Субсидия_факт!DZ23</f>
        <v>0</v>
      </c>
      <c r="I11" s="731"/>
      <c r="J11" s="729">
        <f t="shared" si="13"/>
        <v>0</v>
      </c>
      <c r="K11" s="729">
        <f t="shared" si="13"/>
        <v>0</v>
      </c>
      <c r="L11" s="732">
        <f>[1]Субсидия_факт!EB23</f>
        <v>0</v>
      </c>
      <c r="M11" s="733"/>
      <c r="N11" s="734">
        <f>[1]Субсидия_факт!LH23</f>
        <v>0</v>
      </c>
      <c r="O11" s="735"/>
      <c r="P11" s="729">
        <f t="shared" si="14"/>
        <v>0</v>
      </c>
      <c r="Q11" s="729">
        <f t="shared" si="14"/>
        <v>0</v>
      </c>
      <c r="R11" s="732">
        <f t="shared" si="4"/>
        <v>0</v>
      </c>
      <c r="S11" s="732">
        <f t="shared" si="4"/>
        <v>0</v>
      </c>
      <c r="T11" s="730">
        <f>[1]Субсидия_факт!MN23</f>
        <v>0</v>
      </c>
      <c r="U11" s="736"/>
      <c r="V11" s="729">
        <f t="shared" si="15"/>
        <v>0</v>
      </c>
      <c r="W11" s="729">
        <f t="shared" si="15"/>
        <v>0</v>
      </c>
      <c r="X11" s="732">
        <f>[1]Субсидия_факт!MP23</f>
        <v>0</v>
      </c>
      <c r="Y11" s="733"/>
      <c r="Z11" s="730">
        <f>[1]Субсидия_факт!MZ23</f>
        <v>0</v>
      </c>
      <c r="AA11" s="736"/>
      <c r="AB11" s="729">
        <f t="shared" si="16"/>
        <v>0</v>
      </c>
      <c r="AC11" s="729">
        <f t="shared" si="16"/>
        <v>0</v>
      </c>
      <c r="AD11" s="732">
        <f>[1]Субсидия_факт!NB23</f>
        <v>0</v>
      </c>
      <c r="AE11" s="733"/>
      <c r="AF11" s="730">
        <f>[1]Субсидия_факт!NF23</f>
        <v>0</v>
      </c>
      <c r="AG11" s="736"/>
      <c r="AH11" s="729">
        <f t="shared" si="17"/>
        <v>0</v>
      </c>
      <c r="AI11" s="729">
        <f t="shared" si="17"/>
        <v>0</v>
      </c>
      <c r="AJ11" s="732">
        <f>[1]Субсидия_факт!NH23</f>
        <v>0</v>
      </c>
      <c r="AK11" s="733"/>
      <c r="AL11" s="730">
        <f>[1]Субсидия_факт!NN23</f>
        <v>0</v>
      </c>
      <c r="AM11" s="736"/>
      <c r="AN11" s="729">
        <f t="shared" si="18"/>
        <v>0</v>
      </c>
      <c r="AO11" s="729">
        <f t="shared" si="18"/>
        <v>0</v>
      </c>
      <c r="AP11" s="732">
        <f>[1]Субсидия_факт!NP23</f>
        <v>0</v>
      </c>
      <c r="AQ11" s="733"/>
      <c r="AR11" s="730">
        <f>[1]Субсидия_факт!NT23</f>
        <v>0</v>
      </c>
      <c r="AS11" s="731"/>
      <c r="AT11" s="729">
        <f t="shared" si="19"/>
        <v>0</v>
      </c>
      <c r="AU11" s="729">
        <f t="shared" si="19"/>
        <v>0</v>
      </c>
      <c r="AV11" s="732">
        <f>[1]Субсидия_факт!NV23</f>
        <v>0</v>
      </c>
      <c r="AW11" s="733"/>
      <c r="AX11" s="730">
        <f>[1]Субсидия_факт!OY23</f>
        <v>0</v>
      </c>
      <c r="AY11" s="731">
        <f>AZ11-'Прочая  субсидия_МР  и  ГО'!BC11</f>
        <v>0</v>
      </c>
      <c r="AZ11" s="1133">
        <v>584147.28</v>
      </c>
      <c r="BA11" s="729">
        <f t="shared" si="20"/>
        <v>0</v>
      </c>
      <c r="BB11" s="729">
        <f t="shared" si="20"/>
        <v>0</v>
      </c>
      <c r="BC11" s="732">
        <f>[1]Субсидия_факт!PA23</f>
        <v>0</v>
      </c>
      <c r="BD11" s="733"/>
      <c r="BE11" s="730">
        <f>[1]Субсидия_факт!PG23</f>
        <v>0</v>
      </c>
      <c r="BF11" s="736"/>
      <c r="BG11" s="729">
        <f t="shared" si="21"/>
        <v>0</v>
      </c>
      <c r="BH11" s="729">
        <f t="shared" si="21"/>
        <v>0</v>
      </c>
      <c r="BI11" s="732">
        <f>[1]Субсидия_факт!PI23</f>
        <v>0</v>
      </c>
      <c r="BJ11" s="733"/>
      <c r="BK11" s="730">
        <f>[1]Субсидия_факт!PY23</f>
        <v>0</v>
      </c>
      <c r="BL11" s="736"/>
      <c r="BM11" s="729">
        <f t="shared" si="22"/>
        <v>0</v>
      </c>
      <c r="BN11" s="729">
        <f t="shared" si="22"/>
        <v>0</v>
      </c>
      <c r="BO11" s="732">
        <f>[1]Субсидия_факт!QA23</f>
        <v>0</v>
      </c>
      <c r="BP11" s="733"/>
    </row>
    <row r="12" spans="1:68" s="737" customFormat="1" ht="21" customHeight="1" x14ac:dyDescent="0.25">
      <c r="A12" s="738" t="s">
        <v>1285</v>
      </c>
      <c r="B12" s="739">
        <f t="shared" ref="B12:C25" si="23">H12+AX12+Z12+AL12+AF12+AR12+BK12+T12+BE12+N12</f>
        <v>93608663.739999995</v>
      </c>
      <c r="C12" s="739">
        <f t="shared" si="23"/>
        <v>63144225.640000001</v>
      </c>
      <c r="D12" s="729">
        <f t="shared" ref="D12:G25" si="24">J12+BA12+AB12+AN12+AH12+AT12+BM12+V12+BG12+P12</f>
        <v>656785.35000000009</v>
      </c>
      <c r="E12" s="729">
        <f t="shared" si="24"/>
        <v>544450.54</v>
      </c>
      <c r="F12" s="729">
        <f t="shared" si="24"/>
        <v>92951878.390000001</v>
      </c>
      <c r="G12" s="729">
        <f t="shared" si="24"/>
        <v>62599775.100000009</v>
      </c>
      <c r="H12" s="730">
        <f>[1]Субсидия_факт!DZ11</f>
        <v>0</v>
      </c>
      <c r="I12" s="731"/>
      <c r="J12" s="729">
        <f t="shared" si="2"/>
        <v>0</v>
      </c>
      <c r="K12" s="729">
        <f t="shared" si="2"/>
        <v>0</v>
      </c>
      <c r="L12" s="732">
        <f>[1]Субсидия_факт!EB11</f>
        <v>0</v>
      </c>
      <c r="M12" s="733"/>
      <c r="N12" s="734">
        <f>[1]Субсидия_факт!LH11</f>
        <v>28102716.829999998</v>
      </c>
      <c r="O12" s="735">
        <v>19668962.129999999</v>
      </c>
      <c r="P12" s="729">
        <f t="shared" si="3"/>
        <v>0</v>
      </c>
      <c r="Q12" s="729">
        <f t="shared" si="3"/>
        <v>0</v>
      </c>
      <c r="R12" s="732">
        <f t="shared" ref="R12:S26" si="25">N12</f>
        <v>28102716.829999998</v>
      </c>
      <c r="S12" s="732">
        <f t="shared" si="25"/>
        <v>19668962.129999999</v>
      </c>
      <c r="T12" s="730">
        <f>[1]Субсидия_факт!MN11</f>
        <v>0</v>
      </c>
      <c r="U12" s="736"/>
      <c r="V12" s="729">
        <f t="shared" si="5"/>
        <v>0</v>
      </c>
      <c r="W12" s="729">
        <f t="shared" si="5"/>
        <v>0</v>
      </c>
      <c r="X12" s="732">
        <f>[1]Субсидия_факт!MP11</f>
        <v>0</v>
      </c>
      <c r="Y12" s="733"/>
      <c r="Z12" s="730">
        <f>[1]Субсидия_факт!MZ11</f>
        <v>0</v>
      </c>
      <c r="AA12" s="736"/>
      <c r="AB12" s="729">
        <f t="shared" si="6"/>
        <v>0</v>
      </c>
      <c r="AC12" s="729">
        <f t="shared" si="6"/>
        <v>0</v>
      </c>
      <c r="AD12" s="732">
        <f>[1]Субсидия_факт!NB11</f>
        <v>0</v>
      </c>
      <c r="AE12" s="733"/>
      <c r="AF12" s="730">
        <f>[1]Субсидия_факт!NF11</f>
        <v>64600000</v>
      </c>
      <c r="AG12" s="736">
        <v>42725208.270000003</v>
      </c>
      <c r="AH12" s="729">
        <f t="shared" si="7"/>
        <v>0</v>
      </c>
      <c r="AI12" s="729">
        <f t="shared" si="7"/>
        <v>0</v>
      </c>
      <c r="AJ12" s="732">
        <f>[1]Субсидия_факт!NH11</f>
        <v>64600000</v>
      </c>
      <c r="AK12" s="1217">
        <f>AG12</f>
        <v>42725208.270000003</v>
      </c>
      <c r="AL12" s="730">
        <f>[1]Субсидия_факт!NN11</f>
        <v>0</v>
      </c>
      <c r="AM12" s="736"/>
      <c r="AN12" s="729">
        <f t="shared" si="8"/>
        <v>0</v>
      </c>
      <c r="AO12" s="729">
        <f t="shared" si="8"/>
        <v>0</v>
      </c>
      <c r="AP12" s="732">
        <f>[1]Субсидия_факт!NP11</f>
        <v>0</v>
      </c>
      <c r="AQ12" s="733"/>
      <c r="AR12" s="730">
        <f>[1]Субсидия_факт!NT11</f>
        <v>0</v>
      </c>
      <c r="AS12" s="731"/>
      <c r="AT12" s="729">
        <f t="shared" si="9"/>
        <v>0</v>
      </c>
      <c r="AU12" s="729">
        <f t="shared" si="9"/>
        <v>0</v>
      </c>
      <c r="AV12" s="732">
        <f>[1]Субсидия_факт!NV11</f>
        <v>0</v>
      </c>
      <c r="AW12" s="733"/>
      <c r="AX12" s="730">
        <f>[1]Субсидия_факт!OY11</f>
        <v>905946.91000000015</v>
      </c>
      <c r="AY12" s="731">
        <f>AZ12-'Прочая  субсидия_МР  и  ГО'!BC12</f>
        <v>750055.24</v>
      </c>
      <c r="AZ12" s="1131">
        <v>1127894.45</v>
      </c>
      <c r="BA12" s="729">
        <f t="shared" si="10"/>
        <v>656785.35000000009</v>
      </c>
      <c r="BB12" s="729">
        <f t="shared" si="10"/>
        <v>544450.54</v>
      </c>
      <c r="BC12" s="732">
        <f>[1]Субсидия_факт!PA11</f>
        <v>249161.56</v>
      </c>
      <c r="BD12" s="733">
        <v>205604.7</v>
      </c>
      <c r="BE12" s="730">
        <f>[1]Субсидия_факт!PG11</f>
        <v>0</v>
      </c>
      <c r="BF12" s="736"/>
      <c r="BG12" s="729">
        <f t="shared" si="11"/>
        <v>0</v>
      </c>
      <c r="BH12" s="729">
        <f t="shared" si="11"/>
        <v>0</v>
      </c>
      <c r="BI12" s="732">
        <f>[1]Субсидия_факт!PI11</f>
        <v>0</v>
      </c>
      <c r="BJ12" s="733"/>
      <c r="BK12" s="730">
        <f>[1]Субсидия_факт!PY11</f>
        <v>0</v>
      </c>
      <c r="BL12" s="736"/>
      <c r="BM12" s="729">
        <f t="shared" si="12"/>
        <v>0</v>
      </c>
      <c r="BN12" s="729">
        <f t="shared" si="12"/>
        <v>0</v>
      </c>
      <c r="BO12" s="732">
        <f>[1]Субсидия_факт!QA11</f>
        <v>0</v>
      </c>
      <c r="BP12" s="733"/>
    </row>
    <row r="13" spans="1:68" s="737" customFormat="1" ht="21" customHeight="1" x14ac:dyDescent="0.25">
      <c r="A13" s="738" t="s">
        <v>1286</v>
      </c>
      <c r="B13" s="739">
        <f t="shared" si="23"/>
        <v>16630851.350000001</v>
      </c>
      <c r="C13" s="739">
        <f t="shared" si="23"/>
        <v>9554861.5199999996</v>
      </c>
      <c r="D13" s="729">
        <f t="shared" si="24"/>
        <v>1115878.1900000002</v>
      </c>
      <c r="E13" s="729">
        <f t="shared" si="24"/>
        <v>556951.18999999994</v>
      </c>
      <c r="F13" s="729">
        <f t="shared" si="24"/>
        <v>15514973.16</v>
      </c>
      <c r="G13" s="729">
        <f t="shared" si="24"/>
        <v>8997910.3300000001</v>
      </c>
      <c r="H13" s="730">
        <f>[1]Субсидия_факт!DZ12</f>
        <v>0</v>
      </c>
      <c r="I13" s="731"/>
      <c r="J13" s="729">
        <f t="shared" si="2"/>
        <v>0</v>
      </c>
      <c r="K13" s="729">
        <f t="shared" si="2"/>
        <v>0</v>
      </c>
      <c r="L13" s="732">
        <f>[1]Субсидия_факт!EB12</f>
        <v>0</v>
      </c>
      <c r="M13" s="733"/>
      <c r="N13" s="734">
        <f>[1]Субсидия_факт!LH12</f>
        <v>14865897.48</v>
      </c>
      <c r="O13" s="735">
        <v>8457381.1999999993</v>
      </c>
      <c r="P13" s="729">
        <f t="shared" si="3"/>
        <v>0</v>
      </c>
      <c r="Q13" s="729">
        <f t="shared" si="3"/>
        <v>0</v>
      </c>
      <c r="R13" s="732">
        <f t="shared" si="25"/>
        <v>14865897.48</v>
      </c>
      <c r="S13" s="732">
        <f t="shared" si="25"/>
        <v>8457381.1999999993</v>
      </c>
      <c r="T13" s="730">
        <f>[1]Субсидия_факт!MN12</f>
        <v>0</v>
      </c>
      <c r="U13" s="736"/>
      <c r="V13" s="729">
        <f t="shared" si="5"/>
        <v>0</v>
      </c>
      <c r="W13" s="729">
        <f t="shared" si="5"/>
        <v>0</v>
      </c>
      <c r="X13" s="732">
        <f>[1]Субсидия_факт!MP12</f>
        <v>0</v>
      </c>
      <c r="Y13" s="733"/>
      <c r="Z13" s="730">
        <f>[1]Субсидия_факт!MZ12</f>
        <v>0</v>
      </c>
      <c r="AA13" s="736"/>
      <c r="AB13" s="729">
        <f t="shared" si="6"/>
        <v>0</v>
      </c>
      <c r="AC13" s="729">
        <f t="shared" si="6"/>
        <v>0</v>
      </c>
      <c r="AD13" s="732">
        <f>[1]Субсидия_факт!NB12</f>
        <v>0</v>
      </c>
      <c r="AE13" s="733"/>
      <c r="AF13" s="730">
        <f>[1]Субсидия_факт!NF12</f>
        <v>861801.60000000009</v>
      </c>
      <c r="AG13" s="736">
        <v>364738.26</v>
      </c>
      <c r="AH13" s="729">
        <f t="shared" si="7"/>
        <v>861801.60000000009</v>
      </c>
      <c r="AI13" s="729">
        <f t="shared" si="7"/>
        <v>364738.26</v>
      </c>
      <c r="AJ13" s="732">
        <f>[1]Субсидия_факт!NH12</f>
        <v>0</v>
      </c>
      <c r="AK13" s="733"/>
      <c r="AL13" s="730">
        <f>[1]Субсидия_факт!NN12</f>
        <v>0</v>
      </c>
      <c r="AM13" s="736"/>
      <c r="AN13" s="729">
        <f t="shared" si="8"/>
        <v>0</v>
      </c>
      <c r="AO13" s="729">
        <f t="shared" si="8"/>
        <v>0</v>
      </c>
      <c r="AP13" s="732">
        <f>[1]Субсидия_факт!NP12</f>
        <v>0</v>
      </c>
      <c r="AQ13" s="733"/>
      <c r="AR13" s="730">
        <f>[1]Субсидия_факт!NT12</f>
        <v>649075.68000000005</v>
      </c>
      <c r="AS13" s="736">
        <v>540529.13</v>
      </c>
      <c r="AT13" s="729">
        <f t="shared" si="9"/>
        <v>0</v>
      </c>
      <c r="AU13" s="729">
        <f t="shared" si="9"/>
        <v>0</v>
      </c>
      <c r="AV13" s="732">
        <f>[1]Субсидия_факт!NV12</f>
        <v>649075.68000000005</v>
      </c>
      <c r="AW13" s="1217">
        <f>AS13</f>
        <v>540529.13</v>
      </c>
      <c r="AX13" s="730">
        <f>[1]Субсидия_факт!OY12</f>
        <v>254076.59</v>
      </c>
      <c r="AY13" s="731">
        <f>AZ13-'Прочая  субсидия_МР  и  ГО'!BC13</f>
        <v>192212.93</v>
      </c>
      <c r="AZ13" s="766">
        <v>466537.41</v>
      </c>
      <c r="BA13" s="729">
        <f t="shared" si="10"/>
        <v>254076.59</v>
      </c>
      <c r="BB13" s="729">
        <f t="shared" si="10"/>
        <v>192212.93</v>
      </c>
      <c r="BC13" s="732">
        <f>[1]Субсидия_факт!PA12</f>
        <v>0</v>
      </c>
      <c r="BD13" s="733"/>
      <c r="BE13" s="730">
        <f>[1]Субсидия_факт!PG12</f>
        <v>0</v>
      </c>
      <c r="BF13" s="736"/>
      <c r="BG13" s="729">
        <f t="shared" si="11"/>
        <v>0</v>
      </c>
      <c r="BH13" s="729">
        <f t="shared" si="11"/>
        <v>0</v>
      </c>
      <c r="BI13" s="732">
        <f>[1]Субсидия_факт!PI12</f>
        <v>0</v>
      </c>
      <c r="BJ13" s="733"/>
      <c r="BK13" s="730">
        <f>[1]Субсидия_факт!PY12</f>
        <v>0</v>
      </c>
      <c r="BL13" s="736"/>
      <c r="BM13" s="729">
        <f t="shared" si="12"/>
        <v>0</v>
      </c>
      <c r="BN13" s="729">
        <f t="shared" si="12"/>
        <v>0</v>
      </c>
      <c r="BO13" s="732">
        <f>[1]Субсидия_факт!QA12</f>
        <v>0</v>
      </c>
      <c r="BP13" s="733"/>
    </row>
    <row r="14" spans="1:68" s="737" customFormat="1" ht="21" customHeight="1" x14ac:dyDescent="0.25">
      <c r="A14" s="738" t="s">
        <v>1287</v>
      </c>
      <c r="B14" s="739">
        <f t="shared" si="23"/>
        <v>2055586.06</v>
      </c>
      <c r="C14" s="739">
        <f t="shared" si="23"/>
        <v>1908471.22</v>
      </c>
      <c r="D14" s="729">
        <f t="shared" si="24"/>
        <v>2055586.06</v>
      </c>
      <c r="E14" s="729">
        <f t="shared" si="24"/>
        <v>1908471.22</v>
      </c>
      <c r="F14" s="729">
        <f t="shared" si="24"/>
        <v>0</v>
      </c>
      <c r="G14" s="729">
        <f t="shared" si="24"/>
        <v>0</v>
      </c>
      <c r="H14" s="730">
        <f>[1]Субсидия_факт!DZ13</f>
        <v>0</v>
      </c>
      <c r="I14" s="731"/>
      <c r="J14" s="729">
        <f t="shared" si="2"/>
        <v>0</v>
      </c>
      <c r="K14" s="729">
        <f t="shared" si="2"/>
        <v>0</v>
      </c>
      <c r="L14" s="732">
        <f>[1]Субсидия_факт!EB13</f>
        <v>0</v>
      </c>
      <c r="M14" s="733"/>
      <c r="N14" s="734">
        <f>[1]Субсидия_факт!LH13</f>
        <v>0</v>
      </c>
      <c r="O14" s="735"/>
      <c r="P14" s="729">
        <f t="shared" si="3"/>
        <v>0</v>
      </c>
      <c r="Q14" s="729">
        <f t="shared" si="3"/>
        <v>0</v>
      </c>
      <c r="R14" s="732">
        <f t="shared" si="25"/>
        <v>0</v>
      </c>
      <c r="S14" s="732">
        <f t="shared" si="25"/>
        <v>0</v>
      </c>
      <c r="T14" s="730">
        <f>[1]Субсидия_факт!MN13</f>
        <v>0</v>
      </c>
      <c r="U14" s="736"/>
      <c r="V14" s="729">
        <f t="shared" si="5"/>
        <v>0</v>
      </c>
      <c r="W14" s="729">
        <f t="shared" si="5"/>
        <v>0</v>
      </c>
      <c r="X14" s="732">
        <f>[1]Субсидия_факт!MP13</f>
        <v>0</v>
      </c>
      <c r="Y14" s="733"/>
      <c r="Z14" s="730">
        <f>[1]Субсидия_факт!MZ13</f>
        <v>0</v>
      </c>
      <c r="AA14" s="736"/>
      <c r="AB14" s="729">
        <f t="shared" si="6"/>
        <v>0</v>
      </c>
      <c r="AC14" s="729">
        <f t="shared" si="6"/>
        <v>0</v>
      </c>
      <c r="AD14" s="732">
        <f>[1]Субсидия_факт!NB13</f>
        <v>0</v>
      </c>
      <c r="AE14" s="733"/>
      <c r="AF14" s="730">
        <f>[1]Субсидия_факт!NF13</f>
        <v>1632199.98</v>
      </c>
      <c r="AG14" s="736">
        <v>1632199.98</v>
      </c>
      <c r="AH14" s="729">
        <f t="shared" si="7"/>
        <v>1632199.98</v>
      </c>
      <c r="AI14" s="729">
        <f t="shared" si="7"/>
        <v>1632199.98</v>
      </c>
      <c r="AJ14" s="732">
        <f>[1]Субсидия_факт!NH13</f>
        <v>0</v>
      </c>
      <c r="AK14" s="733"/>
      <c r="AL14" s="730">
        <f>[1]Субсидия_факт!NN13</f>
        <v>0</v>
      </c>
      <c r="AM14" s="736"/>
      <c r="AN14" s="729">
        <f t="shared" si="8"/>
        <v>0</v>
      </c>
      <c r="AO14" s="729">
        <f t="shared" si="8"/>
        <v>0</v>
      </c>
      <c r="AP14" s="732">
        <f>[1]Субсидия_факт!NP13</f>
        <v>0</v>
      </c>
      <c r="AQ14" s="733"/>
      <c r="AR14" s="730">
        <f>[1]Субсидия_факт!NT13</f>
        <v>0</v>
      </c>
      <c r="AS14" s="731"/>
      <c r="AT14" s="729">
        <f t="shared" si="9"/>
        <v>0</v>
      </c>
      <c r="AU14" s="729">
        <f t="shared" si="9"/>
        <v>0</v>
      </c>
      <c r="AV14" s="732">
        <f>[1]Субсидия_факт!NV13</f>
        <v>0</v>
      </c>
      <c r="AW14" s="733"/>
      <c r="AX14" s="730">
        <f>[1]Субсидия_факт!OY13</f>
        <v>423386.08000000007</v>
      </c>
      <c r="AY14" s="731">
        <f>AZ14-'Прочая  субсидия_МР  и  ГО'!BC14</f>
        <v>276271.24</v>
      </c>
      <c r="AZ14" s="766">
        <v>504406.52</v>
      </c>
      <c r="BA14" s="729">
        <f t="shared" si="10"/>
        <v>423386.08000000007</v>
      </c>
      <c r="BB14" s="729">
        <f t="shared" si="10"/>
        <v>276271.24</v>
      </c>
      <c r="BC14" s="732">
        <f>[1]Субсидия_факт!PA13</f>
        <v>0</v>
      </c>
      <c r="BD14" s="733"/>
      <c r="BE14" s="730">
        <f>[1]Субсидия_факт!PG13</f>
        <v>0</v>
      </c>
      <c r="BF14" s="736"/>
      <c r="BG14" s="729">
        <f t="shared" si="11"/>
        <v>0</v>
      </c>
      <c r="BH14" s="729">
        <f t="shared" si="11"/>
        <v>0</v>
      </c>
      <c r="BI14" s="732">
        <f>[1]Субсидия_факт!PI13</f>
        <v>0</v>
      </c>
      <c r="BJ14" s="733"/>
      <c r="BK14" s="730">
        <f>[1]Субсидия_факт!PY13</f>
        <v>0</v>
      </c>
      <c r="BL14" s="736"/>
      <c r="BM14" s="729">
        <f t="shared" si="12"/>
        <v>0</v>
      </c>
      <c r="BN14" s="729">
        <f t="shared" si="12"/>
        <v>0</v>
      </c>
      <c r="BO14" s="732">
        <f>[1]Субсидия_факт!QA13</f>
        <v>0</v>
      </c>
      <c r="BP14" s="733"/>
    </row>
    <row r="15" spans="1:68" s="737" customFormat="1" ht="21" customHeight="1" x14ac:dyDescent="0.25">
      <c r="A15" s="738" t="s">
        <v>1288</v>
      </c>
      <c r="B15" s="739">
        <f t="shared" si="23"/>
        <v>249832.9</v>
      </c>
      <c r="C15" s="739">
        <f t="shared" si="23"/>
        <v>160121.23000000001</v>
      </c>
      <c r="D15" s="729">
        <f t="shared" si="24"/>
        <v>249832.9</v>
      </c>
      <c r="E15" s="729">
        <f t="shared" si="24"/>
        <v>160121.23000000001</v>
      </c>
      <c r="F15" s="729">
        <f t="shared" si="24"/>
        <v>0</v>
      </c>
      <c r="G15" s="729">
        <f t="shared" si="24"/>
        <v>0</v>
      </c>
      <c r="H15" s="730">
        <f>[1]Субсидия_факт!DZ15</f>
        <v>0</v>
      </c>
      <c r="I15" s="731"/>
      <c r="J15" s="729">
        <f t="shared" si="2"/>
        <v>0</v>
      </c>
      <c r="K15" s="729">
        <f t="shared" si="2"/>
        <v>0</v>
      </c>
      <c r="L15" s="732">
        <f>[1]Субсидия_факт!EB15</f>
        <v>0</v>
      </c>
      <c r="M15" s="733"/>
      <c r="N15" s="734">
        <f>[1]Субсидия_факт!LH15</f>
        <v>0</v>
      </c>
      <c r="O15" s="735"/>
      <c r="P15" s="729">
        <f t="shared" si="3"/>
        <v>0</v>
      </c>
      <c r="Q15" s="729">
        <f t="shared" si="3"/>
        <v>0</v>
      </c>
      <c r="R15" s="732">
        <f t="shared" si="25"/>
        <v>0</v>
      </c>
      <c r="S15" s="732">
        <f t="shared" si="25"/>
        <v>0</v>
      </c>
      <c r="T15" s="730">
        <f>[1]Субсидия_факт!MN15</f>
        <v>0</v>
      </c>
      <c r="U15" s="736"/>
      <c r="V15" s="729">
        <f t="shared" si="5"/>
        <v>0</v>
      </c>
      <c r="W15" s="729">
        <f t="shared" si="5"/>
        <v>0</v>
      </c>
      <c r="X15" s="732">
        <f>[1]Субсидия_факт!MP15</f>
        <v>0</v>
      </c>
      <c r="Y15" s="733"/>
      <c r="Z15" s="730">
        <f>[1]Субсидия_факт!MZ15</f>
        <v>0</v>
      </c>
      <c r="AA15" s="736"/>
      <c r="AB15" s="729">
        <f t="shared" si="6"/>
        <v>0</v>
      </c>
      <c r="AC15" s="729">
        <f t="shared" si="6"/>
        <v>0</v>
      </c>
      <c r="AD15" s="732">
        <f>[1]Субсидия_факт!NB15</f>
        <v>0</v>
      </c>
      <c r="AE15" s="733"/>
      <c r="AF15" s="730">
        <f>[1]Субсидия_факт!NF15</f>
        <v>0</v>
      </c>
      <c r="AG15" s="736"/>
      <c r="AH15" s="729">
        <f t="shared" si="7"/>
        <v>0</v>
      </c>
      <c r="AI15" s="729">
        <f t="shared" si="7"/>
        <v>0</v>
      </c>
      <c r="AJ15" s="732">
        <f>[1]Субсидия_факт!NH15</f>
        <v>0</v>
      </c>
      <c r="AK15" s="733"/>
      <c r="AL15" s="730">
        <f>[1]Субсидия_факт!NN15</f>
        <v>0</v>
      </c>
      <c r="AM15" s="736"/>
      <c r="AN15" s="729">
        <f t="shared" si="8"/>
        <v>0</v>
      </c>
      <c r="AO15" s="729">
        <f t="shared" si="8"/>
        <v>0</v>
      </c>
      <c r="AP15" s="732">
        <f>[1]Субсидия_факт!NP15</f>
        <v>0</v>
      </c>
      <c r="AQ15" s="733"/>
      <c r="AR15" s="730">
        <f>[1]Субсидия_факт!NT15</f>
        <v>0</v>
      </c>
      <c r="AS15" s="731"/>
      <c r="AT15" s="729">
        <f t="shared" si="9"/>
        <v>0</v>
      </c>
      <c r="AU15" s="729">
        <f t="shared" si="9"/>
        <v>0</v>
      </c>
      <c r="AV15" s="732">
        <f>[1]Субсидия_факт!NV15</f>
        <v>0</v>
      </c>
      <c r="AW15" s="733"/>
      <c r="AX15" s="730">
        <f>[1]Субсидия_факт!OY15</f>
        <v>249832.9</v>
      </c>
      <c r="AY15" s="731">
        <f>AZ15-'Прочая  субсидия_МР  и  ГО'!BC15</f>
        <v>160121.23000000001</v>
      </c>
      <c r="AZ15" s="766">
        <v>319293.71000000002</v>
      </c>
      <c r="BA15" s="729">
        <f t="shared" si="10"/>
        <v>249832.9</v>
      </c>
      <c r="BB15" s="729">
        <f t="shared" si="10"/>
        <v>160121.23000000001</v>
      </c>
      <c r="BC15" s="732">
        <f>[1]Субсидия_факт!PA15</f>
        <v>0</v>
      </c>
      <c r="BD15" s="733"/>
      <c r="BE15" s="730">
        <f>[1]Субсидия_факт!PG15</f>
        <v>0</v>
      </c>
      <c r="BF15" s="736"/>
      <c r="BG15" s="729">
        <f t="shared" si="11"/>
        <v>0</v>
      </c>
      <c r="BH15" s="729">
        <f t="shared" si="11"/>
        <v>0</v>
      </c>
      <c r="BI15" s="732">
        <f>[1]Субсидия_факт!PI15</f>
        <v>0</v>
      </c>
      <c r="BJ15" s="733"/>
      <c r="BK15" s="730">
        <f>[1]Субсидия_факт!PY15</f>
        <v>0</v>
      </c>
      <c r="BL15" s="736"/>
      <c r="BM15" s="729">
        <f t="shared" si="12"/>
        <v>0</v>
      </c>
      <c r="BN15" s="729">
        <f t="shared" si="12"/>
        <v>0</v>
      </c>
      <c r="BO15" s="732">
        <f>[1]Субсидия_факт!QA15</f>
        <v>0</v>
      </c>
      <c r="BP15" s="733"/>
    </row>
    <row r="16" spans="1:68" s="737" customFormat="1" ht="21" customHeight="1" x14ac:dyDescent="0.25">
      <c r="A16" s="738" t="s">
        <v>1289</v>
      </c>
      <c r="B16" s="739">
        <f t="shared" si="23"/>
        <v>519342.66000000003</v>
      </c>
      <c r="C16" s="739">
        <f t="shared" si="23"/>
        <v>446619.26999999996</v>
      </c>
      <c r="D16" s="729">
        <f t="shared" si="24"/>
        <v>519342.66000000003</v>
      </c>
      <c r="E16" s="729">
        <f t="shared" si="24"/>
        <v>446619.26999999996</v>
      </c>
      <c r="F16" s="729">
        <f t="shared" si="24"/>
        <v>0</v>
      </c>
      <c r="G16" s="729">
        <f t="shared" si="24"/>
        <v>0</v>
      </c>
      <c r="H16" s="730">
        <f>[1]Субсидия_факт!DZ16</f>
        <v>0</v>
      </c>
      <c r="I16" s="731"/>
      <c r="J16" s="729">
        <f t="shared" si="2"/>
        <v>0</v>
      </c>
      <c r="K16" s="729">
        <f t="shared" si="2"/>
        <v>0</v>
      </c>
      <c r="L16" s="732">
        <f>[1]Субсидия_факт!EB16</f>
        <v>0</v>
      </c>
      <c r="M16" s="733"/>
      <c r="N16" s="734">
        <f>[1]Субсидия_факт!LH16</f>
        <v>0</v>
      </c>
      <c r="O16" s="735"/>
      <c r="P16" s="729">
        <f t="shared" si="3"/>
        <v>0</v>
      </c>
      <c r="Q16" s="729">
        <f t="shared" si="3"/>
        <v>0</v>
      </c>
      <c r="R16" s="732">
        <f t="shared" si="25"/>
        <v>0</v>
      </c>
      <c r="S16" s="732">
        <f t="shared" si="25"/>
        <v>0</v>
      </c>
      <c r="T16" s="730">
        <f>[1]Субсидия_факт!MN16</f>
        <v>0</v>
      </c>
      <c r="U16" s="736"/>
      <c r="V16" s="729">
        <f t="shared" si="5"/>
        <v>0</v>
      </c>
      <c r="W16" s="729">
        <f t="shared" si="5"/>
        <v>0</v>
      </c>
      <c r="X16" s="732">
        <f>[1]Субсидия_факт!MP16</f>
        <v>0</v>
      </c>
      <c r="Y16" s="733"/>
      <c r="Z16" s="730">
        <f>[1]Субсидия_факт!MZ16</f>
        <v>0</v>
      </c>
      <c r="AA16" s="736"/>
      <c r="AB16" s="729">
        <f t="shared" si="6"/>
        <v>0</v>
      </c>
      <c r="AC16" s="729">
        <f t="shared" si="6"/>
        <v>0</v>
      </c>
      <c r="AD16" s="732">
        <f>[1]Субсидия_факт!NB16</f>
        <v>0</v>
      </c>
      <c r="AE16" s="733"/>
      <c r="AF16" s="730">
        <f>[1]Субсидия_факт!NF16</f>
        <v>0</v>
      </c>
      <c r="AG16" s="736"/>
      <c r="AH16" s="729">
        <f t="shared" si="7"/>
        <v>0</v>
      </c>
      <c r="AI16" s="729">
        <f t="shared" si="7"/>
        <v>0</v>
      </c>
      <c r="AJ16" s="732">
        <f>[1]Субсидия_факт!NH16</f>
        <v>0</v>
      </c>
      <c r="AK16" s="733"/>
      <c r="AL16" s="730">
        <f>[1]Субсидия_факт!NN16</f>
        <v>0</v>
      </c>
      <c r="AM16" s="736"/>
      <c r="AN16" s="729">
        <f t="shared" si="8"/>
        <v>0</v>
      </c>
      <c r="AO16" s="729">
        <f t="shared" si="8"/>
        <v>0</v>
      </c>
      <c r="AP16" s="732">
        <f>[1]Субсидия_факт!NP16</f>
        <v>0</v>
      </c>
      <c r="AQ16" s="733"/>
      <c r="AR16" s="730">
        <f>[1]Субсидия_факт!NT16</f>
        <v>0</v>
      </c>
      <c r="AS16" s="731"/>
      <c r="AT16" s="729">
        <f t="shared" si="9"/>
        <v>0</v>
      </c>
      <c r="AU16" s="729">
        <f t="shared" si="9"/>
        <v>0</v>
      </c>
      <c r="AV16" s="732">
        <f>[1]Субсидия_факт!NV16</f>
        <v>0</v>
      </c>
      <c r="AW16" s="733"/>
      <c r="AX16" s="730">
        <f>[1]Субсидия_факт!OY16</f>
        <v>519342.66000000003</v>
      </c>
      <c r="AY16" s="731">
        <f>AZ16-'Прочая  субсидия_МР  и  ГО'!BC16</f>
        <v>446619.26999999996</v>
      </c>
      <c r="AZ16" s="1129">
        <v>663075.46</v>
      </c>
      <c r="BA16" s="729">
        <f t="shared" si="10"/>
        <v>519342.66000000003</v>
      </c>
      <c r="BB16" s="729">
        <f t="shared" si="10"/>
        <v>446619.26999999996</v>
      </c>
      <c r="BC16" s="732">
        <f>[1]Субсидия_факт!PA16</f>
        <v>0</v>
      </c>
      <c r="BD16" s="733"/>
      <c r="BE16" s="730">
        <f>[1]Субсидия_факт!PG16</f>
        <v>0</v>
      </c>
      <c r="BF16" s="736"/>
      <c r="BG16" s="729">
        <f t="shared" si="11"/>
        <v>0</v>
      </c>
      <c r="BH16" s="729">
        <f t="shared" si="11"/>
        <v>0</v>
      </c>
      <c r="BI16" s="732">
        <f>[1]Субсидия_факт!PI16</f>
        <v>0</v>
      </c>
      <c r="BJ16" s="733"/>
      <c r="BK16" s="730">
        <f>[1]Субсидия_факт!PY16</f>
        <v>0</v>
      </c>
      <c r="BL16" s="736"/>
      <c r="BM16" s="729">
        <f t="shared" si="12"/>
        <v>0</v>
      </c>
      <c r="BN16" s="729">
        <f t="shared" si="12"/>
        <v>0</v>
      </c>
      <c r="BO16" s="732">
        <f>[1]Субсидия_факт!QA16</f>
        <v>0</v>
      </c>
      <c r="BP16" s="733"/>
    </row>
    <row r="17" spans="1:68" s="737" customFormat="1" ht="21" customHeight="1" x14ac:dyDescent="0.25">
      <c r="A17" s="738" t="s">
        <v>1290</v>
      </c>
      <c r="B17" s="739">
        <f t="shared" si="23"/>
        <v>12061271.58</v>
      </c>
      <c r="C17" s="739">
        <f t="shared" si="23"/>
        <v>4856306.6100000003</v>
      </c>
      <c r="D17" s="729">
        <f t="shared" si="24"/>
        <v>236608.62</v>
      </c>
      <c r="E17" s="729">
        <f t="shared" si="24"/>
        <v>169318.28</v>
      </c>
      <c r="F17" s="729">
        <f t="shared" si="24"/>
        <v>11824662.960000001</v>
      </c>
      <c r="G17" s="729">
        <f t="shared" si="24"/>
        <v>4686988.33</v>
      </c>
      <c r="H17" s="730">
        <f>[1]Субсидия_факт!DZ17</f>
        <v>0</v>
      </c>
      <c r="I17" s="731"/>
      <c r="J17" s="729">
        <f t="shared" si="2"/>
        <v>0</v>
      </c>
      <c r="K17" s="729">
        <f t="shared" si="2"/>
        <v>0</v>
      </c>
      <c r="L17" s="732">
        <f>[1]Субсидия_факт!EB17</f>
        <v>0</v>
      </c>
      <c r="M17" s="733"/>
      <c r="N17" s="734">
        <f>[1]Субсидия_факт!LH17</f>
        <v>11759322.82</v>
      </c>
      <c r="O17" s="735">
        <v>4638166.1500000004</v>
      </c>
      <c r="P17" s="729">
        <f t="shared" si="3"/>
        <v>0</v>
      </c>
      <c r="Q17" s="729">
        <f t="shared" si="3"/>
        <v>0</v>
      </c>
      <c r="R17" s="732">
        <f t="shared" si="25"/>
        <v>11759322.82</v>
      </c>
      <c r="S17" s="732">
        <f t="shared" si="25"/>
        <v>4638166.1500000004</v>
      </c>
      <c r="T17" s="730">
        <f>[1]Субсидия_факт!MN17</f>
        <v>0</v>
      </c>
      <c r="U17" s="736"/>
      <c r="V17" s="729">
        <f t="shared" si="5"/>
        <v>0</v>
      </c>
      <c r="W17" s="729">
        <f t="shared" si="5"/>
        <v>0</v>
      </c>
      <c r="X17" s="732">
        <f>[1]Субсидия_факт!MP17</f>
        <v>0</v>
      </c>
      <c r="Y17" s="733"/>
      <c r="Z17" s="730">
        <f>[1]Субсидия_факт!MZ17</f>
        <v>0</v>
      </c>
      <c r="AA17" s="736"/>
      <c r="AB17" s="729">
        <f t="shared" si="6"/>
        <v>0</v>
      </c>
      <c r="AC17" s="729">
        <f t="shared" si="6"/>
        <v>0</v>
      </c>
      <c r="AD17" s="732">
        <f>[1]Субсидия_факт!NB17</f>
        <v>0</v>
      </c>
      <c r="AE17" s="733"/>
      <c r="AF17" s="730">
        <f>[1]Субсидия_факт!NF17</f>
        <v>0</v>
      </c>
      <c r="AG17" s="736"/>
      <c r="AH17" s="729">
        <f t="shared" si="7"/>
        <v>0</v>
      </c>
      <c r="AI17" s="729">
        <f t="shared" si="7"/>
        <v>0</v>
      </c>
      <c r="AJ17" s="732">
        <f>[1]Субсидия_факт!NH17</f>
        <v>0</v>
      </c>
      <c r="AK17" s="733"/>
      <c r="AL17" s="730">
        <f>[1]Субсидия_факт!NN17</f>
        <v>0</v>
      </c>
      <c r="AM17" s="736"/>
      <c r="AN17" s="729">
        <f t="shared" si="8"/>
        <v>0</v>
      </c>
      <c r="AO17" s="729">
        <f t="shared" si="8"/>
        <v>0</v>
      </c>
      <c r="AP17" s="732">
        <f>[1]Субсидия_факт!NP17</f>
        <v>0</v>
      </c>
      <c r="AQ17" s="733"/>
      <c r="AR17" s="730">
        <f>[1]Субсидия_факт!NT17</f>
        <v>0</v>
      </c>
      <c r="AS17" s="731"/>
      <c r="AT17" s="729">
        <f t="shared" si="9"/>
        <v>0</v>
      </c>
      <c r="AU17" s="729">
        <f t="shared" si="9"/>
        <v>0</v>
      </c>
      <c r="AV17" s="732">
        <f>[1]Субсидия_факт!NV17</f>
        <v>0</v>
      </c>
      <c r="AW17" s="733"/>
      <c r="AX17" s="730">
        <f>[1]Субсидия_факт!OY17</f>
        <v>301948.76</v>
      </c>
      <c r="AY17" s="731">
        <f>AZ17-'Прочая  субсидия_МР  и  ГО'!BC17</f>
        <v>218140.46</v>
      </c>
      <c r="AZ17" s="766">
        <v>225404.34</v>
      </c>
      <c r="BA17" s="729">
        <f t="shared" si="10"/>
        <v>236608.62</v>
      </c>
      <c r="BB17" s="729">
        <f t="shared" si="10"/>
        <v>169318.28</v>
      </c>
      <c r="BC17" s="732">
        <f>[1]Субсидия_факт!PA17</f>
        <v>65340.14</v>
      </c>
      <c r="BD17" s="733">
        <v>48822.18</v>
      </c>
      <c r="BE17" s="730">
        <f>[1]Субсидия_факт!PG17</f>
        <v>0</v>
      </c>
      <c r="BF17" s="736"/>
      <c r="BG17" s="729">
        <f t="shared" si="11"/>
        <v>0</v>
      </c>
      <c r="BH17" s="729">
        <f t="shared" si="11"/>
        <v>0</v>
      </c>
      <c r="BI17" s="732">
        <f>[1]Субсидия_факт!PI17</f>
        <v>0</v>
      </c>
      <c r="BJ17" s="733"/>
      <c r="BK17" s="730">
        <f>[1]Субсидия_факт!PY17</f>
        <v>0</v>
      </c>
      <c r="BL17" s="736"/>
      <c r="BM17" s="729">
        <f t="shared" si="12"/>
        <v>0</v>
      </c>
      <c r="BN17" s="729">
        <f t="shared" si="12"/>
        <v>0</v>
      </c>
      <c r="BO17" s="732">
        <f>[1]Субсидия_факт!QA17</f>
        <v>0</v>
      </c>
      <c r="BP17" s="733"/>
    </row>
    <row r="18" spans="1:68" s="737" customFormat="1" ht="21" customHeight="1" x14ac:dyDescent="0.25">
      <c r="A18" s="738" t="s">
        <v>1291</v>
      </c>
      <c r="B18" s="739">
        <f t="shared" si="23"/>
        <v>1263524.3900000001</v>
      </c>
      <c r="C18" s="739">
        <f t="shared" si="23"/>
        <v>1192722.8500000001</v>
      </c>
      <c r="D18" s="729">
        <f t="shared" si="24"/>
        <v>1263524.3900000001</v>
      </c>
      <c r="E18" s="729">
        <f t="shared" si="24"/>
        <v>1192722.8500000001</v>
      </c>
      <c r="F18" s="729">
        <f t="shared" si="24"/>
        <v>0</v>
      </c>
      <c r="G18" s="729">
        <f t="shared" si="24"/>
        <v>0</v>
      </c>
      <c r="H18" s="730">
        <f>[1]Субсидия_факт!DZ19</f>
        <v>0</v>
      </c>
      <c r="I18" s="731"/>
      <c r="J18" s="729">
        <f t="shared" si="2"/>
        <v>0</v>
      </c>
      <c r="K18" s="729">
        <f t="shared" si="2"/>
        <v>0</v>
      </c>
      <c r="L18" s="732">
        <f>[1]Субсидия_факт!EB19</f>
        <v>0</v>
      </c>
      <c r="M18" s="733"/>
      <c r="N18" s="734">
        <f>[1]Субсидия_факт!LH19</f>
        <v>0</v>
      </c>
      <c r="O18" s="735"/>
      <c r="P18" s="729">
        <f t="shared" si="3"/>
        <v>0</v>
      </c>
      <c r="Q18" s="729">
        <f t="shared" si="3"/>
        <v>0</v>
      </c>
      <c r="R18" s="732">
        <f t="shared" si="25"/>
        <v>0</v>
      </c>
      <c r="S18" s="732">
        <f t="shared" si="25"/>
        <v>0</v>
      </c>
      <c r="T18" s="730">
        <f>[1]Субсидия_факт!MN19</f>
        <v>0</v>
      </c>
      <c r="U18" s="736"/>
      <c r="V18" s="729">
        <f t="shared" si="5"/>
        <v>0</v>
      </c>
      <c r="W18" s="729">
        <f t="shared" si="5"/>
        <v>0</v>
      </c>
      <c r="X18" s="732">
        <f>[1]Субсидия_факт!MP19</f>
        <v>0</v>
      </c>
      <c r="Y18" s="733"/>
      <c r="Z18" s="730">
        <f>[1]Субсидия_факт!MZ19</f>
        <v>0</v>
      </c>
      <c r="AA18" s="736"/>
      <c r="AB18" s="729">
        <f t="shared" si="6"/>
        <v>0</v>
      </c>
      <c r="AC18" s="729">
        <f t="shared" si="6"/>
        <v>0</v>
      </c>
      <c r="AD18" s="732">
        <f>[1]Субсидия_факт!NB19</f>
        <v>0</v>
      </c>
      <c r="AE18" s="733"/>
      <c r="AF18" s="730">
        <f>[1]Субсидия_факт!NF19</f>
        <v>1048798.08</v>
      </c>
      <c r="AG18" s="736">
        <v>1048798.08</v>
      </c>
      <c r="AH18" s="729">
        <f t="shared" si="7"/>
        <v>1048798.08</v>
      </c>
      <c r="AI18" s="729">
        <f t="shared" si="7"/>
        <v>1048798.08</v>
      </c>
      <c r="AJ18" s="732">
        <f>[1]Субсидия_факт!NH19</f>
        <v>0</v>
      </c>
      <c r="AK18" s="733"/>
      <c r="AL18" s="730">
        <f>[1]Субсидия_факт!NN19</f>
        <v>0</v>
      </c>
      <c r="AM18" s="736"/>
      <c r="AN18" s="729">
        <f t="shared" si="8"/>
        <v>0</v>
      </c>
      <c r="AO18" s="729">
        <f t="shared" si="8"/>
        <v>0</v>
      </c>
      <c r="AP18" s="732">
        <f>[1]Субсидия_факт!NP19</f>
        <v>0</v>
      </c>
      <c r="AQ18" s="733"/>
      <c r="AR18" s="730">
        <f>[1]Субсидия_факт!NT19</f>
        <v>0</v>
      </c>
      <c r="AS18" s="731"/>
      <c r="AT18" s="729">
        <f t="shared" si="9"/>
        <v>0</v>
      </c>
      <c r="AU18" s="729">
        <f t="shared" si="9"/>
        <v>0</v>
      </c>
      <c r="AV18" s="732">
        <f>[1]Субсидия_факт!NV19</f>
        <v>0</v>
      </c>
      <c r="AW18" s="733"/>
      <c r="AX18" s="730">
        <f>[1]Субсидия_факт!OY19</f>
        <v>214726.30999999997</v>
      </c>
      <c r="AY18" s="731">
        <f>AZ18-'Прочая  субсидия_МР  и  ГО'!BC18</f>
        <v>143924.76999999999</v>
      </c>
      <c r="AZ18" s="766">
        <v>353981.55</v>
      </c>
      <c r="BA18" s="729">
        <f t="shared" si="10"/>
        <v>214726.30999999997</v>
      </c>
      <c r="BB18" s="729">
        <f t="shared" si="10"/>
        <v>143924.76999999999</v>
      </c>
      <c r="BC18" s="732">
        <f>[1]Субсидия_факт!PA19</f>
        <v>0</v>
      </c>
      <c r="BD18" s="733"/>
      <c r="BE18" s="730">
        <f>[1]Субсидия_факт!PG19</f>
        <v>0</v>
      </c>
      <c r="BF18" s="736"/>
      <c r="BG18" s="729">
        <f t="shared" si="11"/>
        <v>0</v>
      </c>
      <c r="BH18" s="729">
        <f t="shared" si="11"/>
        <v>0</v>
      </c>
      <c r="BI18" s="732">
        <f>[1]Субсидия_факт!PI19</f>
        <v>0</v>
      </c>
      <c r="BJ18" s="733"/>
      <c r="BK18" s="730">
        <f>[1]Субсидия_факт!PY19</f>
        <v>0</v>
      </c>
      <c r="BL18" s="736"/>
      <c r="BM18" s="729">
        <f t="shared" si="12"/>
        <v>0</v>
      </c>
      <c r="BN18" s="729">
        <f t="shared" si="12"/>
        <v>0</v>
      </c>
      <c r="BO18" s="732">
        <f>[1]Субсидия_факт!QA19</f>
        <v>0</v>
      </c>
      <c r="BP18" s="733"/>
    </row>
    <row r="19" spans="1:68" s="737" customFormat="1" ht="21" customHeight="1" x14ac:dyDescent="0.25">
      <c r="A19" s="738" t="s">
        <v>1292</v>
      </c>
      <c r="B19" s="739">
        <f t="shared" si="23"/>
        <v>31702641.840000004</v>
      </c>
      <c r="C19" s="739">
        <f t="shared" si="23"/>
        <v>23012531.140000001</v>
      </c>
      <c r="D19" s="729">
        <f t="shared" si="24"/>
        <v>3682183.4100000015</v>
      </c>
      <c r="E19" s="729">
        <f t="shared" si="24"/>
        <v>215603.78</v>
      </c>
      <c r="F19" s="729">
        <f t="shared" si="24"/>
        <v>28020458.43</v>
      </c>
      <c r="G19" s="729">
        <f t="shared" si="24"/>
        <v>22796927.359999999</v>
      </c>
      <c r="H19" s="730">
        <f>[1]Субсидия_факт!DZ20</f>
        <v>6956.5199999999977</v>
      </c>
      <c r="I19" s="731">
        <f>H19</f>
        <v>6956.5199999999977</v>
      </c>
      <c r="J19" s="729">
        <f t="shared" si="2"/>
        <v>0</v>
      </c>
      <c r="K19" s="729">
        <f t="shared" si="2"/>
        <v>0</v>
      </c>
      <c r="L19" s="732">
        <f>[1]Субсидия_факт!EB20</f>
        <v>6956.5199999999977</v>
      </c>
      <c r="M19" s="733">
        <f>I19</f>
        <v>6956.5199999999977</v>
      </c>
      <c r="N19" s="734">
        <f>[1]Субсидия_факт!LH20</f>
        <v>8910961.3400000017</v>
      </c>
      <c r="O19" s="735">
        <v>8126793.8099999996</v>
      </c>
      <c r="P19" s="729">
        <f t="shared" si="3"/>
        <v>0</v>
      </c>
      <c r="Q19" s="729">
        <f t="shared" si="3"/>
        <v>0</v>
      </c>
      <c r="R19" s="732">
        <f t="shared" si="25"/>
        <v>8910961.3400000017</v>
      </c>
      <c r="S19" s="732">
        <f t="shared" si="25"/>
        <v>8126793.8099999996</v>
      </c>
      <c r="T19" s="730">
        <f>[1]Субсидия_факт!MN20</f>
        <v>0</v>
      </c>
      <c r="U19" s="736"/>
      <c r="V19" s="729">
        <f t="shared" si="5"/>
        <v>0</v>
      </c>
      <c r="W19" s="729">
        <f t="shared" si="5"/>
        <v>0</v>
      </c>
      <c r="X19" s="732">
        <f>[1]Субсидия_факт!MP20</f>
        <v>0</v>
      </c>
      <c r="Y19" s="733"/>
      <c r="Z19" s="730">
        <f>[1]Субсидия_факт!MZ20</f>
        <v>0</v>
      </c>
      <c r="AA19" s="736"/>
      <c r="AB19" s="729">
        <f t="shared" si="6"/>
        <v>0</v>
      </c>
      <c r="AC19" s="729">
        <f t="shared" si="6"/>
        <v>0</v>
      </c>
      <c r="AD19" s="732">
        <f>[1]Субсидия_факт!NB20</f>
        <v>0</v>
      </c>
      <c r="AE19" s="733"/>
      <c r="AF19" s="730">
        <f>[1]Субсидия_факт!NF20</f>
        <v>21290635.900000002</v>
      </c>
      <c r="AG19" s="736">
        <v>13691800.43</v>
      </c>
      <c r="AH19" s="729">
        <f t="shared" si="7"/>
        <v>3266059.6000000015</v>
      </c>
      <c r="AI19" s="729">
        <f t="shared" si="7"/>
        <v>0</v>
      </c>
      <c r="AJ19" s="732">
        <f>[1]Субсидия_факт!NH20</f>
        <v>18024576.300000001</v>
      </c>
      <c r="AK19" s="733">
        <v>13691800.43</v>
      </c>
      <c r="AL19" s="730">
        <f>[1]Субсидия_факт!NN20</f>
        <v>0</v>
      </c>
      <c r="AM19" s="736"/>
      <c r="AN19" s="729">
        <f t="shared" si="8"/>
        <v>0</v>
      </c>
      <c r="AO19" s="729">
        <f t="shared" si="8"/>
        <v>0</v>
      </c>
      <c r="AP19" s="732">
        <f>[1]Субсидия_факт!NP20</f>
        <v>0</v>
      </c>
      <c r="AQ19" s="733"/>
      <c r="AR19" s="730">
        <f>[1]Субсидия_факт!NT20</f>
        <v>1067447.29</v>
      </c>
      <c r="AS19" s="736">
        <v>971376.6</v>
      </c>
      <c r="AT19" s="729">
        <f t="shared" si="9"/>
        <v>0</v>
      </c>
      <c r="AU19" s="729">
        <f t="shared" si="9"/>
        <v>0</v>
      </c>
      <c r="AV19" s="732">
        <f>[1]Субсидия_факт!NV20</f>
        <v>1067447.29</v>
      </c>
      <c r="AW19" s="1217">
        <f>AS19</f>
        <v>971376.6</v>
      </c>
      <c r="AX19" s="730">
        <f>[1]Субсидия_факт!OY20</f>
        <v>426640.79</v>
      </c>
      <c r="AY19" s="731">
        <f>AZ19-'Прочая  субсидия_МР  и  ГО'!BC19</f>
        <v>215603.78</v>
      </c>
      <c r="AZ19" s="766">
        <v>426131.36</v>
      </c>
      <c r="BA19" s="729">
        <f t="shared" si="10"/>
        <v>416123.81</v>
      </c>
      <c r="BB19" s="729">
        <f t="shared" si="10"/>
        <v>215603.78</v>
      </c>
      <c r="BC19" s="732">
        <f>[1]Субсидия_факт!PA20</f>
        <v>10516.98</v>
      </c>
      <c r="BD19" s="733">
        <v>0</v>
      </c>
      <c r="BE19" s="730">
        <f>[1]Субсидия_факт!PG20</f>
        <v>0</v>
      </c>
      <c r="BF19" s="736"/>
      <c r="BG19" s="729">
        <f t="shared" si="11"/>
        <v>0</v>
      </c>
      <c r="BH19" s="729">
        <f t="shared" si="11"/>
        <v>0</v>
      </c>
      <c r="BI19" s="732">
        <f>[1]Субсидия_факт!PI20</f>
        <v>0</v>
      </c>
      <c r="BJ19" s="733"/>
      <c r="BK19" s="730">
        <f>[1]Субсидия_факт!PY20</f>
        <v>0</v>
      </c>
      <c r="BL19" s="736"/>
      <c r="BM19" s="729">
        <f t="shared" si="12"/>
        <v>0</v>
      </c>
      <c r="BN19" s="729">
        <f t="shared" si="12"/>
        <v>0</v>
      </c>
      <c r="BO19" s="732">
        <f>[1]Субсидия_факт!QA20</f>
        <v>0</v>
      </c>
      <c r="BP19" s="733"/>
    </row>
    <row r="20" spans="1:68" s="737" customFormat="1" ht="21" customHeight="1" x14ac:dyDescent="0.25">
      <c r="A20" s="738" t="s">
        <v>1293</v>
      </c>
      <c r="B20" s="739">
        <f t="shared" si="23"/>
        <v>411235.6700000001</v>
      </c>
      <c r="C20" s="739">
        <f t="shared" si="23"/>
        <v>323572.83</v>
      </c>
      <c r="D20" s="729">
        <f t="shared" si="24"/>
        <v>411235.6700000001</v>
      </c>
      <c r="E20" s="729">
        <f t="shared" si="24"/>
        <v>323572.83</v>
      </c>
      <c r="F20" s="729">
        <f t="shared" si="24"/>
        <v>0</v>
      </c>
      <c r="G20" s="729">
        <f t="shared" si="24"/>
        <v>0</v>
      </c>
      <c r="H20" s="730">
        <f>[1]Субсидия_факт!DZ21</f>
        <v>0</v>
      </c>
      <c r="I20" s="731"/>
      <c r="J20" s="729">
        <f t="shared" si="2"/>
        <v>0</v>
      </c>
      <c r="K20" s="729">
        <f t="shared" si="2"/>
        <v>0</v>
      </c>
      <c r="L20" s="732">
        <f>[1]Субсидия_факт!EB21</f>
        <v>0</v>
      </c>
      <c r="M20" s="733"/>
      <c r="N20" s="734">
        <f>[1]Субсидия_факт!LH21</f>
        <v>0</v>
      </c>
      <c r="O20" s="735"/>
      <c r="P20" s="729">
        <f t="shared" si="3"/>
        <v>0</v>
      </c>
      <c r="Q20" s="729">
        <f t="shared" si="3"/>
        <v>0</v>
      </c>
      <c r="R20" s="732">
        <f t="shared" si="25"/>
        <v>0</v>
      </c>
      <c r="S20" s="732">
        <f t="shared" si="25"/>
        <v>0</v>
      </c>
      <c r="T20" s="730">
        <f>[1]Субсидия_факт!MN21</f>
        <v>0</v>
      </c>
      <c r="U20" s="736"/>
      <c r="V20" s="729">
        <f t="shared" si="5"/>
        <v>0</v>
      </c>
      <c r="W20" s="729">
        <f t="shared" si="5"/>
        <v>0</v>
      </c>
      <c r="X20" s="732">
        <f>[1]Субсидия_факт!MP21</f>
        <v>0</v>
      </c>
      <c r="Y20" s="733"/>
      <c r="Z20" s="730">
        <f>[1]Субсидия_факт!MZ21</f>
        <v>0</v>
      </c>
      <c r="AA20" s="736"/>
      <c r="AB20" s="729">
        <f t="shared" si="6"/>
        <v>0</v>
      </c>
      <c r="AC20" s="729">
        <f t="shared" si="6"/>
        <v>0</v>
      </c>
      <c r="AD20" s="732">
        <f>[1]Субсидия_факт!NB21</f>
        <v>0</v>
      </c>
      <c r="AE20" s="733"/>
      <c r="AF20" s="730">
        <f>[1]Субсидия_факт!NF21</f>
        <v>0</v>
      </c>
      <c r="AG20" s="736"/>
      <c r="AH20" s="729">
        <f t="shared" si="7"/>
        <v>0</v>
      </c>
      <c r="AI20" s="729">
        <f t="shared" si="7"/>
        <v>0</v>
      </c>
      <c r="AJ20" s="732">
        <f>[1]Субсидия_факт!NH21</f>
        <v>0</v>
      </c>
      <c r="AK20" s="733"/>
      <c r="AL20" s="730">
        <f>[1]Субсидия_факт!NN21</f>
        <v>0</v>
      </c>
      <c r="AM20" s="736"/>
      <c r="AN20" s="729">
        <f t="shared" si="8"/>
        <v>0</v>
      </c>
      <c r="AO20" s="729">
        <f t="shared" si="8"/>
        <v>0</v>
      </c>
      <c r="AP20" s="732">
        <f>[1]Субсидия_факт!NP21</f>
        <v>0</v>
      </c>
      <c r="AQ20" s="733"/>
      <c r="AR20" s="730">
        <f>[1]Субсидия_факт!NT21</f>
        <v>0</v>
      </c>
      <c r="AS20" s="731"/>
      <c r="AT20" s="729">
        <f t="shared" si="9"/>
        <v>0</v>
      </c>
      <c r="AU20" s="729">
        <f t="shared" si="9"/>
        <v>0</v>
      </c>
      <c r="AV20" s="732">
        <f>[1]Субсидия_факт!NV21</f>
        <v>0</v>
      </c>
      <c r="AW20" s="733"/>
      <c r="AX20" s="730">
        <f>[1]Субсидия_факт!OY21</f>
        <v>411235.6700000001</v>
      </c>
      <c r="AY20" s="731">
        <f>AZ20-'Прочая  субсидия_МР  и  ГО'!BC20</f>
        <v>323572.83</v>
      </c>
      <c r="AZ20" s="766">
        <v>535791.27</v>
      </c>
      <c r="BA20" s="729">
        <f t="shared" si="10"/>
        <v>411235.6700000001</v>
      </c>
      <c r="BB20" s="729">
        <f t="shared" si="10"/>
        <v>323572.83</v>
      </c>
      <c r="BC20" s="732">
        <f>[1]Субсидия_факт!PA21</f>
        <v>0</v>
      </c>
      <c r="BD20" s="733"/>
      <c r="BE20" s="730">
        <f>[1]Субсидия_факт!PG21</f>
        <v>0</v>
      </c>
      <c r="BF20" s="736"/>
      <c r="BG20" s="729">
        <f t="shared" si="11"/>
        <v>0</v>
      </c>
      <c r="BH20" s="729">
        <f t="shared" si="11"/>
        <v>0</v>
      </c>
      <c r="BI20" s="732">
        <f>[1]Субсидия_факт!PI21</f>
        <v>0</v>
      </c>
      <c r="BJ20" s="733"/>
      <c r="BK20" s="730">
        <f>[1]Субсидия_факт!PY21</f>
        <v>0</v>
      </c>
      <c r="BL20" s="736"/>
      <c r="BM20" s="729">
        <f t="shared" si="12"/>
        <v>0</v>
      </c>
      <c r="BN20" s="729">
        <f t="shared" si="12"/>
        <v>0</v>
      </c>
      <c r="BO20" s="732">
        <f>[1]Субсидия_факт!QA21</f>
        <v>0</v>
      </c>
      <c r="BP20" s="733"/>
    </row>
    <row r="21" spans="1:68" s="737" customFormat="1" ht="21" customHeight="1" x14ac:dyDescent="0.25">
      <c r="A21" s="738" t="s">
        <v>1294</v>
      </c>
      <c r="B21" s="739">
        <f t="shared" si="23"/>
        <v>2868558.5</v>
      </c>
      <c r="C21" s="739">
        <f t="shared" si="23"/>
        <v>1867568.3800000001</v>
      </c>
      <c r="D21" s="729">
        <f t="shared" si="24"/>
        <v>2868558.5</v>
      </c>
      <c r="E21" s="729">
        <f t="shared" si="24"/>
        <v>1867568.3800000001</v>
      </c>
      <c r="F21" s="729">
        <f t="shared" si="24"/>
        <v>0</v>
      </c>
      <c r="G21" s="729">
        <f t="shared" si="24"/>
        <v>0</v>
      </c>
      <c r="H21" s="730">
        <f>[1]Субсидия_факт!DZ22</f>
        <v>0</v>
      </c>
      <c r="I21" s="731"/>
      <c r="J21" s="729">
        <f t="shared" si="2"/>
        <v>0</v>
      </c>
      <c r="K21" s="729">
        <f t="shared" si="2"/>
        <v>0</v>
      </c>
      <c r="L21" s="732">
        <f>[1]Субсидия_факт!EB22</f>
        <v>0</v>
      </c>
      <c r="M21" s="733"/>
      <c r="N21" s="734">
        <f>[1]Субсидия_факт!LH22</f>
        <v>0</v>
      </c>
      <c r="O21" s="735"/>
      <c r="P21" s="729">
        <f t="shared" si="3"/>
        <v>0</v>
      </c>
      <c r="Q21" s="729">
        <f t="shared" si="3"/>
        <v>0</v>
      </c>
      <c r="R21" s="732">
        <f t="shared" si="25"/>
        <v>0</v>
      </c>
      <c r="S21" s="732">
        <f t="shared" si="25"/>
        <v>0</v>
      </c>
      <c r="T21" s="730">
        <f>[1]Субсидия_факт!MN22</f>
        <v>0</v>
      </c>
      <c r="U21" s="736"/>
      <c r="V21" s="729">
        <f t="shared" si="5"/>
        <v>0</v>
      </c>
      <c r="W21" s="729">
        <f t="shared" si="5"/>
        <v>0</v>
      </c>
      <c r="X21" s="732">
        <f>[1]Субсидия_факт!MP22</f>
        <v>0</v>
      </c>
      <c r="Y21" s="733"/>
      <c r="Z21" s="730">
        <f>[1]Субсидия_факт!MZ22</f>
        <v>0</v>
      </c>
      <c r="AA21" s="736"/>
      <c r="AB21" s="729">
        <f t="shared" si="6"/>
        <v>0</v>
      </c>
      <c r="AC21" s="729">
        <f t="shared" si="6"/>
        <v>0</v>
      </c>
      <c r="AD21" s="732">
        <f>[1]Субсидия_факт!NB22</f>
        <v>0</v>
      </c>
      <c r="AE21" s="733"/>
      <c r="AF21" s="730">
        <f>[1]Субсидия_факт!NF22</f>
        <v>2333443.4500000002</v>
      </c>
      <c r="AG21" s="736">
        <f>504805.15+454326+474300.45</f>
        <v>1433431.6</v>
      </c>
      <c r="AH21" s="729">
        <f t="shared" si="7"/>
        <v>2333443.4500000002</v>
      </c>
      <c r="AI21" s="729">
        <f t="shared" si="7"/>
        <v>1433431.6</v>
      </c>
      <c r="AJ21" s="732">
        <f>[1]Субсидия_факт!NH22</f>
        <v>0</v>
      </c>
      <c r="AK21" s="733"/>
      <c r="AL21" s="730">
        <f>[1]Субсидия_факт!NN22</f>
        <v>0</v>
      </c>
      <c r="AM21" s="736"/>
      <c r="AN21" s="729">
        <f t="shared" si="8"/>
        <v>0</v>
      </c>
      <c r="AO21" s="729">
        <f t="shared" si="8"/>
        <v>0</v>
      </c>
      <c r="AP21" s="732">
        <f>[1]Субсидия_факт!NP22</f>
        <v>0</v>
      </c>
      <c r="AQ21" s="733"/>
      <c r="AR21" s="730">
        <f>[1]Субсидия_факт!NT22</f>
        <v>0</v>
      </c>
      <c r="AS21" s="731"/>
      <c r="AT21" s="729">
        <f t="shared" si="9"/>
        <v>0</v>
      </c>
      <c r="AU21" s="729">
        <f t="shared" si="9"/>
        <v>0</v>
      </c>
      <c r="AV21" s="732">
        <f>[1]Субсидия_факт!NV22</f>
        <v>0</v>
      </c>
      <c r="AW21" s="733"/>
      <c r="AX21" s="730">
        <f>[1]Субсидия_факт!OY22</f>
        <v>535115.05000000005</v>
      </c>
      <c r="AY21" s="731">
        <f>AZ21-'Прочая  субсидия_МР  и  ГО'!BC21</f>
        <v>434136.77999999997</v>
      </c>
      <c r="AZ21" s="766">
        <v>625470.85</v>
      </c>
      <c r="BA21" s="729">
        <f t="shared" si="10"/>
        <v>535115.05000000005</v>
      </c>
      <c r="BB21" s="729">
        <f t="shared" si="10"/>
        <v>434136.77999999997</v>
      </c>
      <c r="BC21" s="732">
        <f>[1]Субсидия_факт!PA22</f>
        <v>0</v>
      </c>
      <c r="BD21" s="733"/>
      <c r="BE21" s="730">
        <f>[1]Субсидия_факт!PG22</f>
        <v>0</v>
      </c>
      <c r="BF21" s="736"/>
      <c r="BG21" s="729">
        <f t="shared" si="11"/>
        <v>0</v>
      </c>
      <c r="BH21" s="729">
        <f t="shared" si="11"/>
        <v>0</v>
      </c>
      <c r="BI21" s="732">
        <f>[1]Субсидия_факт!PI22</f>
        <v>0</v>
      </c>
      <c r="BJ21" s="733"/>
      <c r="BK21" s="730">
        <f>[1]Субсидия_факт!PY22</f>
        <v>0</v>
      </c>
      <c r="BL21" s="736"/>
      <c r="BM21" s="729">
        <f t="shared" si="12"/>
        <v>0</v>
      </c>
      <c r="BN21" s="729">
        <f t="shared" si="12"/>
        <v>0</v>
      </c>
      <c r="BO21" s="732">
        <f>[1]Субсидия_факт!QA22</f>
        <v>0</v>
      </c>
      <c r="BP21" s="733"/>
    </row>
    <row r="22" spans="1:68" s="737" customFormat="1" ht="21" customHeight="1" x14ac:dyDescent="0.25">
      <c r="A22" s="738" t="s">
        <v>1295</v>
      </c>
      <c r="B22" s="739">
        <f t="shared" si="23"/>
        <v>2689250.35</v>
      </c>
      <c r="C22" s="739">
        <f t="shared" si="23"/>
        <v>1746710.88</v>
      </c>
      <c r="D22" s="729">
        <f t="shared" si="24"/>
        <v>2689250.35</v>
      </c>
      <c r="E22" s="729">
        <f t="shared" si="24"/>
        <v>1746710.88</v>
      </c>
      <c r="F22" s="729">
        <f t="shared" si="24"/>
        <v>0</v>
      </c>
      <c r="G22" s="729">
        <f t="shared" si="24"/>
        <v>0</v>
      </c>
      <c r="H22" s="730">
        <f>[1]Субсидия_факт!DZ24</f>
        <v>0</v>
      </c>
      <c r="I22" s="731"/>
      <c r="J22" s="729">
        <f t="shared" si="2"/>
        <v>0</v>
      </c>
      <c r="K22" s="729">
        <f t="shared" si="2"/>
        <v>0</v>
      </c>
      <c r="L22" s="732">
        <f>[1]Субсидия_факт!EB24</f>
        <v>0</v>
      </c>
      <c r="M22" s="733"/>
      <c r="N22" s="734">
        <f>[1]Субсидия_факт!LH24</f>
        <v>0</v>
      </c>
      <c r="O22" s="735"/>
      <c r="P22" s="729">
        <f t="shared" si="3"/>
        <v>0</v>
      </c>
      <c r="Q22" s="729">
        <f t="shared" si="3"/>
        <v>0</v>
      </c>
      <c r="R22" s="732">
        <f t="shared" si="25"/>
        <v>0</v>
      </c>
      <c r="S22" s="732">
        <f t="shared" si="25"/>
        <v>0</v>
      </c>
      <c r="T22" s="730">
        <f>[1]Субсидия_факт!MN24</f>
        <v>0</v>
      </c>
      <c r="U22" s="736"/>
      <c r="V22" s="729">
        <f t="shared" si="5"/>
        <v>0</v>
      </c>
      <c r="W22" s="729">
        <f t="shared" si="5"/>
        <v>0</v>
      </c>
      <c r="X22" s="732">
        <f>[1]Субсидия_факт!MP24</f>
        <v>0</v>
      </c>
      <c r="Y22" s="733"/>
      <c r="Z22" s="730">
        <f>[1]Субсидия_факт!MZ24</f>
        <v>0</v>
      </c>
      <c r="AA22" s="736"/>
      <c r="AB22" s="729">
        <f t="shared" si="6"/>
        <v>0</v>
      </c>
      <c r="AC22" s="729">
        <f t="shared" si="6"/>
        <v>0</v>
      </c>
      <c r="AD22" s="732">
        <f>[1]Субсидия_факт!NB24</f>
        <v>0</v>
      </c>
      <c r="AE22" s="733"/>
      <c r="AF22" s="730">
        <f>[1]Субсидия_факт!NF24</f>
        <v>2360830.06</v>
      </c>
      <c r="AG22" s="736">
        <v>1534539.43</v>
      </c>
      <c r="AH22" s="729">
        <f t="shared" si="7"/>
        <v>2360830.06</v>
      </c>
      <c r="AI22" s="729">
        <f t="shared" si="7"/>
        <v>1534539.43</v>
      </c>
      <c r="AJ22" s="732">
        <f>[1]Субсидия_факт!NH24</f>
        <v>0</v>
      </c>
      <c r="AK22" s="733"/>
      <c r="AL22" s="730">
        <f>[1]Субсидия_факт!NN24</f>
        <v>0</v>
      </c>
      <c r="AM22" s="736"/>
      <c r="AN22" s="729">
        <f t="shared" si="8"/>
        <v>0</v>
      </c>
      <c r="AO22" s="729">
        <f t="shared" si="8"/>
        <v>0</v>
      </c>
      <c r="AP22" s="732">
        <f>[1]Субсидия_факт!NP24</f>
        <v>0</v>
      </c>
      <c r="AQ22" s="733"/>
      <c r="AR22" s="730">
        <f>[1]Субсидия_факт!NT24</f>
        <v>0</v>
      </c>
      <c r="AS22" s="731"/>
      <c r="AT22" s="729">
        <f t="shared" si="9"/>
        <v>0</v>
      </c>
      <c r="AU22" s="729">
        <f t="shared" si="9"/>
        <v>0</v>
      </c>
      <c r="AV22" s="732">
        <f>[1]Субсидия_факт!NV24</f>
        <v>0</v>
      </c>
      <c r="AW22" s="733"/>
      <c r="AX22" s="730">
        <f>[1]Субсидия_факт!OY24</f>
        <v>328420.29000000004</v>
      </c>
      <c r="AY22" s="731">
        <f>AZ22-'Прочая  субсидия_МР  и  ГО'!BC22</f>
        <v>212171.45</v>
      </c>
      <c r="AZ22" s="1133">
        <v>361434.06</v>
      </c>
      <c r="BA22" s="729">
        <f t="shared" si="10"/>
        <v>328420.29000000004</v>
      </c>
      <c r="BB22" s="729">
        <f t="shared" si="10"/>
        <v>212171.45</v>
      </c>
      <c r="BC22" s="732">
        <f>[1]Субсидия_факт!PA24</f>
        <v>0</v>
      </c>
      <c r="BD22" s="733"/>
      <c r="BE22" s="730">
        <f>[1]Субсидия_факт!PG24</f>
        <v>0</v>
      </c>
      <c r="BF22" s="736"/>
      <c r="BG22" s="729">
        <f t="shared" si="11"/>
        <v>0</v>
      </c>
      <c r="BH22" s="729">
        <f t="shared" si="11"/>
        <v>0</v>
      </c>
      <c r="BI22" s="732">
        <f>[1]Субсидия_факт!PI24</f>
        <v>0</v>
      </c>
      <c r="BJ22" s="733"/>
      <c r="BK22" s="730">
        <f>[1]Субсидия_факт!PY24</f>
        <v>0</v>
      </c>
      <c r="BL22" s="736"/>
      <c r="BM22" s="729">
        <f t="shared" si="12"/>
        <v>0</v>
      </c>
      <c r="BN22" s="729">
        <f t="shared" si="12"/>
        <v>0</v>
      </c>
      <c r="BO22" s="732">
        <f>[1]Субсидия_факт!QA24</f>
        <v>0</v>
      </c>
      <c r="BP22" s="733"/>
    </row>
    <row r="23" spans="1:68" s="737" customFormat="1" ht="21" customHeight="1" x14ac:dyDescent="0.25">
      <c r="A23" s="738" t="s">
        <v>1296</v>
      </c>
      <c r="B23" s="739">
        <f t="shared" si="23"/>
        <v>10669300.630000006</v>
      </c>
      <c r="C23" s="739">
        <f t="shared" si="23"/>
        <v>10350814.379999999</v>
      </c>
      <c r="D23" s="729">
        <f t="shared" si="24"/>
        <v>543268.99</v>
      </c>
      <c r="E23" s="729">
        <f t="shared" si="24"/>
        <v>368457.91999999993</v>
      </c>
      <c r="F23" s="729">
        <f t="shared" si="24"/>
        <v>10126031.640000006</v>
      </c>
      <c r="G23" s="729">
        <f t="shared" si="24"/>
        <v>9982356.459999999</v>
      </c>
      <c r="H23" s="730">
        <f>[1]Субсидия_факт!DZ25</f>
        <v>0</v>
      </c>
      <c r="I23" s="731"/>
      <c r="J23" s="729">
        <f t="shared" si="2"/>
        <v>0</v>
      </c>
      <c r="K23" s="729">
        <f t="shared" si="2"/>
        <v>0</v>
      </c>
      <c r="L23" s="732">
        <f>[1]Субсидия_факт!EB25</f>
        <v>0</v>
      </c>
      <c r="M23" s="733"/>
      <c r="N23" s="734">
        <f>[1]Субсидия_факт!LH25</f>
        <v>9950087.3200000059</v>
      </c>
      <c r="O23" s="735">
        <v>9865592.9299999997</v>
      </c>
      <c r="P23" s="729">
        <f t="shared" si="3"/>
        <v>0</v>
      </c>
      <c r="Q23" s="729">
        <f t="shared" si="3"/>
        <v>0</v>
      </c>
      <c r="R23" s="732">
        <f t="shared" si="25"/>
        <v>9950087.3200000059</v>
      </c>
      <c r="S23" s="732">
        <f t="shared" si="25"/>
        <v>9865592.9299999997</v>
      </c>
      <c r="T23" s="730">
        <f>[1]Субсидия_факт!MN25</f>
        <v>0</v>
      </c>
      <c r="U23" s="736"/>
      <c r="V23" s="729">
        <f t="shared" si="5"/>
        <v>0</v>
      </c>
      <c r="W23" s="729">
        <f t="shared" si="5"/>
        <v>0</v>
      </c>
      <c r="X23" s="732">
        <f>[1]Субсидия_факт!MP25</f>
        <v>0</v>
      </c>
      <c r="Y23" s="733"/>
      <c r="Z23" s="730">
        <f>[1]Субсидия_факт!MZ25</f>
        <v>0</v>
      </c>
      <c r="AA23" s="736"/>
      <c r="AB23" s="729">
        <f t="shared" si="6"/>
        <v>0</v>
      </c>
      <c r="AC23" s="729">
        <f t="shared" si="6"/>
        <v>0</v>
      </c>
      <c r="AD23" s="732">
        <f>[1]Субсидия_факт!NB25</f>
        <v>0</v>
      </c>
      <c r="AE23" s="733"/>
      <c r="AF23" s="730">
        <f>[1]Субсидия_факт!NF25</f>
        <v>0</v>
      </c>
      <c r="AG23" s="736"/>
      <c r="AH23" s="729">
        <f t="shared" si="7"/>
        <v>0</v>
      </c>
      <c r="AI23" s="729">
        <f t="shared" si="7"/>
        <v>0</v>
      </c>
      <c r="AJ23" s="732">
        <f>[1]Субсидия_факт!NH25</f>
        <v>0</v>
      </c>
      <c r="AK23" s="733"/>
      <c r="AL23" s="730">
        <f>[1]Субсидия_факт!NN25</f>
        <v>0</v>
      </c>
      <c r="AM23" s="736"/>
      <c r="AN23" s="729">
        <f t="shared" si="8"/>
        <v>0</v>
      </c>
      <c r="AO23" s="729">
        <f t="shared" si="8"/>
        <v>0</v>
      </c>
      <c r="AP23" s="732">
        <f>[1]Субсидия_факт!NP25</f>
        <v>0</v>
      </c>
      <c r="AQ23" s="733"/>
      <c r="AR23" s="730">
        <f>[1]Субсидия_факт!NT25</f>
        <v>0</v>
      </c>
      <c r="AS23" s="731"/>
      <c r="AT23" s="729">
        <f t="shared" si="9"/>
        <v>0</v>
      </c>
      <c r="AU23" s="729">
        <f t="shared" si="9"/>
        <v>0</v>
      </c>
      <c r="AV23" s="732">
        <f>[1]Субсидия_факт!NV25</f>
        <v>0</v>
      </c>
      <c r="AW23" s="733"/>
      <c r="AX23" s="730">
        <f>[1]Субсидия_факт!OY25</f>
        <v>719213.30999999994</v>
      </c>
      <c r="AY23" s="731">
        <f>AZ23-'Прочая  субсидия_МР  и  ГО'!BC23</f>
        <v>485221.44999999995</v>
      </c>
      <c r="AZ23" s="766">
        <v>608245.1</v>
      </c>
      <c r="BA23" s="729">
        <f t="shared" si="10"/>
        <v>543268.99</v>
      </c>
      <c r="BB23" s="729">
        <f t="shared" si="10"/>
        <v>368457.91999999993</v>
      </c>
      <c r="BC23" s="732">
        <f>[1]Субсидия_факт!PA25</f>
        <v>175944.32000000001</v>
      </c>
      <c r="BD23" s="733">
        <v>116763.53</v>
      </c>
      <c r="BE23" s="730">
        <f>[1]Субсидия_факт!PG25</f>
        <v>0</v>
      </c>
      <c r="BF23" s="736"/>
      <c r="BG23" s="729">
        <f t="shared" si="11"/>
        <v>0</v>
      </c>
      <c r="BH23" s="729">
        <f t="shared" si="11"/>
        <v>0</v>
      </c>
      <c r="BI23" s="732">
        <f>[1]Субсидия_факт!PI25</f>
        <v>0</v>
      </c>
      <c r="BJ23" s="733"/>
      <c r="BK23" s="730">
        <f>[1]Субсидия_факт!PY25</f>
        <v>0</v>
      </c>
      <c r="BL23" s="736"/>
      <c r="BM23" s="729">
        <f t="shared" si="12"/>
        <v>0</v>
      </c>
      <c r="BN23" s="729">
        <f t="shared" si="12"/>
        <v>0</v>
      </c>
      <c r="BO23" s="732">
        <f>[1]Субсидия_факт!QA25</f>
        <v>0</v>
      </c>
      <c r="BP23" s="733"/>
    </row>
    <row r="24" spans="1:68" s="737" customFormat="1" ht="21" customHeight="1" x14ac:dyDescent="0.25">
      <c r="A24" s="738" t="s">
        <v>1297</v>
      </c>
      <c r="B24" s="739">
        <f t="shared" si="23"/>
        <v>627186.69999999995</v>
      </c>
      <c r="C24" s="739">
        <f t="shared" si="23"/>
        <v>388219.61999999994</v>
      </c>
      <c r="D24" s="729">
        <f t="shared" si="24"/>
        <v>627186.69999999995</v>
      </c>
      <c r="E24" s="729">
        <f t="shared" si="24"/>
        <v>388219.61999999994</v>
      </c>
      <c r="F24" s="729">
        <f t="shared" si="24"/>
        <v>0</v>
      </c>
      <c r="G24" s="729">
        <f t="shared" si="24"/>
        <v>0</v>
      </c>
      <c r="H24" s="730">
        <f>[1]Субсидия_факт!DZ26</f>
        <v>0</v>
      </c>
      <c r="I24" s="731"/>
      <c r="J24" s="729">
        <f t="shared" ref="J24:K25" si="26">H24-L24</f>
        <v>0</v>
      </c>
      <c r="K24" s="729">
        <f t="shared" si="26"/>
        <v>0</v>
      </c>
      <c r="L24" s="732">
        <f>[1]Субсидия_факт!EB26</f>
        <v>0</v>
      </c>
      <c r="M24" s="733"/>
      <c r="N24" s="734">
        <f>[1]Субсидия_факт!LH26</f>
        <v>0</v>
      </c>
      <c r="O24" s="735"/>
      <c r="P24" s="729">
        <f t="shared" si="3"/>
        <v>0</v>
      </c>
      <c r="Q24" s="729">
        <f t="shared" si="3"/>
        <v>0</v>
      </c>
      <c r="R24" s="732">
        <f t="shared" si="25"/>
        <v>0</v>
      </c>
      <c r="S24" s="732">
        <f t="shared" si="25"/>
        <v>0</v>
      </c>
      <c r="T24" s="730">
        <f>[1]Субсидия_факт!MN26</f>
        <v>0</v>
      </c>
      <c r="U24" s="736"/>
      <c r="V24" s="729">
        <f t="shared" ref="V24:W25" si="27">T24-X24</f>
        <v>0</v>
      </c>
      <c r="W24" s="729">
        <f t="shared" si="27"/>
        <v>0</v>
      </c>
      <c r="X24" s="732">
        <f>[1]Субсидия_факт!MP26</f>
        <v>0</v>
      </c>
      <c r="Y24" s="733"/>
      <c r="Z24" s="730">
        <f>[1]Субсидия_факт!MZ26</f>
        <v>0</v>
      </c>
      <c r="AA24" s="736"/>
      <c r="AB24" s="729">
        <f t="shared" ref="AB24:AC25" si="28">Z24-AD24</f>
        <v>0</v>
      </c>
      <c r="AC24" s="729">
        <f t="shared" si="28"/>
        <v>0</v>
      </c>
      <c r="AD24" s="732">
        <f>[1]Субсидия_факт!NB26</f>
        <v>0</v>
      </c>
      <c r="AE24" s="733"/>
      <c r="AF24" s="730">
        <f>[1]Субсидия_факт!NF26</f>
        <v>0</v>
      </c>
      <c r="AG24" s="736"/>
      <c r="AH24" s="729">
        <f t="shared" ref="AH24:AI25" si="29">AF24-AJ24</f>
        <v>0</v>
      </c>
      <c r="AI24" s="729">
        <f t="shared" si="29"/>
        <v>0</v>
      </c>
      <c r="AJ24" s="732">
        <f>[1]Субсидия_факт!NH26</f>
        <v>0</v>
      </c>
      <c r="AK24" s="733"/>
      <c r="AL24" s="730">
        <f>[1]Субсидия_факт!NN26</f>
        <v>0</v>
      </c>
      <c r="AM24" s="736"/>
      <c r="AN24" s="729">
        <f t="shared" ref="AN24:AO25" si="30">AL24-AP24</f>
        <v>0</v>
      </c>
      <c r="AO24" s="729">
        <f t="shared" si="30"/>
        <v>0</v>
      </c>
      <c r="AP24" s="732">
        <f>[1]Субсидия_факт!NP26</f>
        <v>0</v>
      </c>
      <c r="AQ24" s="733"/>
      <c r="AR24" s="730">
        <f>[1]Субсидия_факт!NT26</f>
        <v>0</v>
      </c>
      <c r="AS24" s="731"/>
      <c r="AT24" s="729">
        <f t="shared" ref="AT24:AU25" si="31">AR24-AV24</f>
        <v>0</v>
      </c>
      <c r="AU24" s="729">
        <f t="shared" si="31"/>
        <v>0</v>
      </c>
      <c r="AV24" s="732">
        <f>[1]Субсидия_факт!NV26</f>
        <v>0</v>
      </c>
      <c r="AW24" s="733"/>
      <c r="AX24" s="730">
        <f>[1]Субсидия_факт!OY26</f>
        <v>627186.69999999995</v>
      </c>
      <c r="AY24" s="731">
        <f>AZ24-'Прочая  субсидия_МР  и  ГО'!BC24</f>
        <v>388219.61999999994</v>
      </c>
      <c r="AZ24" s="766">
        <v>627269.18999999994</v>
      </c>
      <c r="BA24" s="729">
        <f t="shared" ref="BA24:BB25" si="32">AX24-BC24</f>
        <v>627186.69999999995</v>
      </c>
      <c r="BB24" s="729">
        <f t="shared" si="32"/>
        <v>388219.61999999994</v>
      </c>
      <c r="BC24" s="732">
        <f>[1]Субсидия_факт!PA26</f>
        <v>0</v>
      </c>
      <c r="BD24" s="733"/>
      <c r="BE24" s="730">
        <f>[1]Субсидия_факт!PG26</f>
        <v>0</v>
      </c>
      <c r="BF24" s="736"/>
      <c r="BG24" s="729">
        <f t="shared" ref="BG24:BH25" si="33">BE24-BI24</f>
        <v>0</v>
      </c>
      <c r="BH24" s="729">
        <f t="shared" si="33"/>
        <v>0</v>
      </c>
      <c r="BI24" s="732">
        <f>[1]Субсидия_факт!PI26</f>
        <v>0</v>
      </c>
      <c r="BJ24" s="733"/>
      <c r="BK24" s="730">
        <f>[1]Субсидия_факт!PY26</f>
        <v>0</v>
      </c>
      <c r="BL24" s="736"/>
      <c r="BM24" s="729">
        <f t="shared" ref="BM24:BN25" si="34">BK24-BO24</f>
        <v>0</v>
      </c>
      <c r="BN24" s="729">
        <f t="shared" si="34"/>
        <v>0</v>
      </c>
      <c r="BO24" s="732">
        <f>[1]Субсидия_факт!QA26</f>
        <v>0</v>
      </c>
      <c r="BP24" s="733"/>
    </row>
    <row r="25" spans="1:68" s="737" customFormat="1" ht="21" customHeight="1" x14ac:dyDescent="0.25">
      <c r="A25" s="740" t="s">
        <v>1298</v>
      </c>
      <c r="B25" s="739">
        <f t="shared" si="23"/>
        <v>16955111.370000001</v>
      </c>
      <c r="C25" s="739">
        <f t="shared" si="23"/>
        <v>16283089.329999998</v>
      </c>
      <c r="D25" s="729">
        <f t="shared" si="24"/>
        <v>7439678.7700000005</v>
      </c>
      <c r="E25" s="729">
        <f t="shared" si="24"/>
        <v>6767656.7299999995</v>
      </c>
      <c r="F25" s="729">
        <f t="shared" si="24"/>
        <v>9515432.5999999996</v>
      </c>
      <c r="G25" s="729">
        <f t="shared" si="24"/>
        <v>9515432.5999999996</v>
      </c>
      <c r="H25" s="730">
        <f>[1]Субсидия_факт!DZ27</f>
        <v>0</v>
      </c>
      <c r="I25" s="731"/>
      <c r="J25" s="729">
        <f t="shared" si="26"/>
        <v>0</v>
      </c>
      <c r="K25" s="729">
        <f t="shared" si="26"/>
        <v>0</v>
      </c>
      <c r="L25" s="732">
        <f>[1]Субсидия_факт!EB27</f>
        <v>0</v>
      </c>
      <c r="M25" s="733"/>
      <c r="N25" s="734">
        <f>[1]Субсидия_факт!LH27</f>
        <v>0</v>
      </c>
      <c r="O25" s="735"/>
      <c r="P25" s="729">
        <f t="shared" si="3"/>
        <v>0</v>
      </c>
      <c r="Q25" s="729">
        <f t="shared" si="3"/>
        <v>0</v>
      </c>
      <c r="R25" s="732">
        <f t="shared" si="25"/>
        <v>0</v>
      </c>
      <c r="S25" s="732">
        <f t="shared" si="25"/>
        <v>0</v>
      </c>
      <c r="T25" s="730">
        <f>[1]Субсидия_факт!MN27</f>
        <v>0</v>
      </c>
      <c r="U25" s="736"/>
      <c r="V25" s="729">
        <f t="shared" si="27"/>
        <v>0</v>
      </c>
      <c r="W25" s="729">
        <f t="shared" si="27"/>
        <v>0</v>
      </c>
      <c r="X25" s="732">
        <f>[1]Субсидия_факт!MP27</f>
        <v>0</v>
      </c>
      <c r="Y25" s="733"/>
      <c r="Z25" s="730">
        <f>[1]Субсидия_факт!MZ27</f>
        <v>0</v>
      </c>
      <c r="AA25" s="736"/>
      <c r="AB25" s="729">
        <f t="shared" si="28"/>
        <v>0</v>
      </c>
      <c r="AC25" s="729">
        <f t="shared" si="28"/>
        <v>0</v>
      </c>
      <c r="AD25" s="732">
        <f>[1]Субсидия_факт!NB27</f>
        <v>0</v>
      </c>
      <c r="AE25" s="733"/>
      <c r="AF25" s="730">
        <f>[1]Субсидия_факт!NF27</f>
        <v>16059273.65</v>
      </c>
      <c r="AG25" s="736">
        <v>15495743.17</v>
      </c>
      <c r="AH25" s="729">
        <f t="shared" si="29"/>
        <v>7059273.6500000004</v>
      </c>
      <c r="AI25" s="729">
        <f t="shared" si="29"/>
        <v>6495743.1699999999</v>
      </c>
      <c r="AJ25" s="732">
        <f>[1]Субсидия_факт!NH27</f>
        <v>9000000</v>
      </c>
      <c r="AK25" s="733">
        <v>9000000</v>
      </c>
      <c r="AL25" s="730">
        <f>[1]Субсидия_факт!NN27</f>
        <v>0</v>
      </c>
      <c r="AM25" s="736"/>
      <c r="AN25" s="729">
        <f t="shared" si="30"/>
        <v>0</v>
      </c>
      <c r="AO25" s="729">
        <f t="shared" si="30"/>
        <v>0</v>
      </c>
      <c r="AP25" s="732">
        <f>[1]Субсидия_факт!NP27</f>
        <v>0</v>
      </c>
      <c r="AQ25" s="733"/>
      <c r="AR25" s="730">
        <f>[1]Субсидия_факт!NT27</f>
        <v>504797.45</v>
      </c>
      <c r="AS25" s="736">
        <v>504797.45</v>
      </c>
      <c r="AT25" s="729">
        <f t="shared" si="31"/>
        <v>0</v>
      </c>
      <c r="AU25" s="729">
        <f t="shared" si="31"/>
        <v>0</v>
      </c>
      <c r="AV25" s="732">
        <f>[1]Субсидия_факт!NV27</f>
        <v>504797.45</v>
      </c>
      <c r="AW25" s="1217">
        <f>AS25</f>
        <v>504797.45</v>
      </c>
      <c r="AX25" s="730">
        <f>[1]Субсидия_факт!OY27</f>
        <v>391040.27000000008</v>
      </c>
      <c r="AY25" s="731">
        <f>AZ25-'Прочая  субсидия_МР  и  ГО'!BC25</f>
        <v>282548.70999999996</v>
      </c>
      <c r="AZ25" s="1133">
        <v>356889.37</v>
      </c>
      <c r="BA25" s="729">
        <f t="shared" si="32"/>
        <v>380405.12000000005</v>
      </c>
      <c r="BB25" s="729">
        <f t="shared" si="32"/>
        <v>271913.55999999994</v>
      </c>
      <c r="BC25" s="732">
        <f>[1]Субсидия_факт!PA27</f>
        <v>10635.15</v>
      </c>
      <c r="BD25" s="1217">
        <f>BC25</f>
        <v>10635.15</v>
      </c>
      <c r="BE25" s="730">
        <f>[1]Субсидия_факт!PG27</f>
        <v>0</v>
      </c>
      <c r="BF25" s="736"/>
      <c r="BG25" s="729">
        <f t="shared" si="33"/>
        <v>0</v>
      </c>
      <c r="BH25" s="729">
        <f t="shared" si="33"/>
        <v>0</v>
      </c>
      <c r="BI25" s="732">
        <f>[1]Субсидия_факт!PI27</f>
        <v>0</v>
      </c>
      <c r="BJ25" s="733"/>
      <c r="BK25" s="730">
        <f>[1]Субсидия_факт!PY27</f>
        <v>0</v>
      </c>
      <c r="BL25" s="736"/>
      <c r="BM25" s="729">
        <f t="shared" si="34"/>
        <v>0</v>
      </c>
      <c r="BN25" s="729">
        <f t="shared" si="34"/>
        <v>0</v>
      </c>
      <c r="BO25" s="732">
        <f>[1]Субсидия_факт!QA27</f>
        <v>0</v>
      </c>
      <c r="BP25" s="733"/>
    </row>
    <row r="26" spans="1:68" s="737" customFormat="1" ht="21" customHeight="1" x14ac:dyDescent="0.25">
      <c r="A26" s="1186" t="s">
        <v>335</v>
      </c>
      <c r="B26" s="741">
        <f t="shared" ref="B26:Q26" si="35">SUM(B8:B25)</f>
        <v>192312357.73999998</v>
      </c>
      <c r="C26" s="741">
        <f t="shared" si="35"/>
        <v>135235834.89999998</v>
      </c>
      <c r="D26" s="742">
        <f t="shared" si="35"/>
        <v>24358920.560000002</v>
      </c>
      <c r="E26" s="742">
        <f t="shared" si="35"/>
        <v>16656444.719999999</v>
      </c>
      <c r="F26" s="742">
        <f t="shared" si="35"/>
        <v>167953437.18000001</v>
      </c>
      <c r="G26" s="742">
        <f t="shared" si="35"/>
        <v>118579390.17999999</v>
      </c>
      <c r="H26" s="741">
        <f t="shared" si="35"/>
        <v>6956.5199999999977</v>
      </c>
      <c r="I26" s="743">
        <f t="shared" si="35"/>
        <v>6956.5199999999977</v>
      </c>
      <c r="J26" s="742">
        <f t="shared" si="35"/>
        <v>0</v>
      </c>
      <c r="K26" s="742">
        <f t="shared" si="35"/>
        <v>0</v>
      </c>
      <c r="L26" s="742">
        <f t="shared" si="35"/>
        <v>6956.5199999999977</v>
      </c>
      <c r="M26" s="742">
        <f t="shared" si="35"/>
        <v>6956.5199999999977</v>
      </c>
      <c r="N26" s="735">
        <f t="shared" si="35"/>
        <v>73588985.790000007</v>
      </c>
      <c r="O26" s="735">
        <f t="shared" si="35"/>
        <v>50756896.219999999</v>
      </c>
      <c r="P26" s="742">
        <f t="shared" si="35"/>
        <v>0</v>
      </c>
      <c r="Q26" s="742">
        <f t="shared" si="35"/>
        <v>0</v>
      </c>
      <c r="R26" s="732">
        <f t="shared" si="25"/>
        <v>73588985.790000007</v>
      </c>
      <c r="S26" s="732">
        <f t="shared" si="25"/>
        <v>50756896.219999999</v>
      </c>
      <c r="T26" s="741">
        <f t="shared" ref="T26:BO26" si="36">SUM(T8:T25)</f>
        <v>0</v>
      </c>
      <c r="U26" s="743">
        <f t="shared" si="36"/>
        <v>0</v>
      </c>
      <c r="V26" s="742">
        <f t="shared" si="36"/>
        <v>0</v>
      </c>
      <c r="W26" s="742">
        <f t="shared" si="36"/>
        <v>0</v>
      </c>
      <c r="X26" s="742">
        <f t="shared" si="36"/>
        <v>0</v>
      </c>
      <c r="Y26" s="742">
        <f t="shared" si="36"/>
        <v>0</v>
      </c>
      <c r="Z26" s="741">
        <f t="shared" si="36"/>
        <v>0</v>
      </c>
      <c r="AA26" s="743">
        <f t="shared" si="36"/>
        <v>0</v>
      </c>
      <c r="AB26" s="742">
        <f t="shared" si="36"/>
        <v>0</v>
      </c>
      <c r="AC26" s="742">
        <f t="shared" si="36"/>
        <v>0</v>
      </c>
      <c r="AD26" s="742">
        <f t="shared" si="36"/>
        <v>0</v>
      </c>
      <c r="AE26" s="742">
        <f t="shared" si="36"/>
        <v>0</v>
      </c>
      <c r="AF26" s="741">
        <f t="shared" si="36"/>
        <v>110186982.72000001</v>
      </c>
      <c r="AG26" s="743">
        <f t="shared" si="36"/>
        <v>77926459.219999999</v>
      </c>
      <c r="AH26" s="742">
        <f t="shared" si="36"/>
        <v>18562406.420000002</v>
      </c>
      <c r="AI26" s="742">
        <f t="shared" si="36"/>
        <v>12509450.52</v>
      </c>
      <c r="AJ26" s="742">
        <f t="shared" si="36"/>
        <v>91624576.299999997</v>
      </c>
      <c r="AK26" s="742">
        <f t="shared" si="36"/>
        <v>65417008.700000003</v>
      </c>
      <c r="AL26" s="743">
        <f t="shared" si="36"/>
        <v>0</v>
      </c>
      <c r="AM26" s="743">
        <f t="shared" si="36"/>
        <v>0</v>
      </c>
      <c r="AN26" s="742">
        <f t="shared" si="36"/>
        <v>0</v>
      </c>
      <c r="AO26" s="742">
        <f t="shared" si="36"/>
        <v>0</v>
      </c>
      <c r="AP26" s="742">
        <f t="shared" si="36"/>
        <v>0</v>
      </c>
      <c r="AQ26" s="742">
        <f t="shared" si="36"/>
        <v>0</v>
      </c>
      <c r="AR26" s="741">
        <f t="shared" si="36"/>
        <v>2221320.4200000004</v>
      </c>
      <c r="AS26" s="743">
        <f t="shared" si="36"/>
        <v>2016703.18</v>
      </c>
      <c r="AT26" s="742">
        <f t="shared" si="36"/>
        <v>0</v>
      </c>
      <c r="AU26" s="742">
        <f t="shared" si="36"/>
        <v>0</v>
      </c>
      <c r="AV26" s="742">
        <f t="shared" si="36"/>
        <v>2221320.4200000004</v>
      </c>
      <c r="AW26" s="742">
        <f t="shared" si="36"/>
        <v>2016703.18</v>
      </c>
      <c r="AX26" s="741">
        <f t="shared" si="36"/>
        <v>6308112.290000001</v>
      </c>
      <c r="AY26" s="743">
        <f t="shared" si="36"/>
        <v>4528819.76</v>
      </c>
      <c r="AZ26" s="1130">
        <f t="shared" si="36"/>
        <v>8524482.2699999977</v>
      </c>
      <c r="BA26" s="744">
        <f t="shared" si="36"/>
        <v>5796514.1400000006</v>
      </c>
      <c r="BB26" s="744">
        <f t="shared" si="36"/>
        <v>4146994.2</v>
      </c>
      <c r="BC26" s="744">
        <f t="shared" si="36"/>
        <v>511598.15</v>
      </c>
      <c r="BD26" s="744">
        <f t="shared" si="36"/>
        <v>381825.56000000006</v>
      </c>
      <c r="BE26" s="741">
        <f t="shared" si="36"/>
        <v>0</v>
      </c>
      <c r="BF26" s="743">
        <f t="shared" si="36"/>
        <v>0</v>
      </c>
      <c r="BG26" s="742">
        <f t="shared" si="36"/>
        <v>0</v>
      </c>
      <c r="BH26" s="742">
        <f t="shared" si="36"/>
        <v>0</v>
      </c>
      <c r="BI26" s="742">
        <f t="shared" si="36"/>
        <v>0</v>
      </c>
      <c r="BJ26" s="742">
        <f t="shared" si="36"/>
        <v>0</v>
      </c>
      <c r="BK26" s="741">
        <f t="shared" si="36"/>
        <v>0</v>
      </c>
      <c r="BL26" s="743">
        <f t="shared" si="36"/>
        <v>0</v>
      </c>
      <c r="BM26" s="742">
        <f t="shared" si="36"/>
        <v>0</v>
      </c>
      <c r="BN26" s="742">
        <f t="shared" si="36"/>
        <v>0</v>
      </c>
      <c r="BO26" s="742">
        <f t="shared" si="36"/>
        <v>0</v>
      </c>
      <c r="BP26" s="742">
        <f t="shared" ref="BP26" si="37">SUM(BP8:BP25)</f>
        <v>0</v>
      </c>
    </row>
    <row r="27" spans="1:68" s="737" customFormat="1" ht="21" customHeight="1" x14ac:dyDescent="0.25">
      <c r="B27" s="745"/>
      <c r="C27" s="745"/>
      <c r="D27" s="745"/>
      <c r="E27" s="745"/>
      <c r="F27" s="745"/>
      <c r="G27" s="745"/>
      <c r="H27" s="745"/>
      <c r="I27" s="745"/>
      <c r="J27" s="745"/>
      <c r="K27" s="745"/>
      <c r="L27" s="745"/>
      <c r="M27" s="745"/>
      <c r="N27" s="745"/>
      <c r="O27" s="745"/>
      <c r="P27" s="745"/>
      <c r="Q27" s="745"/>
      <c r="R27" s="745"/>
      <c r="S27" s="745"/>
      <c r="T27" s="745"/>
      <c r="U27" s="745"/>
      <c r="V27" s="745"/>
      <c r="W27" s="745"/>
      <c r="X27" s="745"/>
      <c r="Y27" s="745"/>
      <c r="Z27" s="745"/>
      <c r="AA27" s="745"/>
      <c r="AB27" s="745"/>
      <c r="AC27" s="745"/>
      <c r="AD27" s="745"/>
      <c r="AE27" s="745"/>
      <c r="AF27" s="745"/>
      <c r="AG27" s="745"/>
      <c r="AH27" s="745"/>
      <c r="AI27" s="745"/>
      <c r="AJ27" s="745"/>
      <c r="AK27" s="745"/>
      <c r="AL27" s="746"/>
      <c r="AM27" s="746"/>
      <c r="AN27" s="746"/>
      <c r="AO27" s="746"/>
      <c r="AP27" s="746"/>
      <c r="AQ27" s="746"/>
      <c r="AR27" s="746"/>
      <c r="AS27" s="746"/>
      <c r="AT27" s="746"/>
      <c r="AU27" s="746"/>
      <c r="AV27" s="746"/>
      <c r="AW27" s="746"/>
      <c r="AX27" s="745"/>
      <c r="AY27" s="745"/>
      <c r="AZ27" s="1132">
        <f>AZ26-'Прочая  субсидия_МР  и  ГО'!BC44+'Прочая  субсидия_МР  и  ГО'!BC30</f>
        <v>-1.862645149230957E-9</v>
      </c>
      <c r="BA27" s="745"/>
      <c r="BB27" s="745"/>
      <c r="BC27" s="745"/>
      <c r="BD27" s="745"/>
      <c r="BE27" s="745"/>
      <c r="BF27" s="745"/>
      <c r="BG27" s="745"/>
      <c r="BH27" s="745"/>
      <c r="BI27" s="745"/>
      <c r="BJ27" s="745"/>
      <c r="BK27" s="745"/>
      <c r="BL27" s="745"/>
      <c r="BM27" s="745"/>
      <c r="BN27" s="745"/>
      <c r="BO27" s="745"/>
      <c r="BP27" s="745"/>
    </row>
    <row r="28" spans="1:68" ht="15.75" x14ac:dyDescent="0.25">
      <c r="N28" s="1"/>
      <c r="O28" s="1"/>
      <c r="P28" s="1"/>
      <c r="Q28" s="1"/>
      <c r="R28" s="1"/>
      <c r="S28" s="1"/>
      <c r="AL28" s="745"/>
      <c r="AM28" s="745"/>
      <c r="AN28" s="745"/>
      <c r="AO28" s="745"/>
      <c r="AP28" s="745"/>
      <c r="AQ28" s="745"/>
      <c r="AR28" s="745"/>
      <c r="AS28" s="745"/>
      <c r="AT28" s="745"/>
      <c r="AU28" s="745"/>
      <c r="AV28" s="745"/>
      <c r="AW28" s="745"/>
    </row>
    <row r="29" spans="1:68" ht="15.75" x14ac:dyDescent="0.25">
      <c r="N29" s="1"/>
      <c r="O29" s="1"/>
      <c r="P29" s="1"/>
      <c r="Q29" s="1"/>
      <c r="R29" s="1"/>
      <c r="S29" s="1"/>
      <c r="AL29" s="745"/>
      <c r="AM29" s="745"/>
      <c r="AN29" s="745"/>
      <c r="AO29" s="745"/>
      <c r="AP29" s="745"/>
      <c r="AQ29" s="745"/>
      <c r="AR29" s="745"/>
      <c r="AS29" s="745"/>
      <c r="AT29" s="745"/>
      <c r="AU29" s="745"/>
      <c r="AV29" s="745"/>
      <c r="AW29" s="745"/>
    </row>
    <row r="30" spans="1:68" s="390" customFormat="1" ht="15.75" x14ac:dyDescent="0.25">
      <c r="A30" s="1"/>
      <c r="B30" s="1"/>
      <c r="C30" s="1"/>
      <c r="D30" s="1"/>
      <c r="E30" s="1"/>
      <c r="F30" s="1"/>
      <c r="G30" s="1"/>
      <c r="AL30" s="745"/>
      <c r="AM30" s="745"/>
      <c r="AN30" s="745"/>
      <c r="AO30" s="745"/>
      <c r="AP30" s="745"/>
      <c r="AQ30" s="745"/>
      <c r="AR30" s="745"/>
      <c r="AS30" s="745"/>
      <c r="AT30" s="745"/>
      <c r="AU30" s="745"/>
      <c r="AV30" s="745"/>
      <c r="AW30" s="745"/>
      <c r="AZ30" s="495"/>
    </row>
    <row r="31" spans="1:68" ht="15.75" x14ac:dyDescent="0.25">
      <c r="N31" s="1"/>
      <c r="O31" s="1"/>
      <c r="P31" s="1"/>
      <c r="Q31" s="1"/>
      <c r="R31" s="1"/>
      <c r="S31" s="1"/>
      <c r="AL31" s="747"/>
      <c r="AM31" s="747"/>
      <c r="AN31" s="747"/>
      <c r="AO31" s="747"/>
      <c r="AP31" s="747"/>
      <c r="AQ31" s="747"/>
      <c r="AR31" s="747"/>
      <c r="AS31" s="747"/>
      <c r="AT31" s="747"/>
      <c r="AU31" s="747"/>
      <c r="AV31" s="747"/>
      <c r="AW31" s="747"/>
    </row>
    <row r="32" spans="1:68" ht="15.75" x14ac:dyDescent="0.25">
      <c r="N32" s="1"/>
      <c r="O32" s="1"/>
      <c r="P32" s="1"/>
      <c r="Q32" s="1"/>
      <c r="R32" s="1"/>
      <c r="S32" s="1"/>
      <c r="AL32" s="745"/>
      <c r="AM32" s="745"/>
      <c r="AN32" s="745"/>
      <c r="AO32" s="745"/>
      <c r="AP32" s="745"/>
      <c r="AQ32" s="745"/>
      <c r="AR32" s="745"/>
      <c r="AS32" s="745"/>
      <c r="AT32" s="745"/>
      <c r="AU32" s="745"/>
      <c r="AV32" s="745"/>
      <c r="AW32" s="745"/>
    </row>
    <row r="33" spans="14:56" ht="15.75" x14ac:dyDescent="0.25">
      <c r="N33" s="1"/>
      <c r="O33" s="1"/>
      <c r="P33" s="1"/>
      <c r="Q33" s="1"/>
      <c r="R33" s="1"/>
      <c r="S33" s="1"/>
      <c r="AL33" s="745"/>
      <c r="AM33" s="745"/>
      <c r="AN33" s="745"/>
      <c r="AO33" s="745"/>
      <c r="AP33" s="745"/>
      <c r="AQ33" s="745"/>
      <c r="AR33" s="745"/>
      <c r="AS33" s="745"/>
      <c r="AT33" s="745"/>
      <c r="AU33" s="745"/>
      <c r="AV33" s="745"/>
      <c r="AW33" s="745"/>
    </row>
    <row r="34" spans="14:56" x14ac:dyDescent="0.25">
      <c r="AL34" s="745"/>
      <c r="AM34" s="745"/>
      <c r="AN34" s="745"/>
      <c r="AO34" s="745"/>
      <c r="AP34" s="745"/>
      <c r="AQ34" s="745"/>
      <c r="AR34" s="745"/>
      <c r="AS34" s="745"/>
      <c r="AT34" s="745"/>
      <c r="AU34" s="745"/>
      <c r="AV34" s="745"/>
      <c r="AW34" s="745"/>
      <c r="AX34" s="745"/>
      <c r="AY34" s="745"/>
      <c r="AZ34" s="745"/>
      <c r="BA34" s="745"/>
      <c r="BB34" s="745"/>
      <c r="BC34" s="745"/>
      <c r="BD34" s="745"/>
    </row>
    <row r="35" spans="14:56" x14ac:dyDescent="0.25">
      <c r="AL35" s="748"/>
      <c r="AM35" s="748"/>
      <c r="AN35" s="748"/>
      <c r="AO35" s="748"/>
      <c r="AP35" s="748"/>
      <c r="AQ35" s="748"/>
      <c r="AR35" s="748"/>
      <c r="AS35" s="748"/>
      <c r="AT35" s="748"/>
      <c r="AU35" s="748"/>
      <c r="AV35" s="748"/>
      <c r="AW35" s="748"/>
    </row>
    <row r="36" spans="14:56" x14ac:dyDescent="0.25">
      <c r="AL36" s="745"/>
      <c r="AM36" s="745"/>
      <c r="AN36" s="745"/>
      <c r="AO36" s="745"/>
      <c r="AP36" s="745"/>
      <c r="AQ36" s="745"/>
      <c r="AR36" s="745"/>
      <c r="AS36" s="745"/>
      <c r="AT36" s="745"/>
      <c r="AU36" s="745"/>
      <c r="AV36" s="745"/>
      <c r="AW36" s="745"/>
    </row>
    <row r="37" spans="14:56" x14ac:dyDescent="0.25">
      <c r="AL37" s="749"/>
      <c r="AM37" s="749"/>
      <c r="AN37" s="749"/>
      <c r="AO37" s="749"/>
      <c r="AP37" s="749"/>
      <c r="AQ37" s="749"/>
      <c r="AR37" s="749"/>
      <c r="AS37" s="749"/>
      <c r="AT37" s="749"/>
      <c r="AU37" s="749"/>
      <c r="AV37" s="749"/>
      <c r="AW37" s="749"/>
    </row>
    <row r="38" spans="14:56" x14ac:dyDescent="0.25">
      <c r="AL38" s="749"/>
      <c r="AM38" s="749"/>
      <c r="AN38" s="749"/>
      <c r="AO38" s="749"/>
      <c r="AP38" s="749"/>
      <c r="AQ38" s="749"/>
      <c r="AR38" s="749"/>
      <c r="AS38" s="749"/>
      <c r="AT38" s="749"/>
      <c r="AU38" s="749"/>
      <c r="AV38" s="749"/>
      <c r="AW38" s="749"/>
    </row>
    <row r="39" spans="14:56" x14ac:dyDescent="0.25">
      <c r="AL39" s="749"/>
      <c r="AM39" s="749"/>
      <c r="AN39" s="749"/>
      <c r="AO39" s="749"/>
      <c r="AP39" s="749"/>
      <c r="AQ39" s="749"/>
      <c r="AR39" s="749"/>
      <c r="AS39" s="749"/>
      <c r="AT39" s="749"/>
      <c r="AU39" s="749"/>
      <c r="AV39" s="749"/>
      <c r="AW39" s="749"/>
    </row>
    <row r="40" spans="14:56" ht="15.75" x14ac:dyDescent="0.25">
      <c r="N40" s="1"/>
      <c r="O40" s="1"/>
      <c r="P40" s="1"/>
      <c r="Q40" s="1"/>
      <c r="R40" s="1"/>
      <c r="S40" s="1"/>
      <c r="AL40" s="749"/>
      <c r="AM40" s="749"/>
      <c r="AN40" s="749"/>
      <c r="AO40" s="749"/>
      <c r="AP40" s="749"/>
      <c r="AQ40" s="749"/>
      <c r="AR40" s="749"/>
      <c r="AS40" s="749"/>
      <c r="AT40" s="749"/>
      <c r="AU40" s="749"/>
      <c r="AV40" s="749"/>
      <c r="AW40" s="749"/>
    </row>
    <row r="41" spans="14:56" ht="15" x14ac:dyDescent="0.2">
      <c r="N41" s="1"/>
      <c r="O41" s="1"/>
      <c r="P41" s="1"/>
      <c r="Q41" s="1"/>
      <c r="R41" s="1"/>
      <c r="S41" s="1"/>
    </row>
    <row r="42" spans="14:56" ht="15" x14ac:dyDescent="0.2">
      <c r="N42" s="1"/>
      <c r="O42" s="1"/>
      <c r="P42" s="1"/>
      <c r="Q42" s="1"/>
      <c r="R42" s="1"/>
      <c r="S42" s="1"/>
    </row>
    <row r="43" spans="14:56" ht="15" x14ac:dyDescent="0.2">
      <c r="N43" s="1"/>
      <c r="O43" s="1"/>
      <c r="P43" s="1"/>
      <c r="Q43" s="1"/>
      <c r="R43" s="1"/>
      <c r="S43" s="1"/>
    </row>
    <row r="44" spans="14:56" ht="15" x14ac:dyDescent="0.2">
      <c r="N44" s="1"/>
      <c r="O44" s="1"/>
      <c r="P44" s="1"/>
      <c r="Q44" s="1"/>
      <c r="R44" s="1"/>
      <c r="S44" s="1"/>
    </row>
    <row r="45" spans="14:56" ht="15" x14ac:dyDescent="0.2">
      <c r="N45" s="1"/>
      <c r="O45" s="1"/>
      <c r="P45" s="1"/>
      <c r="Q45" s="1"/>
      <c r="R45" s="1"/>
      <c r="S45" s="1"/>
    </row>
    <row r="46" spans="14:56" ht="15" x14ac:dyDescent="0.2">
      <c r="N46" s="1"/>
      <c r="O46" s="1"/>
      <c r="P46" s="1"/>
      <c r="Q46" s="1"/>
      <c r="R46" s="1"/>
      <c r="S46" s="1"/>
    </row>
    <row r="47" spans="14:56" ht="15" x14ac:dyDescent="0.2">
      <c r="N47" s="1"/>
      <c r="O47" s="1"/>
      <c r="P47" s="1"/>
      <c r="Q47" s="1"/>
      <c r="R47" s="1"/>
      <c r="S47" s="1"/>
    </row>
    <row r="48" spans="14:56" x14ac:dyDescent="0.2">
      <c r="N48" s="750"/>
      <c r="O48" s="750"/>
      <c r="P48" s="750"/>
      <c r="Q48" s="750"/>
      <c r="R48" s="750"/>
      <c r="S48" s="750"/>
    </row>
    <row r="49" spans="14:19" x14ac:dyDescent="0.2">
      <c r="N49" s="750"/>
      <c r="O49" s="750"/>
      <c r="P49" s="750"/>
      <c r="Q49" s="750"/>
      <c r="R49" s="750"/>
      <c r="S49" s="750"/>
    </row>
    <row r="50" spans="14:19" x14ac:dyDescent="0.2">
      <c r="N50" s="751"/>
      <c r="O50" s="751"/>
      <c r="P50" s="751"/>
      <c r="Q50" s="751"/>
      <c r="R50" s="751"/>
      <c r="S50" s="751"/>
    </row>
    <row r="51" spans="14:19" x14ac:dyDescent="0.2">
      <c r="N51" s="752"/>
      <c r="O51" s="752"/>
      <c r="P51" s="752"/>
      <c r="Q51" s="752"/>
      <c r="R51" s="752"/>
      <c r="S51" s="752"/>
    </row>
    <row r="52" spans="14:19" x14ac:dyDescent="0.2">
      <c r="N52" s="752"/>
      <c r="O52" s="752"/>
      <c r="P52" s="752"/>
      <c r="Q52" s="752"/>
      <c r="R52" s="752"/>
      <c r="S52" s="752"/>
    </row>
    <row r="53" spans="14:19" x14ac:dyDescent="0.2">
      <c r="N53" s="752"/>
      <c r="O53" s="752"/>
      <c r="P53" s="752"/>
      <c r="Q53" s="752"/>
      <c r="R53" s="752"/>
      <c r="S53" s="752"/>
    </row>
    <row r="54" spans="14:19" x14ac:dyDescent="0.2">
      <c r="N54" s="752"/>
      <c r="O54" s="752"/>
      <c r="P54" s="752"/>
      <c r="Q54" s="752"/>
      <c r="R54" s="752"/>
      <c r="S54" s="752"/>
    </row>
    <row r="55" spans="14:19" x14ac:dyDescent="0.2">
      <c r="N55" s="751"/>
      <c r="O55" s="751"/>
      <c r="P55" s="751"/>
      <c r="Q55" s="751"/>
      <c r="R55" s="751"/>
      <c r="S55" s="751"/>
    </row>
    <row r="56" spans="14:19" x14ac:dyDescent="0.2">
      <c r="N56" s="751"/>
      <c r="O56" s="751"/>
      <c r="P56" s="751"/>
      <c r="Q56" s="751"/>
      <c r="R56" s="751"/>
      <c r="S56" s="751"/>
    </row>
    <row r="57" spans="14:19" x14ac:dyDescent="0.2">
      <c r="N57" s="751"/>
      <c r="O57" s="751"/>
      <c r="P57" s="751"/>
      <c r="Q57" s="751"/>
      <c r="R57" s="751"/>
      <c r="S57" s="751"/>
    </row>
  </sheetData>
  <mergeCells count="44">
    <mergeCell ref="J5:K5"/>
    <mergeCell ref="A5:A6"/>
    <mergeCell ref="B5:C6"/>
    <mergeCell ref="D5:E6"/>
    <mergeCell ref="F5:G6"/>
    <mergeCell ref="H5:I5"/>
    <mergeCell ref="H6:M6"/>
    <mergeCell ref="AH5:AI5"/>
    <mergeCell ref="L5:M5"/>
    <mergeCell ref="N5:O5"/>
    <mergeCell ref="P5:Q5"/>
    <mergeCell ref="R5:S5"/>
    <mergeCell ref="T5:U5"/>
    <mergeCell ref="V5:W5"/>
    <mergeCell ref="X5:Y5"/>
    <mergeCell ref="Z5:AA5"/>
    <mergeCell ref="AB5:AC5"/>
    <mergeCell ref="AD5:AE5"/>
    <mergeCell ref="AF5:AG5"/>
    <mergeCell ref="AX6:BD6"/>
    <mergeCell ref="AJ5:AK5"/>
    <mergeCell ref="AL5:AM5"/>
    <mergeCell ref="AN5:AO5"/>
    <mergeCell ref="AP5:AQ5"/>
    <mergeCell ref="AR5:AS5"/>
    <mergeCell ref="AV5:AW5"/>
    <mergeCell ref="AX5:AY5"/>
    <mergeCell ref="BA5:BB5"/>
    <mergeCell ref="BC5:BD5"/>
    <mergeCell ref="AT5:AU5"/>
    <mergeCell ref="N6:S6"/>
    <mergeCell ref="T6:Y6"/>
    <mergeCell ref="Z6:AE6"/>
    <mergeCell ref="AF6:AK6"/>
    <mergeCell ref="AR6:AW6"/>
    <mergeCell ref="AL6:AQ6"/>
    <mergeCell ref="BE6:BJ6"/>
    <mergeCell ref="BK6:BP6"/>
    <mergeCell ref="BI5:BJ5"/>
    <mergeCell ref="BK5:BL5"/>
    <mergeCell ref="BM5:BN5"/>
    <mergeCell ref="BO5:BP5"/>
    <mergeCell ref="BE5:BF5"/>
    <mergeCell ref="BG5:BH5"/>
  </mergeCells>
  <pageMargins left="0.78740157480314965" right="0.39370078740157483" top="0.78740157480314965" bottom="0.78740157480314965" header="0.51181102362204722" footer="0.51181102362204722"/>
  <pageSetup paperSize="9" scale="50" fitToWidth="10" orientation="landscape" r:id="rId1"/>
  <headerFooter alignWithMargins="0">
    <oddFooter>&amp;L&amp;P&amp;R&amp;Z&amp;F&amp;A</oddFooter>
  </headerFooter>
  <colBreaks count="6" manualBreakCount="6">
    <brk id="11" max="25" man="1"/>
    <brk id="21" max="25" man="1"/>
    <brk id="31" max="25" man="1"/>
    <brk id="41" max="25" man="1"/>
    <brk id="52" max="25" man="1"/>
    <brk id="62" max="2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U44"/>
  <sheetViews>
    <sheetView topLeftCell="A2" zoomScale="30" zoomScaleNormal="30" zoomScaleSheetLayoutView="34" workbookViewId="0">
      <pane xSplit="3" ySplit="6" topLeftCell="AC8" activePane="bottomRight" state="frozen"/>
      <selection activeCell="A2" sqref="A2"/>
      <selection pane="topRight" activeCell="D2" sqref="D2"/>
      <selection pane="bottomLeft" activeCell="A8" sqref="A8"/>
      <selection pane="bottomRight" activeCell="AK14" sqref="AK14"/>
    </sheetView>
  </sheetViews>
  <sheetFormatPr defaultColWidth="8.85546875" defaultRowHeight="16.5" x14ac:dyDescent="0.25"/>
  <cols>
    <col min="1" max="1" width="33.42578125" style="687" customWidth="1"/>
    <col min="2" max="2" width="27.85546875" style="687" bestFit="1" customWidth="1"/>
    <col min="3" max="3" width="27.140625" style="687" bestFit="1" customWidth="1"/>
    <col min="4" max="4" width="23.140625" style="687" customWidth="1"/>
    <col min="5" max="5" width="22.5703125" style="687" customWidth="1"/>
    <col min="6" max="6" width="21.85546875" style="687" customWidth="1"/>
    <col min="7" max="7" width="22.5703125" style="687" bestFit="1" customWidth="1"/>
    <col min="8" max="9" width="21.5703125" style="687" customWidth="1"/>
    <col min="10" max="10" width="22.42578125" style="687" customWidth="1"/>
    <col min="11" max="12" width="23.42578125" style="687" customWidth="1"/>
    <col min="13" max="13" width="25.5703125" style="687" customWidth="1"/>
    <col min="14" max="14" width="24.140625" style="687" bestFit="1" customWidth="1"/>
    <col min="15" max="15" width="22.85546875" style="687" bestFit="1" customWidth="1"/>
    <col min="16" max="17" width="22.140625" style="687" customWidth="1"/>
    <col min="18" max="18" width="26.7109375" style="687" customWidth="1"/>
    <col min="19" max="19" width="24" style="687" customWidth="1"/>
    <col min="20" max="20" width="27.140625" style="687" bestFit="1" customWidth="1"/>
    <col min="21" max="21" width="25.85546875" style="687" customWidth="1"/>
    <col min="22" max="22" width="23.42578125" style="687" customWidth="1"/>
    <col min="23" max="23" width="22.42578125" style="687" customWidth="1"/>
    <col min="24" max="24" width="26.5703125" style="687" customWidth="1"/>
    <col min="25" max="25" width="26.85546875" style="687" customWidth="1"/>
    <col min="26" max="27" width="22.42578125" style="687" customWidth="1"/>
    <col min="28" max="28" width="23.42578125" style="687" bestFit="1" customWidth="1"/>
    <col min="29" max="29" width="22.42578125" style="687" bestFit="1" customWidth="1"/>
    <col min="30" max="31" width="22.5703125" style="687" customWidth="1"/>
    <col min="32" max="32" width="22" style="687" customWidth="1"/>
    <col min="33" max="37" width="22.42578125" style="687" customWidth="1"/>
    <col min="38" max="38" width="22.5703125" style="687" customWidth="1"/>
    <col min="39" max="39" width="24" style="687" customWidth="1"/>
    <col min="40" max="40" width="22.42578125" style="687" customWidth="1"/>
    <col min="41" max="41" width="22" style="687" bestFit="1" customWidth="1"/>
    <col min="42" max="42" width="12.5703125" style="687" customWidth="1"/>
    <col min="43" max="43" width="8.85546875" style="687"/>
    <col min="44" max="44" width="25.140625" style="687" customWidth="1"/>
    <col min="45" max="45" width="18.5703125" style="687" customWidth="1"/>
    <col min="46" max="46" width="17.5703125" style="687" customWidth="1"/>
    <col min="47" max="47" width="18.5703125" style="687" customWidth="1"/>
    <col min="48" max="16384" width="8.85546875" style="687"/>
  </cols>
  <sheetData>
    <row r="2" spans="1:47" ht="48" customHeight="1" x14ac:dyDescent="0.25">
      <c r="C2" s="1730" t="s">
        <v>841</v>
      </c>
      <c r="D2" s="1730"/>
      <c r="E2" s="1730"/>
      <c r="F2" s="1730"/>
      <c r="G2" s="1730"/>
      <c r="H2" s="1730"/>
      <c r="I2" s="688" t="str">
        <f>'Прочая  субсидия_БП'!F2</f>
        <v>ПО  СОСТОЯНИЮ  НА  1  ОКТЯБРЯ  2024  ГОДА</v>
      </c>
      <c r="J2" s="688"/>
      <c r="K2" s="688"/>
      <c r="L2" s="689"/>
      <c r="AB2" s="690"/>
      <c r="AC2" s="690"/>
      <c r="AF2" s="691"/>
      <c r="AG2" s="691"/>
      <c r="AH2" s="691"/>
      <c r="AI2" s="691"/>
      <c r="AJ2" s="691"/>
      <c r="AK2" s="691"/>
    </row>
    <row r="3" spans="1:47" x14ac:dyDescent="0.25">
      <c r="B3" s="691"/>
      <c r="C3" s="691"/>
      <c r="D3" s="691"/>
      <c r="E3" s="691"/>
      <c r="AB3" s="691"/>
      <c r="AC3" s="691"/>
      <c r="AD3" s="691"/>
      <c r="AE3" s="691"/>
      <c r="AF3" s="691"/>
      <c r="AG3" s="691"/>
      <c r="AH3" s="691"/>
      <c r="AI3" s="691"/>
      <c r="AJ3" s="691"/>
      <c r="AK3" s="691"/>
    </row>
    <row r="4" spans="1:47" x14ac:dyDescent="0.25">
      <c r="AO4" s="687" t="s">
        <v>842</v>
      </c>
    </row>
    <row r="5" spans="1:47" s="692" customFormat="1" ht="269.10000000000002" customHeight="1" x14ac:dyDescent="0.25">
      <c r="A5" s="1720" t="s">
        <v>797</v>
      </c>
      <c r="B5" s="1720" t="s">
        <v>31</v>
      </c>
      <c r="C5" s="1720"/>
      <c r="D5" s="1720" t="s">
        <v>843</v>
      </c>
      <c r="E5" s="1720"/>
      <c r="F5" s="1721" t="s">
        <v>844</v>
      </c>
      <c r="G5" s="1728"/>
      <c r="H5" s="1721" t="s">
        <v>845</v>
      </c>
      <c r="I5" s="1728"/>
      <c r="J5" s="1720" t="s">
        <v>846</v>
      </c>
      <c r="K5" s="1720"/>
      <c r="L5" s="1720" t="s">
        <v>847</v>
      </c>
      <c r="M5" s="1720"/>
      <c r="N5" s="1720" t="s">
        <v>848</v>
      </c>
      <c r="O5" s="1720"/>
      <c r="P5" s="1721" t="s">
        <v>849</v>
      </c>
      <c r="Q5" s="1728"/>
      <c r="R5" s="1729" t="s">
        <v>850</v>
      </c>
      <c r="S5" s="1729"/>
      <c r="T5" s="1721" t="s">
        <v>851</v>
      </c>
      <c r="U5" s="1728"/>
      <c r="V5" s="1720" t="s">
        <v>852</v>
      </c>
      <c r="W5" s="1720"/>
      <c r="X5" s="1720" t="s">
        <v>853</v>
      </c>
      <c r="Y5" s="1720"/>
      <c r="Z5" s="1720" t="s">
        <v>854</v>
      </c>
      <c r="AA5" s="1720"/>
      <c r="AB5" s="1720" t="s">
        <v>855</v>
      </c>
      <c r="AC5" s="1720"/>
      <c r="AD5" s="1720" t="s">
        <v>856</v>
      </c>
      <c r="AE5" s="1720"/>
      <c r="AF5" s="1720" t="s">
        <v>1259</v>
      </c>
      <c r="AG5" s="1720"/>
      <c r="AH5" s="1720" t="s">
        <v>857</v>
      </c>
      <c r="AI5" s="1721"/>
      <c r="AJ5" s="1727" t="s">
        <v>858</v>
      </c>
      <c r="AK5" s="1727"/>
      <c r="AL5" s="1720" t="s">
        <v>859</v>
      </c>
      <c r="AM5" s="1721"/>
      <c r="AN5" s="1722" t="s">
        <v>860</v>
      </c>
      <c r="AO5" s="1722"/>
    </row>
    <row r="6" spans="1:47" ht="25.5" customHeight="1" x14ac:dyDescent="0.25">
      <c r="A6" s="1720"/>
      <c r="B6" s="1720"/>
      <c r="C6" s="1720"/>
      <c r="D6" s="1723" t="s">
        <v>861</v>
      </c>
      <c r="E6" s="1724"/>
      <c r="F6" s="1723" t="s">
        <v>862</v>
      </c>
      <c r="G6" s="1724"/>
      <c r="H6" s="1723" t="s">
        <v>863</v>
      </c>
      <c r="I6" s="1724"/>
      <c r="J6" s="1723" t="s">
        <v>864</v>
      </c>
      <c r="K6" s="1724"/>
      <c r="L6" s="1723" t="s">
        <v>865</v>
      </c>
      <c r="M6" s="1724"/>
      <c r="N6" s="1723" t="s">
        <v>866</v>
      </c>
      <c r="O6" s="1724"/>
      <c r="P6" s="1723" t="s">
        <v>867</v>
      </c>
      <c r="Q6" s="1724"/>
      <c r="R6" s="1725" t="s">
        <v>868</v>
      </c>
      <c r="S6" s="1724"/>
      <c r="T6" s="1723" t="s">
        <v>869</v>
      </c>
      <c r="U6" s="1724"/>
      <c r="V6" s="1723" t="s">
        <v>870</v>
      </c>
      <c r="W6" s="1724"/>
      <c r="X6" s="1726" t="s">
        <v>871</v>
      </c>
      <c r="Y6" s="1726"/>
      <c r="Z6" s="1723" t="s">
        <v>872</v>
      </c>
      <c r="AA6" s="1724"/>
      <c r="AB6" s="1725" t="s">
        <v>873</v>
      </c>
      <c r="AC6" s="1724"/>
      <c r="AD6" s="1723" t="s">
        <v>874</v>
      </c>
      <c r="AE6" s="1724"/>
      <c r="AF6" s="1726" t="s">
        <v>875</v>
      </c>
      <c r="AG6" s="1726"/>
      <c r="AH6" s="1726" t="s">
        <v>876</v>
      </c>
      <c r="AI6" s="1726"/>
      <c r="AJ6" s="1726" t="s">
        <v>877</v>
      </c>
      <c r="AK6" s="1726"/>
      <c r="AL6" s="1725" t="s">
        <v>878</v>
      </c>
      <c r="AM6" s="1725"/>
      <c r="AN6" s="1723" t="s">
        <v>879</v>
      </c>
      <c r="AO6" s="1724"/>
    </row>
    <row r="7" spans="1:47" s="697" customFormat="1" ht="25.5" customHeight="1" x14ac:dyDescent="0.25">
      <c r="A7" s="693"/>
      <c r="B7" s="694" t="s">
        <v>314</v>
      </c>
      <c r="C7" s="694" t="s">
        <v>316</v>
      </c>
      <c r="D7" s="694" t="s">
        <v>314</v>
      </c>
      <c r="E7" s="694" t="s">
        <v>316</v>
      </c>
      <c r="F7" s="694" t="s">
        <v>314</v>
      </c>
      <c r="G7" s="694" t="s">
        <v>316</v>
      </c>
      <c r="H7" s="694" t="s">
        <v>314</v>
      </c>
      <c r="I7" s="694" t="s">
        <v>316</v>
      </c>
      <c r="J7" s="694" t="s">
        <v>314</v>
      </c>
      <c r="K7" s="694" t="s">
        <v>316</v>
      </c>
      <c r="L7" s="694" t="s">
        <v>314</v>
      </c>
      <c r="M7" s="694" t="s">
        <v>316</v>
      </c>
      <c r="N7" s="694" t="s">
        <v>314</v>
      </c>
      <c r="O7" s="694" t="s">
        <v>316</v>
      </c>
      <c r="P7" s="694" t="s">
        <v>314</v>
      </c>
      <c r="Q7" s="694" t="s">
        <v>316</v>
      </c>
      <c r="R7" s="694" t="s">
        <v>314</v>
      </c>
      <c r="S7" s="694" t="s">
        <v>316</v>
      </c>
      <c r="T7" s="694" t="s">
        <v>314</v>
      </c>
      <c r="U7" s="695" t="s">
        <v>316</v>
      </c>
      <c r="V7" s="694" t="s">
        <v>314</v>
      </c>
      <c r="W7" s="694" t="s">
        <v>316</v>
      </c>
      <c r="X7" s="694" t="s">
        <v>314</v>
      </c>
      <c r="Y7" s="694" t="s">
        <v>316</v>
      </c>
      <c r="Z7" s="694" t="s">
        <v>314</v>
      </c>
      <c r="AA7" s="694" t="s">
        <v>316</v>
      </c>
      <c r="AB7" s="694" t="s">
        <v>314</v>
      </c>
      <c r="AC7" s="694" t="s">
        <v>316</v>
      </c>
      <c r="AD7" s="694" t="s">
        <v>314</v>
      </c>
      <c r="AE7" s="694" t="s">
        <v>316</v>
      </c>
      <c r="AF7" s="694" t="s">
        <v>314</v>
      </c>
      <c r="AG7" s="694" t="s">
        <v>316</v>
      </c>
      <c r="AH7" s="694" t="s">
        <v>314</v>
      </c>
      <c r="AI7" s="694" t="s">
        <v>316</v>
      </c>
      <c r="AJ7" s="694" t="s">
        <v>314</v>
      </c>
      <c r="AK7" s="694" t="s">
        <v>316</v>
      </c>
      <c r="AL7" s="694" t="s">
        <v>314</v>
      </c>
      <c r="AM7" s="696" t="s">
        <v>316</v>
      </c>
      <c r="AN7" s="694" t="s">
        <v>314</v>
      </c>
      <c r="AO7" s="694" t="s">
        <v>316</v>
      </c>
    </row>
    <row r="8" spans="1:47" ht="21" customHeight="1" x14ac:dyDescent="0.25">
      <c r="A8" s="1112" t="s">
        <v>1281</v>
      </c>
      <c r="B8" s="1113">
        <f t="shared" ref="B8:C27" si="0">D8+F8+H8+L8+P8+J8+R8+N8+AL8+X8+T8+V8+Z8+AB8+AD8+AF8+AH8+AN8+AJ8</f>
        <v>180215043.96999997</v>
      </c>
      <c r="C8" s="1113">
        <f t="shared" si="0"/>
        <v>134927459.19</v>
      </c>
      <c r="D8" s="698">
        <f>[1]Субвенция_факт!H9*1000</f>
        <v>7069.15</v>
      </c>
      <c r="E8" s="699">
        <v>0</v>
      </c>
      <c r="F8" s="698">
        <f>[1]Субвенция_факт!I9*1000</f>
        <v>864864</v>
      </c>
      <c r="G8" s="699">
        <v>574742</v>
      </c>
      <c r="H8" s="698">
        <f>[1]Субвенция_факт!J9*1000</f>
        <v>310464</v>
      </c>
      <c r="I8" s="699">
        <v>207592</v>
      </c>
      <c r="J8" s="698">
        <f>[1]Субвенция_факт!K9*1000</f>
        <v>759129.65</v>
      </c>
      <c r="K8" s="699">
        <v>700000</v>
      </c>
      <c r="L8" s="698">
        <f>[1]Субвенция_факт!L9*1000</f>
        <v>3395950</v>
      </c>
      <c r="M8" s="699">
        <v>1385000</v>
      </c>
      <c r="N8" s="698">
        <f>[1]Субвенция_факт!N9*1000</f>
        <v>2536903.0699999998</v>
      </c>
      <c r="O8" s="699">
        <v>1650000</v>
      </c>
      <c r="P8" s="698">
        <f>[1]Субвенция_факт!O9*1000</f>
        <v>189456</v>
      </c>
      <c r="Q8" s="699">
        <v>189456</v>
      </c>
      <c r="R8" s="698">
        <f>[1]Субвенция_факт!R9*1000</f>
        <v>0</v>
      </c>
      <c r="S8" s="699"/>
      <c r="T8" s="698">
        <f>[1]Субвенция_факт!S9*1000</f>
        <v>146045996.99999997</v>
      </c>
      <c r="U8" s="700">
        <v>112600000</v>
      </c>
      <c r="V8" s="698">
        <f>[1]Субвенция_факт!T9*1000</f>
        <v>0</v>
      </c>
      <c r="W8" s="701"/>
      <c r="X8" s="698">
        <f>[1]Субвенция_факт!U9*1000</f>
        <v>21769000</v>
      </c>
      <c r="Y8" s="702">
        <v>14700000</v>
      </c>
      <c r="Z8" s="698">
        <f>[1]Субвенция_факт!V9*1000</f>
        <v>2500</v>
      </c>
      <c r="AA8" s="699">
        <v>0</v>
      </c>
      <c r="AB8" s="698">
        <f>[1]Субвенция_факт!Y9*1000</f>
        <v>2141431.17</v>
      </c>
      <c r="AC8" s="699">
        <v>1368000</v>
      </c>
      <c r="AD8" s="698">
        <f>[1]Субвенция_факт!Z9*1000</f>
        <v>0</v>
      </c>
      <c r="AE8" s="701"/>
      <c r="AF8" s="698">
        <f>[1]Субвенция_факт!AA9*1000</f>
        <v>808070.92999999993</v>
      </c>
      <c r="AG8" s="702">
        <v>700000</v>
      </c>
      <c r="AH8" s="698">
        <f>[1]Субвенция_факт!AB9*1000</f>
        <v>599386</v>
      </c>
      <c r="AI8" s="699">
        <v>192669.19</v>
      </c>
      <c r="AJ8" s="698">
        <f>[1]Субвенция_факт!AC9*1000</f>
        <v>0</v>
      </c>
      <c r="AK8" s="699"/>
      <c r="AL8" s="698">
        <f>[1]Субвенция_факт!AD9*1000</f>
        <v>784823</v>
      </c>
      <c r="AM8" s="703">
        <v>660000</v>
      </c>
      <c r="AN8" s="698">
        <f>[1]Субвенция_факт!AH9*1000</f>
        <v>0</v>
      </c>
      <c r="AO8" s="699"/>
      <c r="AR8" s="704"/>
      <c r="AS8" s="705"/>
      <c r="AT8" s="705"/>
      <c r="AU8" s="705"/>
    </row>
    <row r="9" spans="1:47" ht="21" customHeight="1" x14ac:dyDescent="0.25">
      <c r="A9" s="1112" t="s">
        <v>1282</v>
      </c>
      <c r="B9" s="1113">
        <f t="shared" ref="B9:C11" si="1">D9+F9+H9+L9+P9+J9+R9+N9+AL9+X9+T9+V9+Z9+AB9+AD9+AF9+AH9+AN9+AJ9</f>
        <v>475925516.52000004</v>
      </c>
      <c r="C9" s="1113">
        <f t="shared" si="1"/>
        <v>363700656.64999998</v>
      </c>
      <c r="D9" s="698">
        <f>[1]Субвенция_факт!H13*1000</f>
        <v>7069.15</v>
      </c>
      <c r="E9" s="699">
        <v>0</v>
      </c>
      <c r="F9" s="698">
        <f>[1]Субвенция_факт!I13*1000</f>
        <v>1820280</v>
      </c>
      <c r="G9" s="699">
        <v>1210000</v>
      </c>
      <c r="H9" s="698">
        <f>[1]Субвенция_факт!J13*1000</f>
        <v>369600</v>
      </c>
      <c r="I9" s="699">
        <v>291060</v>
      </c>
      <c r="J9" s="698">
        <f>[1]Субвенция_факт!K13*1000</f>
        <v>844429.64999999991</v>
      </c>
      <c r="K9" s="699">
        <v>844429.65</v>
      </c>
      <c r="L9" s="698">
        <f>[1]Субвенция_факт!L13*1000</f>
        <v>8435112.8000000007</v>
      </c>
      <c r="M9" s="699">
        <v>5000000</v>
      </c>
      <c r="N9" s="698">
        <f>[1]Субвенция_факт!N13*1000</f>
        <v>3707584.2700000005</v>
      </c>
      <c r="O9" s="699">
        <v>3500000</v>
      </c>
      <c r="P9" s="698">
        <f>[1]Субвенция_факт!O13*1000</f>
        <v>263038</v>
      </c>
      <c r="Q9" s="699">
        <v>263038</v>
      </c>
      <c r="R9" s="698">
        <f>[1]Субвенция_факт!R13*1000</f>
        <v>50000</v>
      </c>
      <c r="S9" s="699"/>
      <c r="T9" s="698">
        <f>[1]Субвенция_факт!S13*1000</f>
        <v>332242000</v>
      </c>
      <c r="U9" s="700">
        <v>251000000</v>
      </c>
      <c r="V9" s="698">
        <f>[1]Субвенция_факт!T13*1000</f>
        <v>0</v>
      </c>
      <c r="W9" s="701"/>
      <c r="X9" s="698">
        <f>[1]Субвенция_факт!U13*1000</f>
        <v>120564999</v>
      </c>
      <c r="Y9" s="702">
        <v>98000000</v>
      </c>
      <c r="Z9" s="698">
        <f>[1]Субвенция_факт!V13*1000</f>
        <v>5500</v>
      </c>
      <c r="AA9" s="699">
        <v>5500</v>
      </c>
      <c r="AB9" s="698">
        <f>[1]Субвенция_факт!Y13*1000</f>
        <v>2856832.7199999997</v>
      </c>
      <c r="AC9" s="699">
        <v>1944000</v>
      </c>
      <c r="AD9" s="698">
        <f>[1]Субвенция_факт!Z13*1000</f>
        <v>0</v>
      </c>
      <c r="AE9" s="701"/>
      <c r="AF9" s="698">
        <f>[1]Субвенция_факт!AA13*1000</f>
        <v>798070.92999999993</v>
      </c>
      <c r="AG9" s="702">
        <v>525000</v>
      </c>
      <c r="AH9" s="698">
        <f>[1]Субвенция_факт!AB13*1000</f>
        <v>1223242.0000000002</v>
      </c>
      <c r="AI9" s="699">
        <v>534529</v>
      </c>
      <c r="AJ9" s="698">
        <f>[1]Субвенция_факт!AC13*1000</f>
        <v>1972885</v>
      </c>
      <c r="AK9" s="699"/>
      <c r="AL9" s="698">
        <f>[1]Субвенция_факт!AD13*1000</f>
        <v>764873</v>
      </c>
      <c r="AM9" s="703">
        <v>583100</v>
      </c>
      <c r="AN9" s="698">
        <f>[1]Субвенция_факт!AH13*1000</f>
        <v>0</v>
      </c>
      <c r="AO9" s="699"/>
      <c r="AR9" s="704"/>
      <c r="AS9" s="705"/>
      <c r="AT9" s="705"/>
      <c r="AU9" s="705"/>
    </row>
    <row r="10" spans="1:47" ht="21" customHeight="1" x14ac:dyDescent="0.25">
      <c r="A10" s="1112" t="s">
        <v>1283</v>
      </c>
      <c r="B10" s="1113">
        <f t="shared" si="1"/>
        <v>265847592.76999998</v>
      </c>
      <c r="C10" s="1113">
        <f t="shared" si="1"/>
        <v>201460541.75</v>
      </c>
      <c r="D10" s="698">
        <f>[1]Субвенция_факт!H17*1000</f>
        <v>7069.15</v>
      </c>
      <c r="E10" s="699">
        <v>0</v>
      </c>
      <c r="F10" s="698">
        <f>[1]Субвенция_факт!I17*1000</f>
        <v>1123584</v>
      </c>
      <c r="G10" s="699">
        <v>755000</v>
      </c>
      <c r="H10" s="698">
        <f>[1]Субвенция_факт!J17*1000</f>
        <v>362208</v>
      </c>
      <c r="I10" s="699">
        <v>253638</v>
      </c>
      <c r="J10" s="698">
        <f>[1]Субвенция_факт!K17*1000</f>
        <v>739529.64999999991</v>
      </c>
      <c r="K10" s="699">
        <v>410000</v>
      </c>
      <c r="L10" s="698">
        <f>[1]Субвенция_факт!L17*1000</f>
        <v>4567257.5999999996</v>
      </c>
      <c r="M10" s="699">
        <v>2700000</v>
      </c>
      <c r="N10" s="698">
        <f>[1]Субвенция_факт!N17*1000</f>
        <v>2523963.0699999998</v>
      </c>
      <c r="O10" s="699">
        <v>1850000</v>
      </c>
      <c r="P10" s="698">
        <f>[1]Субвенция_факт!O17*1000</f>
        <v>269070</v>
      </c>
      <c r="Q10" s="699">
        <v>228470</v>
      </c>
      <c r="R10" s="698">
        <f>[1]Субвенция_факт!R17*1000</f>
        <v>0</v>
      </c>
      <c r="S10" s="699"/>
      <c r="T10" s="698">
        <f>[1]Субвенция_факт!S17*1000</f>
        <v>199644001.99999997</v>
      </c>
      <c r="U10" s="700">
        <v>151000000</v>
      </c>
      <c r="V10" s="698">
        <f>[1]Субвенция_факт!T17*1000</f>
        <v>0</v>
      </c>
      <c r="W10" s="701"/>
      <c r="X10" s="698">
        <f>[1]Субвенция_факт!U17*1000</f>
        <v>47052004</v>
      </c>
      <c r="Y10" s="702">
        <v>36100000</v>
      </c>
      <c r="Z10" s="698">
        <f>[1]Субвенция_факт!V17*1000</f>
        <v>4000</v>
      </c>
      <c r="AA10" s="699">
        <v>0</v>
      </c>
      <c r="AB10" s="698">
        <f>[1]Субвенция_факт!Y17*1000</f>
        <v>7133066.3700000001</v>
      </c>
      <c r="AC10" s="699">
        <v>6903433.75</v>
      </c>
      <c r="AD10" s="698">
        <f>[1]Субвенция_факт!Z17*1000</f>
        <v>0</v>
      </c>
      <c r="AE10" s="701"/>
      <c r="AF10" s="698">
        <f>[1]Субвенция_факт!AA17*1000</f>
        <v>833070.92999999993</v>
      </c>
      <c r="AG10" s="702">
        <v>530000</v>
      </c>
      <c r="AH10" s="698">
        <f>[1]Субвенция_факт!AB17*1000</f>
        <v>694495</v>
      </c>
      <c r="AI10" s="699">
        <v>0</v>
      </c>
      <c r="AJ10" s="698">
        <f>[1]Субвенция_факт!AC17*1000</f>
        <v>0</v>
      </c>
      <c r="AK10" s="699"/>
      <c r="AL10" s="698">
        <f>[1]Субвенция_факт!AD17*1000</f>
        <v>894273</v>
      </c>
      <c r="AM10" s="703">
        <v>730000</v>
      </c>
      <c r="AN10" s="698">
        <f>[1]Субвенция_факт!AH17*1000</f>
        <v>0</v>
      </c>
      <c r="AO10" s="699"/>
      <c r="AR10" s="704"/>
      <c r="AS10" s="705"/>
      <c r="AT10" s="705"/>
      <c r="AU10" s="705"/>
    </row>
    <row r="11" spans="1:47" ht="21" customHeight="1" x14ac:dyDescent="0.25">
      <c r="A11" s="1112" t="s">
        <v>1284</v>
      </c>
      <c r="B11" s="1113">
        <f t="shared" si="1"/>
        <v>275461493.79000002</v>
      </c>
      <c r="C11" s="1113">
        <f t="shared" si="1"/>
        <v>208602349</v>
      </c>
      <c r="D11" s="698">
        <f>[1]Субвенция_факт!H22*1000</f>
        <v>7069.15</v>
      </c>
      <c r="E11" s="699">
        <v>0</v>
      </c>
      <c r="F11" s="698">
        <f>[1]Субвенция_факт!I22*1000</f>
        <v>972048</v>
      </c>
      <c r="G11" s="699">
        <v>739240</v>
      </c>
      <c r="H11" s="698">
        <f>[1]Субвенция_факт!J22*1000</f>
        <v>352968</v>
      </c>
      <c r="I11" s="699">
        <v>260818</v>
      </c>
      <c r="J11" s="698">
        <f>[1]Субвенция_факт!K22*1000</f>
        <v>755309.64999999991</v>
      </c>
      <c r="K11" s="699">
        <v>562344</v>
      </c>
      <c r="L11" s="698">
        <f>[1]Субвенция_факт!L22*1000</f>
        <v>4391842.0999999996</v>
      </c>
      <c r="M11" s="699">
        <v>2126680</v>
      </c>
      <c r="N11" s="698">
        <f>[1]Субвенция_факт!N22*1000</f>
        <v>2355498.0700000003</v>
      </c>
      <c r="O11" s="699">
        <v>1650687</v>
      </c>
      <c r="P11" s="698">
        <f>[1]Субвенция_факт!O22*1000</f>
        <v>126640</v>
      </c>
      <c r="Q11" s="699">
        <v>69940</v>
      </c>
      <c r="R11" s="698">
        <f>[1]Субвенция_факт!R22*1000</f>
        <v>50000</v>
      </c>
      <c r="S11" s="699"/>
      <c r="T11" s="698">
        <f>[1]Субвенция_факт!S22*1000</f>
        <v>195717001</v>
      </c>
      <c r="U11" s="700">
        <v>151158000</v>
      </c>
      <c r="V11" s="698">
        <f>[1]Субвенция_факт!T22*1000</f>
        <v>0</v>
      </c>
      <c r="W11" s="701"/>
      <c r="X11" s="698">
        <f>[1]Субвенция_факт!U22*1000</f>
        <v>59780003.999999993</v>
      </c>
      <c r="Y11" s="702">
        <v>42500000</v>
      </c>
      <c r="Z11" s="698">
        <f>[1]Субвенция_факт!V22*1000</f>
        <v>500</v>
      </c>
      <c r="AA11" s="699">
        <v>500</v>
      </c>
      <c r="AB11" s="698">
        <f>[1]Субвенция_факт!Y22*1000</f>
        <v>8298782.8899999987</v>
      </c>
      <c r="AC11" s="699">
        <v>7607220</v>
      </c>
      <c r="AD11" s="698">
        <f>[1]Субвенция_факт!Z22*1000</f>
        <v>0</v>
      </c>
      <c r="AE11" s="701"/>
      <c r="AF11" s="698">
        <f>[1]Субвенция_факт!AA22*1000</f>
        <v>818070.92999999993</v>
      </c>
      <c r="AG11" s="702">
        <v>690000</v>
      </c>
      <c r="AH11" s="698">
        <f>[1]Субвенция_факт!AB22*1000</f>
        <v>963087</v>
      </c>
      <c r="AI11" s="699">
        <v>504720</v>
      </c>
      <c r="AJ11" s="698">
        <f>[1]Субвенция_факт!AC22*1000</f>
        <v>0</v>
      </c>
      <c r="AK11" s="699"/>
      <c r="AL11" s="698">
        <f>[1]Субвенция_факт!AD22*1000</f>
        <v>872673</v>
      </c>
      <c r="AM11" s="703">
        <v>732200</v>
      </c>
      <c r="AN11" s="698">
        <f>[1]Субвенция_факт!AH22*1000</f>
        <v>0</v>
      </c>
      <c r="AO11" s="699"/>
      <c r="AR11" s="704"/>
      <c r="AS11" s="705"/>
      <c r="AT11" s="705"/>
      <c r="AU11" s="705"/>
    </row>
    <row r="12" spans="1:47" ht="21" customHeight="1" x14ac:dyDescent="0.25">
      <c r="A12" s="706" t="s">
        <v>1285</v>
      </c>
      <c r="B12" s="707">
        <f t="shared" si="0"/>
        <v>938200012.86000001</v>
      </c>
      <c r="C12" s="707">
        <f t="shared" si="0"/>
        <v>698057247.89999998</v>
      </c>
      <c r="D12" s="698">
        <f>[1]Субвенция_факт!H10*1000</f>
        <v>7069.15</v>
      </c>
      <c r="E12" s="699">
        <v>0</v>
      </c>
      <c r="F12" s="698">
        <f>[1]Субвенция_факт!I10*1000</f>
        <v>1304688</v>
      </c>
      <c r="G12" s="699">
        <v>875000</v>
      </c>
      <c r="H12" s="698">
        <f>[1]Субвенция_факт!J10*1000</f>
        <v>212520</v>
      </c>
      <c r="I12" s="699">
        <v>137060</v>
      </c>
      <c r="J12" s="698">
        <f>[1]Субвенция_факт!K10*1000</f>
        <v>1464414.2399999998</v>
      </c>
      <c r="K12" s="699">
        <v>1350000</v>
      </c>
      <c r="L12" s="698">
        <f>[1]Субвенция_факт!L10*1000</f>
        <v>23628971.800000001</v>
      </c>
      <c r="M12" s="699">
        <v>18000000</v>
      </c>
      <c r="N12" s="698">
        <f>[1]Субвенция_факт!N10*1000</f>
        <v>8135613.3700000001</v>
      </c>
      <c r="O12" s="699">
        <v>6035613.3700000001</v>
      </c>
      <c r="P12" s="698">
        <f>[1]Субвенция_факт!O10*1000</f>
        <v>897600</v>
      </c>
      <c r="Q12" s="699">
        <v>549520</v>
      </c>
      <c r="R12" s="698">
        <f>[1]Субвенция_факт!R10*1000</f>
        <v>50000</v>
      </c>
      <c r="S12" s="699"/>
      <c r="T12" s="698">
        <f>[1]Субвенция_факт!S10*1000</f>
        <v>649590203</v>
      </c>
      <c r="U12" s="700">
        <v>484590203</v>
      </c>
      <c r="V12" s="698">
        <f>[1]Субвенция_факт!T10*1000</f>
        <v>0</v>
      </c>
      <c r="W12" s="701"/>
      <c r="X12" s="698">
        <f>[1]Субвенция_факт!U10*1000</f>
        <v>243438312</v>
      </c>
      <c r="Y12" s="702">
        <v>180438312</v>
      </c>
      <c r="Z12" s="698">
        <f>[1]Субвенция_факт!V10*1000</f>
        <v>14500</v>
      </c>
      <c r="AA12" s="699">
        <v>0</v>
      </c>
      <c r="AB12" s="698">
        <f>[1]Субвенция_факт!Y10*1000</f>
        <v>2908025.03</v>
      </c>
      <c r="AC12" s="699">
        <v>2054000</v>
      </c>
      <c r="AD12" s="698">
        <f>[1]Субвенция_факт!Z10*1000</f>
        <v>0</v>
      </c>
      <c r="AE12" s="701"/>
      <c r="AF12" s="698">
        <f>[1]Субвенция_факт!AA10*1000</f>
        <v>1715961.5799999998</v>
      </c>
      <c r="AG12" s="702">
        <v>1000000</v>
      </c>
      <c r="AH12" s="698">
        <f>[1]Субвенция_факт!AB10*1000</f>
        <v>2949855</v>
      </c>
      <c r="AI12" s="699">
        <v>1468509.53</v>
      </c>
      <c r="AJ12" s="698">
        <f>[1]Субвенция_факт!AC10*1000</f>
        <v>0</v>
      </c>
      <c r="AK12" s="699"/>
      <c r="AL12" s="698">
        <f>[1]Субвенция_факт!AD10*1000</f>
        <v>847173</v>
      </c>
      <c r="AM12" s="703">
        <v>830000</v>
      </c>
      <c r="AN12" s="698">
        <f>[1]Субвенция_факт!AH10*1000</f>
        <v>1035106.6899999998</v>
      </c>
      <c r="AO12" s="699">
        <v>729030</v>
      </c>
      <c r="AR12" s="704"/>
      <c r="AS12" s="705"/>
      <c r="AT12" s="705"/>
      <c r="AU12" s="705"/>
    </row>
    <row r="13" spans="1:47" ht="21" customHeight="1" x14ac:dyDescent="0.25">
      <c r="A13" s="706" t="s">
        <v>1286</v>
      </c>
      <c r="B13" s="707">
        <f t="shared" si="0"/>
        <v>443301424.51999998</v>
      </c>
      <c r="C13" s="707">
        <f t="shared" si="0"/>
        <v>297307156.32999998</v>
      </c>
      <c r="D13" s="698">
        <f>[1]Субвенция_факт!H11*1000</f>
        <v>7069.15</v>
      </c>
      <c r="E13" s="699">
        <v>0</v>
      </c>
      <c r="F13" s="698">
        <f>[1]Субвенция_факт!I11*1000</f>
        <v>643104</v>
      </c>
      <c r="G13" s="699">
        <v>455000</v>
      </c>
      <c r="H13" s="698">
        <f>[1]Субвенция_факт!J11*1000</f>
        <v>251328</v>
      </c>
      <c r="I13" s="699">
        <v>175560</v>
      </c>
      <c r="J13" s="698">
        <f>[1]Субвенция_факт!K11*1000</f>
        <v>1420414.2399999998</v>
      </c>
      <c r="K13" s="699">
        <v>972000</v>
      </c>
      <c r="L13" s="698">
        <f>[1]Субвенция_факт!L11*1000</f>
        <v>10737402.800000001</v>
      </c>
      <c r="M13" s="699">
        <v>6500000</v>
      </c>
      <c r="N13" s="698">
        <f>[1]Субвенция_факт!N11*1000</f>
        <v>3724174.2399999998</v>
      </c>
      <c r="O13" s="699">
        <v>2583000</v>
      </c>
      <c r="P13" s="698">
        <f>[1]Субвенция_факт!O11*1000</f>
        <v>204000</v>
      </c>
      <c r="Q13" s="699">
        <v>181000</v>
      </c>
      <c r="R13" s="698">
        <f>[1]Субвенция_факт!R11*1000</f>
        <v>100000</v>
      </c>
      <c r="S13" s="699"/>
      <c r="T13" s="698">
        <f>[1]Субвенция_факт!S11*1000</f>
        <v>263474964.99999997</v>
      </c>
      <c r="U13" s="700">
        <v>180000000</v>
      </c>
      <c r="V13" s="698">
        <f>[1]Субвенция_факт!T11*1000</f>
        <v>0</v>
      </c>
      <c r="W13" s="701"/>
      <c r="X13" s="698">
        <f>[1]Субвенция_факт!U11*1000</f>
        <v>153091064</v>
      </c>
      <c r="Y13" s="702">
        <v>102000000</v>
      </c>
      <c r="Z13" s="698">
        <f>[1]Субвенция_факт!V11*1000</f>
        <v>4000</v>
      </c>
      <c r="AA13" s="699">
        <v>0</v>
      </c>
      <c r="AB13" s="698">
        <f>[1]Субвенция_факт!Y11*1000</f>
        <v>2063664.41</v>
      </c>
      <c r="AC13" s="699">
        <v>1440000</v>
      </c>
      <c r="AD13" s="698">
        <f>[1]Субвенция_факт!Z11*1000</f>
        <v>0</v>
      </c>
      <c r="AE13" s="701"/>
      <c r="AF13" s="698">
        <f>[1]Субвенция_факт!AA11*1000</f>
        <v>843070.92999999993</v>
      </c>
      <c r="AG13" s="702">
        <v>520000</v>
      </c>
      <c r="AH13" s="698">
        <f>[1]Субвенция_факт!AB11*1000</f>
        <v>1873160</v>
      </c>
      <c r="AI13" s="699">
        <v>1002013.33</v>
      </c>
      <c r="AJ13" s="698">
        <f>[1]Субвенция_факт!AC11*1000</f>
        <v>2959328</v>
      </c>
      <c r="AK13" s="699"/>
      <c r="AL13" s="698">
        <f>[1]Субвенция_факт!AD11*1000</f>
        <v>887773</v>
      </c>
      <c r="AM13" s="703">
        <v>763200</v>
      </c>
      <c r="AN13" s="698">
        <f>[1]Субвенция_факт!AH11*1000</f>
        <v>1016906.75</v>
      </c>
      <c r="AO13" s="699">
        <v>715383</v>
      </c>
      <c r="AR13" s="704"/>
      <c r="AS13" s="705"/>
      <c r="AT13" s="705"/>
      <c r="AU13" s="705"/>
    </row>
    <row r="14" spans="1:47" ht="21" customHeight="1" x14ac:dyDescent="0.25">
      <c r="A14" s="706" t="s">
        <v>1287</v>
      </c>
      <c r="B14" s="707">
        <f t="shared" si="0"/>
        <v>428569658.98000002</v>
      </c>
      <c r="C14" s="707">
        <f t="shared" si="0"/>
        <v>333299033.41000003</v>
      </c>
      <c r="D14" s="698">
        <f>[1]Субвенция_факт!H12*1000</f>
        <v>7069.15</v>
      </c>
      <c r="E14" s="699">
        <v>0</v>
      </c>
      <c r="F14" s="698">
        <f>[1]Субвенция_факт!I12*1000</f>
        <v>1888656</v>
      </c>
      <c r="G14" s="699">
        <v>1031000</v>
      </c>
      <c r="H14" s="698">
        <f>[1]Субвенция_факт!J12*1000</f>
        <v>517438</v>
      </c>
      <c r="I14" s="699">
        <v>358666</v>
      </c>
      <c r="J14" s="698">
        <f>[1]Субвенция_факт!K12*1000</f>
        <v>1424514.24</v>
      </c>
      <c r="K14" s="699">
        <v>1088000</v>
      </c>
      <c r="L14" s="698">
        <f>[1]Субвенция_факт!L12*1000</f>
        <v>9504116.9000000004</v>
      </c>
      <c r="M14" s="699">
        <v>6174000</v>
      </c>
      <c r="N14" s="698">
        <f>[1]Субвенция_факт!N12*1000</f>
        <v>4340427.5799999991</v>
      </c>
      <c r="O14" s="699">
        <v>3360000</v>
      </c>
      <c r="P14" s="698">
        <f>[1]Субвенция_факт!O12*1000</f>
        <v>258942</v>
      </c>
      <c r="Q14" s="699">
        <v>249542</v>
      </c>
      <c r="R14" s="698">
        <f>[1]Субвенция_факт!R12*1000</f>
        <v>150000</v>
      </c>
      <c r="S14" s="699"/>
      <c r="T14" s="698">
        <f>[1]Субвенция_факт!S12*1000</f>
        <v>347045026</v>
      </c>
      <c r="U14" s="700">
        <v>272710000</v>
      </c>
      <c r="V14" s="698">
        <f>[1]Субвенция_факт!T12*1000</f>
        <v>0</v>
      </c>
      <c r="W14" s="701"/>
      <c r="X14" s="698">
        <f>[1]Субвенция_факт!U12*1000</f>
        <v>53913003</v>
      </c>
      <c r="Y14" s="702">
        <v>41980000</v>
      </c>
      <c r="Z14" s="698">
        <f>[1]Субвенция_факт!V12*1000</f>
        <v>4500</v>
      </c>
      <c r="AA14" s="699">
        <v>0</v>
      </c>
      <c r="AB14" s="698">
        <f>[1]Субвенция_факт!Y12*1000</f>
        <v>2296961.4299999997</v>
      </c>
      <c r="AC14" s="699">
        <v>1620000</v>
      </c>
      <c r="AD14" s="698">
        <f>[1]Субвенция_факт!Z12*1000</f>
        <v>0</v>
      </c>
      <c r="AE14" s="701"/>
      <c r="AF14" s="698">
        <f>[1]Субвенция_факт!AA12*1000</f>
        <v>833070.92999999993</v>
      </c>
      <c r="AG14" s="702">
        <v>550000</v>
      </c>
      <c r="AH14" s="698">
        <f>[1]Субвенция_факт!AB12*1000</f>
        <v>3422311</v>
      </c>
      <c r="AI14" s="699">
        <v>1809007.41</v>
      </c>
      <c r="AJ14" s="698">
        <f>[1]Субвенция_факт!AC12*1000</f>
        <v>986443</v>
      </c>
      <c r="AK14" s="699">
        <v>896160</v>
      </c>
      <c r="AL14" s="698">
        <f>[1]Субвенция_факт!AD12*1000</f>
        <v>922573</v>
      </c>
      <c r="AM14" s="703">
        <v>729000</v>
      </c>
      <c r="AN14" s="698">
        <f>[1]Субвенция_факт!AH12*1000</f>
        <v>1054606.75</v>
      </c>
      <c r="AO14" s="699">
        <v>743658</v>
      </c>
      <c r="AR14" s="704"/>
      <c r="AS14" s="705"/>
      <c r="AT14" s="705"/>
      <c r="AU14" s="705"/>
    </row>
    <row r="15" spans="1:47" ht="21" customHeight="1" x14ac:dyDescent="0.25">
      <c r="A15" s="706" t="s">
        <v>1288</v>
      </c>
      <c r="B15" s="707">
        <f t="shared" si="0"/>
        <v>281420406.47000003</v>
      </c>
      <c r="C15" s="707">
        <f t="shared" si="0"/>
        <v>211742149.13</v>
      </c>
      <c r="D15" s="698">
        <f>[1]Субвенция_факт!H14*1000</f>
        <v>7069.15</v>
      </c>
      <c r="E15" s="699">
        <v>0</v>
      </c>
      <c r="F15" s="698">
        <f>[1]Субвенция_факт!I14*1000</f>
        <v>1206744</v>
      </c>
      <c r="G15" s="699">
        <v>856000</v>
      </c>
      <c r="H15" s="698">
        <f>[1]Субвенция_факт!J14*1000</f>
        <v>347424</v>
      </c>
      <c r="I15" s="699">
        <v>228759.03</v>
      </c>
      <c r="J15" s="698">
        <f>[1]Субвенция_факт!K14*1000</f>
        <v>787429.64999999991</v>
      </c>
      <c r="K15" s="699">
        <v>540000</v>
      </c>
      <c r="L15" s="698">
        <f>[1]Субвенция_факт!L14*1000</f>
        <v>5516037.7999999998</v>
      </c>
      <c r="M15" s="699">
        <v>3680000</v>
      </c>
      <c r="N15" s="698">
        <f>[1]Субвенция_факт!N14*1000</f>
        <v>2503188.0699999998</v>
      </c>
      <c r="O15" s="699">
        <v>2458600</v>
      </c>
      <c r="P15" s="698">
        <f>[1]Субвенция_факт!O14*1000</f>
        <v>296875</v>
      </c>
      <c r="Q15" s="699">
        <v>200625</v>
      </c>
      <c r="R15" s="698">
        <f>[1]Субвенция_факт!R14*1000</f>
        <v>0</v>
      </c>
      <c r="S15" s="699"/>
      <c r="T15" s="698">
        <f>[1]Субвенция_факт!S14*1000</f>
        <v>225825985</v>
      </c>
      <c r="U15" s="700">
        <v>170000000</v>
      </c>
      <c r="V15" s="698">
        <f>[1]Субвенция_факт!T14*1000</f>
        <v>0</v>
      </c>
      <c r="W15" s="701"/>
      <c r="X15" s="698">
        <f>[1]Субвенция_факт!U14*1000</f>
        <v>40045690</v>
      </c>
      <c r="Y15" s="702">
        <v>30100000</v>
      </c>
      <c r="Z15" s="698">
        <f>[1]Субвенция_факт!V14*1000</f>
        <v>4000</v>
      </c>
      <c r="AA15" s="699">
        <v>4000</v>
      </c>
      <c r="AB15" s="698">
        <f>[1]Субвенция_факт!Y14*1000</f>
        <v>1840222.1199999999</v>
      </c>
      <c r="AC15" s="699">
        <v>1305000</v>
      </c>
      <c r="AD15" s="698">
        <f>[1]Субвенция_факт!Z14*1000</f>
        <v>0</v>
      </c>
      <c r="AE15" s="701"/>
      <c r="AF15" s="698">
        <f>[1]Субвенция_факт!AA14*1000</f>
        <v>838070.92999999993</v>
      </c>
      <c r="AG15" s="702">
        <v>650000</v>
      </c>
      <c r="AH15" s="698">
        <f>[1]Субвенция_факт!AB14*1000</f>
        <v>323691</v>
      </c>
      <c r="AI15" s="699">
        <v>175482.1</v>
      </c>
      <c r="AJ15" s="698">
        <f>[1]Субвенция_факт!AC14*1000</f>
        <v>0</v>
      </c>
      <c r="AK15" s="699"/>
      <c r="AL15" s="698">
        <f>[1]Субвенция_факт!AD14*1000</f>
        <v>876673</v>
      </c>
      <c r="AM15" s="703">
        <v>840000</v>
      </c>
      <c r="AN15" s="698">
        <f>[1]Субвенция_факт!AH14*1000</f>
        <v>1001306.75</v>
      </c>
      <c r="AO15" s="699">
        <v>703683</v>
      </c>
      <c r="AR15" s="704"/>
      <c r="AS15" s="705"/>
      <c r="AT15" s="705"/>
      <c r="AU15" s="705"/>
    </row>
    <row r="16" spans="1:47" ht="21" customHeight="1" x14ac:dyDescent="0.25">
      <c r="A16" s="706" t="s">
        <v>1289</v>
      </c>
      <c r="B16" s="707">
        <f t="shared" si="0"/>
        <v>470253447.28999996</v>
      </c>
      <c r="C16" s="707">
        <f t="shared" si="0"/>
        <v>379889502.29000002</v>
      </c>
      <c r="D16" s="698">
        <f>[1]Субвенция_факт!H15*1000</f>
        <v>7069.15</v>
      </c>
      <c r="E16" s="699">
        <v>0</v>
      </c>
      <c r="F16" s="698">
        <f>[1]Субвенция_факт!I15*1000</f>
        <v>1386000</v>
      </c>
      <c r="G16" s="699">
        <v>1053356</v>
      </c>
      <c r="H16" s="698">
        <f>[1]Субвенция_факт!J15*1000</f>
        <v>282744</v>
      </c>
      <c r="I16" s="699">
        <v>200970</v>
      </c>
      <c r="J16" s="698">
        <f>[1]Субвенция_факт!K15*1000</f>
        <v>1534214.24</v>
      </c>
      <c r="K16" s="699">
        <v>1200000</v>
      </c>
      <c r="L16" s="698">
        <f>[1]Субвенция_факт!L15*1000</f>
        <v>8026031.2999999998</v>
      </c>
      <c r="M16" s="699">
        <v>5235697</v>
      </c>
      <c r="N16" s="698">
        <f>[1]Субвенция_факт!N15*1000</f>
        <v>4044081.6900000004</v>
      </c>
      <c r="O16" s="699">
        <v>2640000</v>
      </c>
      <c r="P16" s="698">
        <f>[1]Субвенция_факт!O15*1000</f>
        <v>502350</v>
      </c>
      <c r="Q16" s="699">
        <v>300000</v>
      </c>
      <c r="R16" s="698">
        <f>[1]Субвенция_факт!R15*1000</f>
        <v>100000</v>
      </c>
      <c r="S16" s="699"/>
      <c r="T16" s="698">
        <f>[1]Субвенция_факт!S15*1000</f>
        <v>323702004.99999994</v>
      </c>
      <c r="U16" s="700">
        <v>262000000</v>
      </c>
      <c r="V16" s="698">
        <f>[1]Субвенция_факт!T15*1000</f>
        <v>0</v>
      </c>
      <c r="W16" s="701"/>
      <c r="X16" s="698">
        <f>[1]Субвенция_факт!U15*1000</f>
        <v>123168002</v>
      </c>
      <c r="Y16" s="702">
        <v>102770000</v>
      </c>
      <c r="Z16" s="698">
        <f>[1]Субвенция_факт!V15*1000</f>
        <v>2000</v>
      </c>
      <c r="AA16" s="699">
        <v>800</v>
      </c>
      <c r="AB16" s="698">
        <f>[1]Субвенция_факт!Y15*1000</f>
        <v>1976641.23</v>
      </c>
      <c r="AC16" s="699">
        <v>1377000</v>
      </c>
      <c r="AD16" s="698">
        <f>[1]Субвенция_факт!Z15*1000</f>
        <v>0</v>
      </c>
      <c r="AE16" s="701"/>
      <c r="AF16" s="698">
        <f>[1]Субвенция_факт!AA15*1000</f>
        <v>813070.92999999993</v>
      </c>
      <c r="AG16" s="702">
        <v>540000</v>
      </c>
      <c r="AH16" s="698">
        <f>[1]Субвенция_факт!AB15*1000</f>
        <v>1914515</v>
      </c>
      <c r="AI16" s="699">
        <v>1145396.29</v>
      </c>
      <c r="AJ16" s="698">
        <f>[1]Субвенция_факт!AC15*1000</f>
        <v>986443</v>
      </c>
      <c r="AK16" s="699"/>
      <c r="AL16" s="698">
        <f>[1]Субвенция_факт!AD15*1000</f>
        <v>790173</v>
      </c>
      <c r="AM16" s="703">
        <v>710000</v>
      </c>
      <c r="AN16" s="698">
        <f>[1]Субвенция_факт!AH15*1000</f>
        <v>1018106.75</v>
      </c>
      <c r="AO16" s="699">
        <v>716283</v>
      </c>
      <c r="AR16" s="704"/>
      <c r="AS16" s="705"/>
      <c r="AT16" s="705"/>
      <c r="AU16" s="705"/>
    </row>
    <row r="17" spans="1:47" ht="21" customHeight="1" x14ac:dyDescent="0.25">
      <c r="A17" s="706" t="s">
        <v>1290</v>
      </c>
      <c r="B17" s="707">
        <f t="shared" si="0"/>
        <v>379520960.62</v>
      </c>
      <c r="C17" s="707">
        <f t="shared" si="0"/>
        <v>286595767.52000004</v>
      </c>
      <c r="D17" s="698">
        <f>[1]Субвенция_факт!H16*1000</f>
        <v>7069.15</v>
      </c>
      <c r="E17" s="699">
        <v>0</v>
      </c>
      <c r="F17" s="698">
        <f>[1]Субвенция_факт!I16*1000</f>
        <v>389928</v>
      </c>
      <c r="G17" s="699">
        <v>282000</v>
      </c>
      <c r="H17" s="698">
        <f>[1]Субвенция_факт!J16*1000</f>
        <v>194040</v>
      </c>
      <c r="I17" s="699">
        <v>128128</v>
      </c>
      <c r="J17" s="698">
        <f>[1]Субвенция_факт!K16*1000</f>
        <v>1546483.2399999998</v>
      </c>
      <c r="K17" s="699">
        <v>1080000</v>
      </c>
      <c r="L17" s="698">
        <f>[1]Субвенция_факт!L16*1000</f>
        <v>8726787.3000000007</v>
      </c>
      <c r="M17" s="699">
        <v>6930000</v>
      </c>
      <c r="N17" s="698">
        <f>[1]Субвенция_факт!N16*1000</f>
        <v>3743169.73</v>
      </c>
      <c r="O17" s="699">
        <v>2936202</v>
      </c>
      <c r="P17" s="698">
        <f>[1]Субвенция_факт!O16*1000</f>
        <v>613360</v>
      </c>
      <c r="Q17" s="699">
        <v>606160</v>
      </c>
      <c r="R17" s="698">
        <f>[1]Субвенция_факт!R16*1000</f>
        <v>50000</v>
      </c>
      <c r="S17" s="699">
        <v>50000</v>
      </c>
      <c r="T17" s="698">
        <f>[1]Субвенция_факт!S16*1000</f>
        <v>255815907</v>
      </c>
      <c r="U17" s="700">
        <v>194138000</v>
      </c>
      <c r="V17" s="698">
        <f>[1]Субвенция_факт!T16*1000</f>
        <v>0</v>
      </c>
      <c r="W17" s="701"/>
      <c r="X17" s="698">
        <f>[1]Субвенция_факт!U16*1000</f>
        <v>94978386</v>
      </c>
      <c r="Y17" s="702">
        <v>69456000</v>
      </c>
      <c r="Z17" s="698">
        <f>[1]Субвенция_факт!V16*1000</f>
        <v>2500</v>
      </c>
      <c r="AA17" s="699">
        <v>0</v>
      </c>
      <c r="AB17" s="698">
        <f>[1]Субвенция_факт!Y16*1000</f>
        <v>9583216.3300000019</v>
      </c>
      <c r="AC17" s="699">
        <v>8490000</v>
      </c>
      <c r="AD17" s="698">
        <f>[1]Субвенция_факт!Z16*1000</f>
        <v>0</v>
      </c>
      <c r="AE17" s="701"/>
      <c r="AF17" s="698">
        <f>[1]Субвенция_факт!AA16*1000</f>
        <v>905205.12</v>
      </c>
      <c r="AG17" s="702">
        <v>654059.73</v>
      </c>
      <c r="AH17" s="698">
        <f>[1]Субвенция_факт!AB16*1000</f>
        <v>1119809</v>
      </c>
      <c r="AI17" s="699">
        <v>341934.79</v>
      </c>
      <c r="AJ17" s="698">
        <f>[1]Субвенция_факт!AC16*1000</f>
        <v>0</v>
      </c>
      <c r="AK17" s="699"/>
      <c r="AL17" s="698">
        <f>[1]Субвенция_факт!AD16*1000</f>
        <v>792593</v>
      </c>
      <c r="AM17" s="703">
        <v>761200</v>
      </c>
      <c r="AN17" s="698">
        <f>[1]Субвенция_факт!AH16*1000</f>
        <v>1052506.75</v>
      </c>
      <c r="AO17" s="699">
        <v>742083</v>
      </c>
      <c r="AR17" s="704"/>
      <c r="AS17" s="705"/>
      <c r="AT17" s="705"/>
      <c r="AU17" s="705"/>
    </row>
    <row r="18" spans="1:47" ht="21" customHeight="1" x14ac:dyDescent="0.25">
      <c r="A18" s="706" t="s">
        <v>1291</v>
      </c>
      <c r="B18" s="707">
        <f t="shared" si="0"/>
        <v>237782554.39000002</v>
      </c>
      <c r="C18" s="707">
        <f t="shared" si="0"/>
        <v>178807267.44</v>
      </c>
      <c r="D18" s="698">
        <f>[1]Субвенция_факт!H18*1000</f>
        <v>7069.15</v>
      </c>
      <c r="E18" s="699">
        <v>0</v>
      </c>
      <c r="F18" s="698">
        <f>[1]Субвенция_факт!I18*1000</f>
        <v>813120</v>
      </c>
      <c r="G18" s="699">
        <v>813120</v>
      </c>
      <c r="H18" s="698">
        <f>[1]Субвенция_факт!J18*1000</f>
        <v>328944</v>
      </c>
      <c r="I18" s="699">
        <v>231000</v>
      </c>
      <c r="J18" s="698">
        <f>[1]Субвенция_факт!K18*1000</f>
        <v>825629.65</v>
      </c>
      <c r="K18" s="699">
        <v>800000</v>
      </c>
      <c r="L18" s="698">
        <f>[1]Субвенция_факт!L18*1000</f>
        <v>4357610.2</v>
      </c>
      <c r="M18" s="699">
        <v>4357610.2</v>
      </c>
      <c r="N18" s="698">
        <f>[1]Субвенция_факт!N18*1000</f>
        <v>2510528.0699999998</v>
      </c>
      <c r="O18" s="699">
        <v>1850000</v>
      </c>
      <c r="P18" s="698">
        <f>[1]Субвенция_факт!O18*1000</f>
        <v>350241.99999999994</v>
      </c>
      <c r="Q18" s="699">
        <v>350242</v>
      </c>
      <c r="R18" s="698">
        <f>[1]Субвенция_факт!R18*1000</f>
        <v>0</v>
      </c>
      <c r="S18" s="699"/>
      <c r="T18" s="698">
        <f>[1]Субвенция_факт!S18*1000</f>
        <v>159903002</v>
      </c>
      <c r="U18" s="700">
        <v>110600000</v>
      </c>
      <c r="V18" s="698">
        <f>[1]Субвенция_факт!T18*1000</f>
        <v>0</v>
      </c>
      <c r="W18" s="701"/>
      <c r="X18" s="698">
        <f>[1]Субвенция_факт!U18*1000</f>
        <v>55956992</v>
      </c>
      <c r="Y18" s="702">
        <v>49800000</v>
      </c>
      <c r="Z18" s="698">
        <f>[1]Субвенция_факт!V18*1000</f>
        <v>2500</v>
      </c>
      <c r="AA18" s="699">
        <v>0</v>
      </c>
      <c r="AB18" s="698">
        <f>[1]Субвенция_факт!Y18*1000</f>
        <v>7806336.2400000002</v>
      </c>
      <c r="AC18" s="699">
        <v>7290000</v>
      </c>
      <c r="AD18" s="698">
        <f>[1]Субвенция_факт!Z18*1000</f>
        <v>0</v>
      </c>
      <c r="AE18" s="701"/>
      <c r="AF18" s="698">
        <f>[1]Субвенция_факт!AA18*1000</f>
        <v>783070.92999999993</v>
      </c>
      <c r="AG18" s="702">
        <v>510000</v>
      </c>
      <c r="AH18" s="698">
        <f>[1]Субвенция_факт!AB18*1000</f>
        <v>1416652</v>
      </c>
      <c r="AI18" s="699">
        <v>829860.69</v>
      </c>
      <c r="AJ18" s="698">
        <f>[1]Субвенция_факт!AC18*1000</f>
        <v>986443</v>
      </c>
      <c r="AK18" s="699"/>
      <c r="AL18" s="698">
        <f>[1]Субвенция_факт!AD18*1000</f>
        <v>770773</v>
      </c>
      <c r="AM18" s="703">
        <v>700000</v>
      </c>
      <c r="AN18" s="698">
        <f>[1]Субвенция_факт!AH18*1000</f>
        <v>963642.15</v>
      </c>
      <c r="AO18" s="699">
        <v>675434.55</v>
      </c>
      <c r="AR18" s="704"/>
      <c r="AS18" s="705"/>
      <c r="AT18" s="705"/>
      <c r="AU18" s="705"/>
    </row>
    <row r="19" spans="1:47" ht="21" customHeight="1" x14ac:dyDescent="0.25">
      <c r="A19" s="706" t="s">
        <v>1292</v>
      </c>
      <c r="B19" s="707">
        <f t="shared" si="0"/>
        <v>562935493.12</v>
      </c>
      <c r="C19" s="707">
        <f t="shared" si="0"/>
        <v>394145041</v>
      </c>
      <c r="D19" s="698">
        <f>[1]Субвенция_факт!H19*1000</f>
        <v>7069.15</v>
      </c>
      <c r="E19" s="699">
        <v>0</v>
      </c>
      <c r="F19" s="698">
        <f>[1]Субвенция_факт!I19*1000</f>
        <v>1051512</v>
      </c>
      <c r="G19" s="699">
        <v>790000</v>
      </c>
      <c r="H19" s="698">
        <f>[1]Субвенция_факт!J19*1000</f>
        <v>238392</v>
      </c>
      <c r="I19" s="699">
        <v>172634</v>
      </c>
      <c r="J19" s="698">
        <f>[1]Субвенция_факт!K19*1000</f>
        <v>1452014.24</v>
      </c>
      <c r="K19" s="699">
        <v>900000</v>
      </c>
      <c r="L19" s="698">
        <f>[1]Субвенция_факт!L19*1000</f>
        <v>11665714.4</v>
      </c>
      <c r="M19" s="699">
        <v>6900000</v>
      </c>
      <c r="N19" s="698">
        <f>[1]Субвенция_факт!N19*1000</f>
        <v>4142681.6900000004</v>
      </c>
      <c r="O19" s="699">
        <v>2700000</v>
      </c>
      <c r="P19" s="698">
        <f>[1]Субвенция_факт!O19*1000</f>
        <v>1251200</v>
      </c>
      <c r="Q19" s="699">
        <v>800000</v>
      </c>
      <c r="R19" s="698">
        <f>[1]Субвенция_факт!R19*1000</f>
        <v>100000</v>
      </c>
      <c r="S19" s="699">
        <v>49750</v>
      </c>
      <c r="T19" s="698">
        <f>[1]Субвенция_факт!S19*1000</f>
        <v>347103504</v>
      </c>
      <c r="U19" s="700">
        <v>241500000</v>
      </c>
      <c r="V19" s="698">
        <f>[1]Субвенция_факт!T19*1000</f>
        <v>0</v>
      </c>
      <c r="W19" s="701"/>
      <c r="X19" s="698">
        <f>[1]Субвенция_факт!U19*1000</f>
        <v>176844691</v>
      </c>
      <c r="Y19" s="702">
        <v>135000000</v>
      </c>
      <c r="Z19" s="698">
        <f>[1]Субвенция_факт!V19*1000</f>
        <v>14000</v>
      </c>
      <c r="AA19" s="699">
        <v>0</v>
      </c>
      <c r="AB19" s="698">
        <f>[1]Субвенция_факт!Y19*1000</f>
        <v>13915514.959999999</v>
      </c>
      <c r="AC19" s="699">
        <v>2185000</v>
      </c>
      <c r="AD19" s="698">
        <f>[1]Субвенция_факт!Z19*1000</f>
        <v>0</v>
      </c>
      <c r="AE19" s="701"/>
      <c r="AF19" s="698">
        <f>[1]Субвенция_факт!AA19*1000</f>
        <v>763070.92999999993</v>
      </c>
      <c r="AG19" s="702">
        <v>720000</v>
      </c>
      <c r="AH19" s="698">
        <f>[1]Субвенция_факт!AB19*1000</f>
        <v>1537505.9999999998</v>
      </c>
      <c r="AI19" s="699">
        <v>904224</v>
      </c>
      <c r="AJ19" s="698">
        <f>[1]Субвенция_факт!AC19*1000</f>
        <v>986443</v>
      </c>
      <c r="AK19" s="699">
        <v>79600</v>
      </c>
      <c r="AL19" s="698">
        <f>[1]Субвенция_факт!AD19*1000</f>
        <v>838673</v>
      </c>
      <c r="AM19" s="703">
        <v>723500</v>
      </c>
      <c r="AN19" s="698">
        <f>[1]Субвенция_факт!AH19*1000</f>
        <v>1023506.75</v>
      </c>
      <c r="AO19" s="699">
        <v>720333</v>
      </c>
      <c r="AR19" s="704"/>
      <c r="AS19" s="705"/>
      <c r="AT19" s="705"/>
      <c r="AU19" s="705"/>
    </row>
    <row r="20" spans="1:47" ht="21" customHeight="1" x14ac:dyDescent="0.25">
      <c r="A20" s="706" t="s">
        <v>1293</v>
      </c>
      <c r="B20" s="707">
        <f t="shared" si="0"/>
        <v>322223695.55000001</v>
      </c>
      <c r="C20" s="707">
        <f t="shared" si="0"/>
        <v>256604456.31999999</v>
      </c>
      <c r="D20" s="698">
        <f>[1]Субвенция_факт!H20*1000</f>
        <v>7069.15</v>
      </c>
      <c r="E20" s="699">
        <v>0</v>
      </c>
      <c r="F20" s="698">
        <f>[1]Субвенция_факт!I20*1000</f>
        <v>1210440</v>
      </c>
      <c r="G20" s="699">
        <v>780000</v>
      </c>
      <c r="H20" s="698">
        <f>[1]Субвенция_факт!J20*1000</f>
        <v>415800</v>
      </c>
      <c r="I20" s="699">
        <v>272580</v>
      </c>
      <c r="J20" s="698">
        <f>[1]Субвенция_факт!K20*1000</f>
        <v>867229.64999999991</v>
      </c>
      <c r="K20" s="699">
        <v>720000</v>
      </c>
      <c r="L20" s="698">
        <f>[1]Субвенция_факт!L20*1000</f>
        <v>5980461.7000000002</v>
      </c>
      <c r="M20" s="699">
        <v>3900000</v>
      </c>
      <c r="N20" s="698">
        <f>[1]Субвенция_факт!N20*1000</f>
        <v>2941480.38</v>
      </c>
      <c r="O20" s="699">
        <v>1800000</v>
      </c>
      <c r="P20" s="698">
        <f>[1]Субвенция_факт!O20*1000</f>
        <v>151142</v>
      </c>
      <c r="Q20" s="699">
        <v>135942</v>
      </c>
      <c r="R20" s="698">
        <f>[1]Субвенция_факт!R20*1000</f>
        <v>50000</v>
      </c>
      <c r="S20" s="699"/>
      <c r="T20" s="698">
        <f>[1]Субвенция_факт!S20*1000</f>
        <v>237308996.99999997</v>
      </c>
      <c r="U20" s="700">
        <v>189500000</v>
      </c>
      <c r="V20" s="698">
        <f>[1]Субвенция_факт!T20*1000</f>
        <v>0</v>
      </c>
      <c r="W20" s="701"/>
      <c r="X20" s="698">
        <f>[1]Субвенция_факт!U20*1000</f>
        <v>67025272</v>
      </c>
      <c r="Y20" s="702">
        <v>55000000</v>
      </c>
      <c r="Z20" s="698">
        <f>[1]Субвенция_факт!V20*1000</f>
        <v>8000</v>
      </c>
      <c r="AA20" s="699">
        <v>0</v>
      </c>
      <c r="AB20" s="698">
        <f>[1]Субвенция_факт!Y20*1000</f>
        <v>2949949.9900000007</v>
      </c>
      <c r="AC20" s="699">
        <v>2080000</v>
      </c>
      <c r="AD20" s="698">
        <f>[1]Субвенция_факт!Z20*1000</f>
        <v>0</v>
      </c>
      <c r="AE20" s="701"/>
      <c r="AF20" s="698">
        <f>[1]Субвенция_факт!AA20*1000</f>
        <v>868070.92999999993</v>
      </c>
      <c r="AG20" s="702">
        <v>700000</v>
      </c>
      <c r="AH20" s="698">
        <f>[1]Субвенция_факт!AB20*1000</f>
        <v>677203</v>
      </c>
      <c r="AI20" s="699">
        <v>326701.32</v>
      </c>
      <c r="AJ20" s="698">
        <f>[1]Субвенция_факт!AC20*1000</f>
        <v>0</v>
      </c>
      <c r="AK20" s="699"/>
      <c r="AL20" s="698">
        <f>[1]Субвенция_факт!AD20*1000</f>
        <v>798673</v>
      </c>
      <c r="AM20" s="703">
        <v>713600</v>
      </c>
      <c r="AN20" s="698">
        <f>[1]Субвенция_факт!AH20*1000</f>
        <v>963906.75</v>
      </c>
      <c r="AO20" s="699">
        <v>675633</v>
      </c>
      <c r="AR20" s="704"/>
      <c r="AS20" s="705"/>
      <c r="AT20" s="705"/>
      <c r="AU20" s="705"/>
    </row>
    <row r="21" spans="1:47" ht="21" customHeight="1" x14ac:dyDescent="0.25">
      <c r="A21" s="706" t="s">
        <v>1294</v>
      </c>
      <c r="B21" s="707">
        <f t="shared" si="0"/>
        <v>875806478.49000001</v>
      </c>
      <c r="C21" s="707">
        <f t="shared" si="0"/>
        <v>837454020.80999994</v>
      </c>
      <c r="D21" s="698">
        <f>[1]Субвенция_факт!H21*1000</f>
        <v>7069.15</v>
      </c>
      <c r="E21" s="699">
        <v>0</v>
      </c>
      <c r="F21" s="698">
        <f>[1]Субвенция_факт!I21*1000</f>
        <v>2694384</v>
      </c>
      <c r="G21" s="699">
        <v>1780000</v>
      </c>
      <c r="H21" s="698">
        <f>[1]Субвенция_факт!J21*1000</f>
        <v>510048</v>
      </c>
      <c r="I21" s="699">
        <v>348348</v>
      </c>
      <c r="J21" s="698">
        <f>[1]Субвенция_факт!K21*1000</f>
        <v>1435743.24</v>
      </c>
      <c r="K21" s="699">
        <v>640000</v>
      </c>
      <c r="L21" s="698">
        <f>[1]Субвенция_факт!L21*1000</f>
        <v>15610367.1</v>
      </c>
      <c r="M21" s="699">
        <v>10800000</v>
      </c>
      <c r="N21" s="698">
        <f>[1]Субвенция_факт!N21*1000</f>
        <v>7604250.6900000004</v>
      </c>
      <c r="O21" s="699">
        <v>4400000</v>
      </c>
      <c r="P21" s="698">
        <f>[1]Субвенция_факт!O21*1000</f>
        <v>645829.99999999988</v>
      </c>
      <c r="Q21" s="699">
        <v>619030</v>
      </c>
      <c r="R21" s="698">
        <f>[1]Субвенция_факт!R21*1000</f>
        <v>50000</v>
      </c>
      <c r="S21" s="699"/>
      <c r="T21" s="698">
        <f>[1]Субвенция_факт!S21*1000</f>
        <v>652290001</v>
      </c>
      <c r="U21" s="700">
        <v>635000000</v>
      </c>
      <c r="V21" s="698">
        <f>[1]Субвенция_факт!T21*1000</f>
        <v>0</v>
      </c>
      <c r="W21" s="701"/>
      <c r="X21" s="698">
        <f>[1]Субвенция_факт!U21*1000</f>
        <v>175297997</v>
      </c>
      <c r="Y21" s="702">
        <v>175297997</v>
      </c>
      <c r="Z21" s="698">
        <f>[1]Субвенция_факт!V21*1000</f>
        <v>19000</v>
      </c>
      <c r="AA21" s="699">
        <v>0</v>
      </c>
      <c r="AB21" s="698">
        <f>[1]Субвенция_факт!Y21*1000</f>
        <v>2595967.92</v>
      </c>
      <c r="AC21" s="699">
        <v>1827000</v>
      </c>
      <c r="AD21" s="698">
        <f>[1]Субвенция_факт!Z21*1000</f>
        <v>0</v>
      </c>
      <c r="AE21" s="701"/>
      <c r="AF21" s="698">
        <f>[1]Субвенция_факт!AA21*1000</f>
        <v>1495943.65</v>
      </c>
      <c r="AG21" s="702">
        <v>600000</v>
      </c>
      <c r="AH21" s="698">
        <f>[1]Субвенция_факт!AB21*1000</f>
        <v>10619170</v>
      </c>
      <c r="AI21" s="699">
        <v>4592812.8099999996</v>
      </c>
      <c r="AJ21" s="698">
        <f>[1]Субвенция_факт!AC21*1000</f>
        <v>2959327</v>
      </c>
      <c r="AK21" s="699"/>
      <c r="AL21" s="698">
        <f>[1]Субвенция_факт!AD21*1000</f>
        <v>869873</v>
      </c>
      <c r="AM21" s="703">
        <v>770000</v>
      </c>
      <c r="AN21" s="698">
        <f>[1]Субвенция_факт!AH21*1000</f>
        <v>1101506.74</v>
      </c>
      <c r="AO21" s="699">
        <v>778833</v>
      </c>
      <c r="AR21" s="704"/>
      <c r="AS21" s="705"/>
      <c r="AT21" s="705"/>
      <c r="AU21" s="705"/>
    </row>
    <row r="22" spans="1:47" ht="21" customHeight="1" x14ac:dyDescent="0.25">
      <c r="A22" s="706" t="s">
        <v>1295</v>
      </c>
      <c r="B22" s="707">
        <f t="shared" si="0"/>
        <v>389511840.21999997</v>
      </c>
      <c r="C22" s="707">
        <f t="shared" si="0"/>
        <v>294101827.25</v>
      </c>
      <c r="D22" s="698">
        <f>[1]Субвенция_факт!H23*1000</f>
        <v>7069.15</v>
      </c>
      <c r="E22" s="699">
        <v>0</v>
      </c>
      <c r="F22" s="698">
        <f>[1]Субвенция_факт!I23*1000</f>
        <v>1454376</v>
      </c>
      <c r="G22" s="699">
        <v>1012609</v>
      </c>
      <c r="H22" s="698">
        <f>[1]Субвенция_факт!J23*1000</f>
        <v>449064</v>
      </c>
      <c r="I22" s="699">
        <v>284900</v>
      </c>
      <c r="J22" s="698">
        <f>[1]Субвенция_факт!K23*1000</f>
        <v>751429.64999999991</v>
      </c>
      <c r="K22" s="699">
        <v>565000</v>
      </c>
      <c r="L22" s="698">
        <f>[1]Субвенция_факт!L23*1000</f>
        <v>6821993.5999999996</v>
      </c>
      <c r="M22" s="699">
        <v>3580000</v>
      </c>
      <c r="N22" s="698">
        <f>[1]Субвенция_факт!N23*1000</f>
        <v>2916128.63</v>
      </c>
      <c r="O22" s="699">
        <v>1950000</v>
      </c>
      <c r="P22" s="698">
        <f>[1]Субвенция_факт!O23*1000</f>
        <v>513869</v>
      </c>
      <c r="Q22" s="699">
        <v>495949</v>
      </c>
      <c r="R22" s="698">
        <f>[1]Субвенция_факт!R23*1000</f>
        <v>0</v>
      </c>
      <c r="S22" s="699"/>
      <c r="T22" s="698">
        <f>[1]Субвенция_факт!S23*1000</f>
        <v>299414999</v>
      </c>
      <c r="U22" s="700">
        <v>228000000</v>
      </c>
      <c r="V22" s="698">
        <f>[1]Субвенция_факт!T23*1000</f>
        <v>0</v>
      </c>
      <c r="W22" s="701"/>
      <c r="X22" s="698">
        <f>[1]Субвенция_факт!U23*1000</f>
        <v>65334570</v>
      </c>
      <c r="Y22" s="702">
        <v>48400000</v>
      </c>
      <c r="Z22" s="698">
        <f>[1]Субвенция_факт!V23*1000</f>
        <v>1500</v>
      </c>
      <c r="AA22" s="699">
        <v>0</v>
      </c>
      <c r="AB22" s="698">
        <f>[1]Субвенция_факт!Y23*1000</f>
        <v>7570258.5100000007</v>
      </c>
      <c r="AC22" s="699">
        <v>6972281.25</v>
      </c>
      <c r="AD22" s="698">
        <f>[1]Субвенция_факт!Z23*1000</f>
        <v>0</v>
      </c>
      <c r="AE22" s="701"/>
      <c r="AF22" s="698">
        <f>[1]Субвенция_факт!AA23*1000</f>
        <v>808070.92999999993</v>
      </c>
      <c r="AG22" s="702">
        <v>545000</v>
      </c>
      <c r="AH22" s="698">
        <f>[1]Субвенция_факт!AB23*1000</f>
        <v>1660903</v>
      </c>
      <c r="AI22" s="699">
        <v>891480</v>
      </c>
      <c r="AJ22" s="698">
        <f>[1]Субвенция_факт!AC23*1000</f>
        <v>0</v>
      </c>
      <c r="AK22" s="699"/>
      <c r="AL22" s="698">
        <f>[1]Субвенция_факт!AD23*1000</f>
        <v>786403</v>
      </c>
      <c r="AM22" s="703">
        <v>686000</v>
      </c>
      <c r="AN22" s="698">
        <f>[1]Субвенция_факт!AH23*1000</f>
        <v>1021205.7500000001</v>
      </c>
      <c r="AO22" s="699">
        <v>718608</v>
      </c>
      <c r="AR22" s="704"/>
      <c r="AS22" s="705"/>
      <c r="AT22" s="705"/>
      <c r="AU22" s="705"/>
    </row>
    <row r="23" spans="1:47" ht="21" customHeight="1" x14ac:dyDescent="0.25">
      <c r="A23" s="706" t="s">
        <v>1296</v>
      </c>
      <c r="B23" s="707">
        <f t="shared" si="0"/>
        <v>599166970.75999999</v>
      </c>
      <c r="C23" s="707">
        <f t="shared" si="0"/>
        <v>479324968.32999998</v>
      </c>
      <c r="D23" s="698">
        <f>[1]Субвенция_факт!H24*1000</f>
        <v>7069.15</v>
      </c>
      <c r="E23" s="699">
        <v>7069.15</v>
      </c>
      <c r="F23" s="698">
        <f>[1]Субвенция_факт!I24*1000</f>
        <v>1130976</v>
      </c>
      <c r="G23" s="699">
        <v>797562</v>
      </c>
      <c r="H23" s="698">
        <f>[1]Субвенция_факт!J24*1000</f>
        <v>340032</v>
      </c>
      <c r="I23" s="699">
        <v>200200</v>
      </c>
      <c r="J23" s="698">
        <f>[1]Субвенция_факт!K24*1000</f>
        <v>1694814.24</v>
      </c>
      <c r="K23" s="699">
        <v>1200000</v>
      </c>
      <c r="L23" s="698">
        <f>[1]Субвенция_факт!L24*1000</f>
        <v>16488608.300000001</v>
      </c>
      <c r="M23" s="699">
        <v>13200000</v>
      </c>
      <c r="N23" s="698">
        <f>[1]Субвенция_факт!N24*1000</f>
        <v>5064212.28</v>
      </c>
      <c r="O23" s="699">
        <v>3641000</v>
      </c>
      <c r="P23" s="698">
        <f>[1]Субвенция_факт!O24*1000</f>
        <v>559593.00000000012</v>
      </c>
      <c r="Q23" s="699">
        <v>559593</v>
      </c>
      <c r="R23" s="698">
        <f>[1]Субвенция_факт!R24*1000</f>
        <v>100000</v>
      </c>
      <c r="S23" s="699"/>
      <c r="T23" s="698">
        <f>[1]Субвенция_факт!S24*1000</f>
        <v>393281779.00000006</v>
      </c>
      <c r="U23" s="700">
        <v>325000000</v>
      </c>
      <c r="V23" s="698">
        <f>[1]Субвенция_факт!T24*1000</f>
        <v>0</v>
      </c>
      <c r="W23" s="701"/>
      <c r="X23" s="698">
        <f>[1]Субвенция_факт!U24*1000</f>
        <v>172425142</v>
      </c>
      <c r="Y23" s="702">
        <v>130000000</v>
      </c>
      <c r="Z23" s="698">
        <f>[1]Субвенция_факт!V24*1000</f>
        <v>11500</v>
      </c>
      <c r="AA23" s="699">
        <v>4500</v>
      </c>
      <c r="AB23" s="698">
        <f>[1]Субвенция_факт!Y24*1000</f>
        <v>3102290.8699999996</v>
      </c>
      <c r="AC23" s="699">
        <v>2190000</v>
      </c>
      <c r="AD23" s="698">
        <f>[1]Субвенция_факт!Z24*1000</f>
        <v>0</v>
      </c>
      <c r="AE23" s="701"/>
      <c r="AF23" s="698">
        <f>[1]Субвенция_факт!AA24*1000</f>
        <v>798070.92999999993</v>
      </c>
      <c r="AG23" s="702">
        <v>470000</v>
      </c>
      <c r="AH23" s="698">
        <f>[1]Субвенция_факт!AB24*1000</f>
        <v>1254663</v>
      </c>
      <c r="AI23" s="699">
        <v>576812.5</v>
      </c>
      <c r="AJ23" s="698">
        <f>[1]Субвенция_факт!AC24*1000</f>
        <v>986443</v>
      </c>
      <c r="AK23" s="699"/>
      <c r="AL23" s="698">
        <f>[1]Субвенция_факт!AD24*1000</f>
        <v>789873</v>
      </c>
      <c r="AM23" s="703">
        <v>676600</v>
      </c>
      <c r="AN23" s="698">
        <f>[1]Субвенция_факт!AH24*1000</f>
        <v>1131903.99</v>
      </c>
      <c r="AO23" s="699">
        <v>801631.68</v>
      </c>
      <c r="AR23" s="704"/>
      <c r="AS23" s="705"/>
      <c r="AT23" s="705"/>
      <c r="AU23" s="705"/>
    </row>
    <row r="24" spans="1:47" ht="21" customHeight="1" x14ac:dyDescent="0.25">
      <c r="A24" s="706" t="s">
        <v>1297</v>
      </c>
      <c r="B24" s="707">
        <f t="shared" si="0"/>
        <v>299983618.69999999</v>
      </c>
      <c r="C24" s="707">
        <f t="shared" si="0"/>
        <v>245500055.84</v>
      </c>
      <c r="D24" s="698">
        <f>[1]Субвенция_факт!H25*1000</f>
        <v>7069.15</v>
      </c>
      <c r="E24" s="699">
        <v>0</v>
      </c>
      <c r="F24" s="698">
        <f>[1]Субвенция_факт!I25*1000</f>
        <v>1469160</v>
      </c>
      <c r="G24" s="699">
        <v>1125000</v>
      </c>
      <c r="H24" s="698">
        <f>[1]Субвенция_факт!J25*1000</f>
        <v>511896</v>
      </c>
      <c r="I24" s="699">
        <v>313196.26</v>
      </c>
      <c r="J24" s="698">
        <f>[1]Субвенция_факт!K25*1000</f>
        <v>778229.64999999991</v>
      </c>
      <c r="K24" s="699">
        <v>610000</v>
      </c>
      <c r="L24" s="698">
        <f>[1]Субвенция_факт!L25*1000</f>
        <v>5521571.2000000002</v>
      </c>
      <c r="M24" s="699">
        <v>2400000</v>
      </c>
      <c r="N24" s="698">
        <f>[1]Субвенция_факт!N25*1000</f>
        <v>2893689.53</v>
      </c>
      <c r="O24" s="699">
        <v>1950000</v>
      </c>
      <c r="P24" s="698">
        <f>[1]Субвенция_факт!O25*1000</f>
        <v>205329</v>
      </c>
      <c r="Q24" s="699">
        <v>170879</v>
      </c>
      <c r="R24" s="698">
        <f>[1]Субвенция_факт!R25*1000</f>
        <v>0</v>
      </c>
      <c r="S24" s="699"/>
      <c r="T24" s="698">
        <f>[1]Субвенция_факт!S25*1000</f>
        <v>231447995.99999997</v>
      </c>
      <c r="U24" s="700">
        <v>190000000</v>
      </c>
      <c r="V24" s="698">
        <f>[1]Субвенция_факт!T25*1000</f>
        <v>0</v>
      </c>
      <c r="W24" s="701"/>
      <c r="X24" s="698">
        <f>[1]Субвенция_факт!U25*1000</f>
        <v>49570997</v>
      </c>
      <c r="Y24" s="702">
        <v>43000000</v>
      </c>
      <c r="Z24" s="698">
        <f>[1]Субвенция_факт!V25*1000</f>
        <v>3000</v>
      </c>
      <c r="AA24" s="699">
        <v>3000</v>
      </c>
      <c r="AB24" s="698">
        <f>[1]Субвенция_факт!Y25*1000</f>
        <v>2558524.4900000002</v>
      </c>
      <c r="AC24" s="699">
        <v>1866000</v>
      </c>
      <c r="AD24" s="698">
        <f>[1]Субвенция_факт!Z25*1000</f>
        <v>0</v>
      </c>
      <c r="AE24" s="701"/>
      <c r="AF24" s="698">
        <f>[1]Субвенция_факт!AA25*1000</f>
        <v>828070.92999999993</v>
      </c>
      <c r="AG24" s="702">
        <v>630000</v>
      </c>
      <c r="AH24" s="698">
        <f>[1]Субвенция_факт!AB25*1000</f>
        <v>1399224.0000000002</v>
      </c>
      <c r="AI24" s="699">
        <v>1030039</v>
      </c>
      <c r="AJ24" s="698">
        <f>[1]Субвенция_факт!AC25*1000</f>
        <v>986443</v>
      </c>
      <c r="AK24" s="699">
        <v>979063.58</v>
      </c>
      <c r="AL24" s="698">
        <f>[1]Субвенция_факт!AD25*1000</f>
        <v>788853</v>
      </c>
      <c r="AM24" s="703">
        <v>710000</v>
      </c>
      <c r="AN24" s="698">
        <f>[1]Субвенция_факт!AH25*1000</f>
        <v>1013565.75</v>
      </c>
      <c r="AO24" s="699">
        <v>712878</v>
      </c>
      <c r="AR24" s="704"/>
      <c r="AS24" s="705"/>
      <c r="AT24" s="705"/>
      <c r="AU24" s="705"/>
    </row>
    <row r="25" spans="1:47" ht="21" customHeight="1" x14ac:dyDescent="0.25">
      <c r="A25" s="706" t="s">
        <v>1298</v>
      </c>
      <c r="B25" s="707">
        <f t="shared" si="0"/>
        <v>426644845.46000004</v>
      </c>
      <c r="C25" s="707">
        <f t="shared" si="0"/>
        <v>314892999.75999999</v>
      </c>
      <c r="D25" s="698">
        <f>[1]Субвенция_факт!H26*1000</f>
        <v>7069.15</v>
      </c>
      <c r="E25" s="699">
        <v>0</v>
      </c>
      <c r="F25" s="698">
        <f>[1]Субвенция_факт!I26*1000</f>
        <v>914760</v>
      </c>
      <c r="G25" s="699">
        <v>605000</v>
      </c>
      <c r="H25" s="698">
        <f>[1]Субвенция_факт!J26*1000</f>
        <v>258720.00000000003</v>
      </c>
      <c r="I25" s="699">
        <v>148379</v>
      </c>
      <c r="J25" s="698">
        <f>[1]Субвенция_факт!K26*1000</f>
        <v>1534004.24</v>
      </c>
      <c r="K25" s="699">
        <v>1270000</v>
      </c>
      <c r="L25" s="698">
        <f>[1]Субвенция_факт!L26*1000</f>
        <v>11501487.6</v>
      </c>
      <c r="M25" s="699">
        <v>4350000</v>
      </c>
      <c r="N25" s="698">
        <f>[1]Субвенция_факт!N26*1000</f>
        <v>3698965.79</v>
      </c>
      <c r="O25" s="699">
        <v>3608000</v>
      </c>
      <c r="P25" s="698">
        <f>[1]Субвенция_факт!O26*1000</f>
        <v>272000</v>
      </c>
      <c r="Q25" s="699">
        <v>140000</v>
      </c>
      <c r="R25" s="698">
        <f>[1]Субвенция_факт!R26*1000</f>
        <v>50000</v>
      </c>
      <c r="S25" s="699"/>
      <c r="T25" s="698">
        <f>[1]Субвенция_факт!S26*1000</f>
        <v>299481192.00000006</v>
      </c>
      <c r="U25" s="700">
        <v>225000000</v>
      </c>
      <c r="V25" s="698">
        <f>[1]Субвенция_факт!T26*1000</f>
        <v>0</v>
      </c>
      <c r="W25" s="701"/>
      <c r="X25" s="698">
        <f>[1]Субвенция_факт!U26*1000</f>
        <v>96424940.999999985</v>
      </c>
      <c r="Y25" s="702">
        <v>70000000</v>
      </c>
      <c r="Z25" s="698">
        <f>[1]Субвенция_факт!V26*1000</f>
        <v>5500</v>
      </c>
      <c r="AA25" s="699">
        <v>0</v>
      </c>
      <c r="AB25" s="698">
        <f>[1]Субвенция_факт!Y26*1000</f>
        <v>6785421.0300000003</v>
      </c>
      <c r="AC25" s="699">
        <v>6711025</v>
      </c>
      <c r="AD25" s="698">
        <f>[1]Субвенция_факт!Z26*1000</f>
        <v>0</v>
      </c>
      <c r="AE25" s="701"/>
      <c r="AF25" s="698">
        <f>[1]Субвенция_факт!AA26*1000</f>
        <v>914070.92999999993</v>
      </c>
      <c r="AG25" s="702">
        <v>860000</v>
      </c>
      <c r="AH25" s="698">
        <f>[1]Субвенция_факт!AB26*1000</f>
        <v>922450</v>
      </c>
      <c r="AI25" s="699">
        <v>666112.76</v>
      </c>
      <c r="AJ25" s="698">
        <f>[1]Субвенция_факт!AC26*1000</f>
        <v>1972885</v>
      </c>
      <c r="AK25" s="699"/>
      <c r="AL25" s="698">
        <f>[1]Субвенция_факт!AD26*1000</f>
        <v>805673</v>
      </c>
      <c r="AM25" s="703">
        <v>760000</v>
      </c>
      <c r="AN25" s="698">
        <f>[1]Субвенция_факт!AH26*1000</f>
        <v>1095705.72</v>
      </c>
      <c r="AO25" s="699">
        <v>774483</v>
      </c>
      <c r="AR25" s="704"/>
      <c r="AS25" s="705"/>
      <c r="AT25" s="705"/>
      <c r="AU25" s="705"/>
    </row>
    <row r="26" spans="1:47" ht="21" customHeight="1" x14ac:dyDescent="0.25">
      <c r="A26" s="706" t="s">
        <v>1300</v>
      </c>
      <c r="B26" s="707">
        <f t="shared" si="0"/>
        <v>7010945069.3300009</v>
      </c>
      <c r="C26" s="707">
        <f t="shared" si="0"/>
        <v>5270894060.3199997</v>
      </c>
      <c r="D26" s="698">
        <f>[1]Субвенция_факт!H30*1000</f>
        <v>402941.56</v>
      </c>
      <c r="E26" s="699">
        <v>342897.6</v>
      </c>
      <c r="F26" s="698">
        <f>[1]Субвенция_факт!I30*1000</f>
        <v>0</v>
      </c>
      <c r="G26" s="699"/>
      <c r="H26" s="698">
        <f>[1]Субвенция_факт!J30*1000</f>
        <v>0</v>
      </c>
      <c r="I26" s="699"/>
      <c r="J26" s="698">
        <f>[1]Субвенция_факт!K30*1000</f>
        <v>8407918.6999999993</v>
      </c>
      <c r="K26" s="699">
        <v>6350000</v>
      </c>
      <c r="L26" s="698">
        <f>[1]Субвенция_факт!L30*1000</f>
        <v>157266530.5</v>
      </c>
      <c r="M26" s="699">
        <v>95157457</v>
      </c>
      <c r="N26" s="698">
        <f>[1]Субвенция_факт!N30*1000</f>
        <v>35165110.429999992</v>
      </c>
      <c r="O26" s="699">
        <v>26216280</v>
      </c>
      <c r="P26" s="698">
        <f>[1]Субвенция_факт!O30*1000</f>
        <v>5006000</v>
      </c>
      <c r="Q26" s="699">
        <v>4538194</v>
      </c>
      <c r="R26" s="698">
        <f>[1]Субвенция_факт!R30*1000</f>
        <v>850000</v>
      </c>
      <c r="S26" s="699">
        <v>850000</v>
      </c>
      <c r="T26" s="698">
        <f>[1]Субвенция_факт!S30*1000</f>
        <v>3856279999.0000005</v>
      </c>
      <c r="U26" s="700">
        <v>2930333416.9899998</v>
      </c>
      <c r="V26" s="698">
        <f>[1]Субвенция_факт!T30*1000</f>
        <v>38247048</v>
      </c>
      <c r="W26" s="701">
        <v>28600000</v>
      </c>
      <c r="X26" s="698">
        <f>[1]Субвенция_факт!U30*1000</f>
        <v>2867556616</v>
      </c>
      <c r="Y26" s="702">
        <v>2149164400</v>
      </c>
      <c r="Z26" s="698">
        <f>[1]Субвенция_факт!V30*1000</f>
        <v>65500</v>
      </c>
      <c r="AA26" s="699">
        <v>0</v>
      </c>
      <c r="AB26" s="698">
        <f>[1]Субвенция_факт!Y30*1000</f>
        <v>12118950.870000001</v>
      </c>
      <c r="AC26" s="699">
        <v>9650000</v>
      </c>
      <c r="AD26" s="698">
        <f>[1]Субвенция_факт!Z30*1000</f>
        <v>9270000</v>
      </c>
      <c r="AE26" s="701">
        <v>9270000</v>
      </c>
      <c r="AF26" s="698">
        <f>[1]Субвенция_факт!AA30*1000</f>
        <v>7571324.2700000005</v>
      </c>
      <c r="AG26" s="702">
        <v>5250000</v>
      </c>
      <c r="AH26" s="698">
        <f>[1]Субвенция_факт!AB30*1000</f>
        <v>10744966</v>
      </c>
      <c r="AI26" s="699">
        <v>3361414.73</v>
      </c>
      <c r="AJ26" s="698">
        <f>[1]Субвенция_факт!AC30*1000</f>
        <v>0</v>
      </c>
      <c r="AK26" s="699"/>
      <c r="AL26" s="698">
        <f>[1]Субвенция_факт!AD30*1000</f>
        <v>1992164</v>
      </c>
      <c r="AM26" s="703">
        <v>1810000</v>
      </c>
      <c r="AN26" s="698">
        <f>[1]Субвенция_факт!AH30*1000</f>
        <v>0</v>
      </c>
      <c r="AO26" s="699"/>
      <c r="AP26" s="708"/>
      <c r="AR26" s="704"/>
      <c r="AS26" s="705"/>
      <c r="AT26" s="705"/>
      <c r="AU26" s="705"/>
    </row>
    <row r="27" spans="1:47" ht="21" customHeight="1" x14ac:dyDescent="0.25">
      <c r="A27" s="706" t="s">
        <v>1299</v>
      </c>
      <c r="B27" s="707">
        <f t="shared" si="0"/>
        <v>1193223445.7499998</v>
      </c>
      <c r="C27" s="707">
        <f t="shared" si="0"/>
        <v>821297242.35000002</v>
      </c>
      <c r="D27" s="698">
        <f>[1]Субвенция_факт!H29*1000</f>
        <v>42414.9</v>
      </c>
      <c r="E27" s="699">
        <v>0</v>
      </c>
      <c r="F27" s="698">
        <f>[1]Субвенция_факт!I29*1000</f>
        <v>0</v>
      </c>
      <c r="G27" s="699"/>
      <c r="H27" s="698">
        <f>[1]Субвенция_факт!J29*1000</f>
        <v>0</v>
      </c>
      <c r="I27" s="699"/>
      <c r="J27" s="698">
        <f>[1]Субвенция_факт!K29*1000</f>
        <v>1532638.29</v>
      </c>
      <c r="K27" s="699">
        <v>1250000</v>
      </c>
      <c r="L27" s="698">
        <f>[1]Субвенция_факт!L29*1000</f>
        <v>29274831</v>
      </c>
      <c r="M27" s="699">
        <v>20500000</v>
      </c>
      <c r="N27" s="698">
        <f>[1]Субвенция_факт!N29*1000</f>
        <v>6605299.3499999996</v>
      </c>
      <c r="O27" s="699">
        <v>4100000</v>
      </c>
      <c r="P27" s="698">
        <f>[1]Субвенция_факт!O29*1000</f>
        <v>743040</v>
      </c>
      <c r="Q27" s="699">
        <v>743040</v>
      </c>
      <c r="R27" s="698">
        <f>[1]Субвенция_факт!R29*1000</f>
        <v>350000</v>
      </c>
      <c r="S27" s="699">
        <v>200000</v>
      </c>
      <c r="T27" s="698">
        <f>[1]Субвенция_факт!S29*1000</f>
        <v>623050998.99999988</v>
      </c>
      <c r="U27" s="700">
        <v>435000000</v>
      </c>
      <c r="V27" s="698">
        <f>[1]Субвенция_факт!T29*1000</f>
        <v>16571360</v>
      </c>
      <c r="W27" s="701">
        <v>9700000</v>
      </c>
      <c r="X27" s="698">
        <f>[1]Субвенция_факт!U29*1000</f>
        <v>493705667.99999988</v>
      </c>
      <c r="Y27" s="702">
        <v>340000000</v>
      </c>
      <c r="Z27" s="698">
        <f>[1]Субвенция_факт!V29*1000</f>
        <v>29000</v>
      </c>
      <c r="AA27" s="699">
        <v>9600</v>
      </c>
      <c r="AB27" s="698">
        <f>[1]Субвенция_факт!Y29*1000</f>
        <v>4844709.78</v>
      </c>
      <c r="AC27" s="699">
        <v>3375000</v>
      </c>
      <c r="AD27" s="698">
        <f>[1]Субвенция_факт!Z29*1000</f>
        <v>5000000</v>
      </c>
      <c r="AE27" s="701">
        <v>0</v>
      </c>
      <c r="AF27" s="698">
        <f>[1]Субвенция_факт!AA29*1000</f>
        <v>1742401.4300000002</v>
      </c>
      <c r="AG27" s="702">
        <v>1170000</v>
      </c>
      <c r="AH27" s="698">
        <f>[1]Субвенция_факт!AB29*1000</f>
        <v>8131752</v>
      </c>
      <c r="AI27" s="699">
        <v>3919602.35</v>
      </c>
      <c r="AJ27" s="698">
        <f>[1]Субвенция_факт!AC29*1000</f>
        <v>0</v>
      </c>
      <c r="AK27" s="699"/>
      <c r="AL27" s="698">
        <f>[1]Субвенция_факт!AD29*1000</f>
        <v>1599332</v>
      </c>
      <c r="AM27" s="703">
        <v>1330000</v>
      </c>
      <c r="AN27" s="698">
        <f>[1]Субвенция_факт!AH29*1000</f>
        <v>0</v>
      </c>
      <c r="AO27" s="699"/>
      <c r="AP27" s="708"/>
      <c r="AR27" s="704"/>
      <c r="AS27" s="705"/>
      <c r="AT27" s="705"/>
      <c r="AU27" s="705"/>
    </row>
    <row r="28" spans="1:47" s="712" customFormat="1" ht="21" customHeight="1" x14ac:dyDescent="0.25">
      <c r="A28" s="709" t="s">
        <v>339</v>
      </c>
      <c r="B28" s="707">
        <f t="shared" ref="B28:AO28" si="2">SUM(B8:B27)</f>
        <v>16056939569.560001</v>
      </c>
      <c r="C28" s="707">
        <f t="shared" si="2"/>
        <v>12208603802.59</v>
      </c>
      <c r="D28" s="707">
        <f t="shared" si="2"/>
        <v>572601.16</v>
      </c>
      <c r="E28" s="707">
        <f t="shared" si="2"/>
        <v>349966.75</v>
      </c>
      <c r="F28" s="707">
        <f t="shared" si="2"/>
        <v>22338624</v>
      </c>
      <c r="G28" s="707">
        <f t="shared" si="2"/>
        <v>15534629</v>
      </c>
      <c r="H28" s="707">
        <f t="shared" si="2"/>
        <v>6253630</v>
      </c>
      <c r="I28" s="707">
        <f t="shared" si="2"/>
        <v>4213488.29</v>
      </c>
      <c r="J28" s="707">
        <f t="shared" si="2"/>
        <v>30555519.999999996</v>
      </c>
      <c r="K28" s="707">
        <f t="shared" si="2"/>
        <v>23051773.649999999</v>
      </c>
      <c r="L28" s="707">
        <f t="shared" si="2"/>
        <v>351418686</v>
      </c>
      <c r="M28" s="707">
        <f t="shared" si="2"/>
        <v>222876444.19999999</v>
      </c>
      <c r="N28" s="707">
        <f t="shared" si="2"/>
        <v>111156949.99999999</v>
      </c>
      <c r="O28" s="707">
        <f t="shared" si="2"/>
        <v>80879382.370000005</v>
      </c>
      <c r="P28" s="707">
        <f t="shared" si="2"/>
        <v>13319576</v>
      </c>
      <c r="Q28" s="707">
        <f t="shared" si="2"/>
        <v>11390620</v>
      </c>
      <c r="R28" s="707">
        <f t="shared" si="2"/>
        <v>2100000</v>
      </c>
      <c r="S28" s="707">
        <f t="shared" si="2"/>
        <v>1149750</v>
      </c>
      <c r="T28" s="707">
        <f t="shared" si="2"/>
        <v>10038665559</v>
      </c>
      <c r="U28" s="710">
        <f t="shared" si="2"/>
        <v>7739129619.9899998</v>
      </c>
      <c r="V28" s="707">
        <f t="shared" si="2"/>
        <v>54818408</v>
      </c>
      <c r="W28" s="707">
        <f t="shared" si="2"/>
        <v>38300000</v>
      </c>
      <c r="X28" s="707">
        <f t="shared" si="2"/>
        <v>5177943350</v>
      </c>
      <c r="Y28" s="707">
        <f t="shared" si="2"/>
        <v>3913706709</v>
      </c>
      <c r="Z28" s="707">
        <f t="shared" si="2"/>
        <v>203500</v>
      </c>
      <c r="AA28" s="707">
        <f t="shared" si="2"/>
        <v>27900</v>
      </c>
      <c r="AB28" s="707">
        <f t="shared" si="2"/>
        <v>105346768.36000001</v>
      </c>
      <c r="AC28" s="707">
        <f t="shared" si="2"/>
        <v>78254960</v>
      </c>
      <c r="AD28" s="707">
        <f t="shared" si="2"/>
        <v>14270000</v>
      </c>
      <c r="AE28" s="707">
        <f t="shared" si="2"/>
        <v>9270000</v>
      </c>
      <c r="AF28" s="707">
        <f t="shared" si="2"/>
        <v>25777899.999999996</v>
      </c>
      <c r="AG28" s="707">
        <f t="shared" si="2"/>
        <v>17814059.73</v>
      </c>
      <c r="AH28" s="707">
        <f t="shared" si="2"/>
        <v>53448040</v>
      </c>
      <c r="AI28" s="707">
        <f t="shared" si="2"/>
        <v>24273321.800000004</v>
      </c>
      <c r="AJ28" s="707">
        <f t="shared" si="2"/>
        <v>15783083</v>
      </c>
      <c r="AK28" s="707">
        <f t="shared" si="2"/>
        <v>1954823.58</v>
      </c>
      <c r="AL28" s="707">
        <f t="shared" si="2"/>
        <v>18473890</v>
      </c>
      <c r="AM28" s="711">
        <f t="shared" si="2"/>
        <v>16218400</v>
      </c>
      <c r="AN28" s="707">
        <f t="shared" si="2"/>
        <v>14493484.040000001</v>
      </c>
      <c r="AO28" s="707">
        <f t="shared" si="2"/>
        <v>10207954.23</v>
      </c>
      <c r="AR28" s="704"/>
      <c r="AS28" s="705"/>
      <c r="AT28" s="705"/>
      <c r="AU28" s="705"/>
    </row>
    <row r="29" spans="1:47" x14ac:dyDescent="0.25">
      <c r="B29" s="713"/>
      <c r="C29" s="713"/>
      <c r="D29" s="713"/>
      <c r="E29" s="713"/>
      <c r="F29" s="713"/>
      <c r="G29" s="713"/>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3"/>
      <c r="AJ29" s="713"/>
      <c r="AK29" s="713"/>
      <c r="AL29" s="713"/>
      <c r="AM29" s="713"/>
      <c r="AN29" s="713"/>
      <c r="AO29" s="713"/>
      <c r="AR29" s="704"/>
      <c r="AS29" s="705"/>
      <c r="AT29" s="705"/>
      <c r="AU29" s="705"/>
    </row>
    <row r="30" spans="1:47" x14ac:dyDescent="0.25">
      <c r="B30" s="713"/>
      <c r="C30" s="713"/>
      <c r="D30" s="713"/>
      <c r="E30" s="713"/>
      <c r="F30" s="713"/>
      <c r="G30" s="713"/>
      <c r="H30" s="713"/>
      <c r="I30" s="713"/>
      <c r="J30" s="713"/>
      <c r="K30" s="713"/>
      <c r="L30" s="713"/>
      <c r="M30" s="713"/>
      <c r="N30" s="713"/>
      <c r="O30" s="713"/>
      <c r="P30" s="713"/>
      <c r="Q30" s="713"/>
      <c r="R30" s="713"/>
      <c r="S30" s="713"/>
      <c r="T30" s="713"/>
      <c r="U30" s="713"/>
      <c r="V30" s="713"/>
      <c r="W30" s="713"/>
      <c r="X30" s="713"/>
      <c r="Y30" s="713"/>
      <c r="Z30" s="713"/>
      <c r="AA30" s="713"/>
      <c r="AB30" s="713"/>
      <c r="AC30" s="713"/>
      <c r="AD30" s="713"/>
      <c r="AE30" s="713"/>
      <c r="AF30" s="713"/>
      <c r="AG30" s="713"/>
      <c r="AH30" s="713"/>
      <c r="AI30" s="713"/>
      <c r="AJ30" s="713"/>
      <c r="AK30" s="713"/>
      <c r="AL30" s="713"/>
      <c r="AM30" s="713"/>
      <c r="AN30" s="713"/>
      <c r="AO30" s="713"/>
      <c r="AR30" s="704"/>
      <c r="AS30" s="705"/>
      <c r="AT30" s="705"/>
      <c r="AU30" s="705"/>
    </row>
    <row r="31" spans="1:47" s="689" customFormat="1" x14ac:dyDescent="0.25">
      <c r="A31" s="714" t="s">
        <v>750</v>
      </c>
      <c r="B31" s="715">
        <f>B26+B27</f>
        <v>8204168515.0800009</v>
      </c>
      <c r="C31" s="715">
        <f t="shared" ref="C31:AO31" si="3">C26+C27</f>
        <v>6092191302.6700001</v>
      </c>
      <c r="D31" s="715">
        <f t="shared" si="3"/>
        <v>445356.46</v>
      </c>
      <c r="E31" s="715">
        <f t="shared" si="3"/>
        <v>342897.6</v>
      </c>
      <c r="F31" s="715">
        <f t="shared" si="3"/>
        <v>0</v>
      </c>
      <c r="G31" s="715">
        <f t="shared" si="3"/>
        <v>0</v>
      </c>
      <c r="H31" s="715">
        <f t="shared" si="3"/>
        <v>0</v>
      </c>
      <c r="I31" s="715">
        <f t="shared" si="3"/>
        <v>0</v>
      </c>
      <c r="J31" s="715">
        <f t="shared" si="3"/>
        <v>9940556.9899999984</v>
      </c>
      <c r="K31" s="715">
        <f t="shared" si="3"/>
        <v>7600000</v>
      </c>
      <c r="L31" s="715">
        <f t="shared" si="3"/>
        <v>186541361.5</v>
      </c>
      <c r="M31" s="715">
        <f t="shared" si="3"/>
        <v>115657457</v>
      </c>
      <c r="N31" s="715">
        <f t="shared" si="3"/>
        <v>41770409.779999994</v>
      </c>
      <c r="O31" s="715">
        <f t="shared" si="3"/>
        <v>30316280</v>
      </c>
      <c r="P31" s="715">
        <f t="shared" si="3"/>
        <v>5749040</v>
      </c>
      <c r="Q31" s="715">
        <f t="shared" si="3"/>
        <v>5281234</v>
      </c>
      <c r="R31" s="715">
        <f t="shared" si="3"/>
        <v>1200000</v>
      </c>
      <c r="S31" s="715">
        <f t="shared" si="3"/>
        <v>1050000</v>
      </c>
      <c r="T31" s="715">
        <f t="shared" si="3"/>
        <v>4479330998</v>
      </c>
      <c r="U31" s="715">
        <f t="shared" si="3"/>
        <v>3365333416.9899998</v>
      </c>
      <c r="V31" s="715">
        <f t="shared" si="3"/>
        <v>54818408</v>
      </c>
      <c r="W31" s="715">
        <f t="shared" si="3"/>
        <v>38300000</v>
      </c>
      <c r="X31" s="715">
        <f t="shared" si="3"/>
        <v>3361262284</v>
      </c>
      <c r="Y31" s="715">
        <f t="shared" si="3"/>
        <v>2489164400</v>
      </c>
      <c r="Z31" s="715">
        <f t="shared" si="3"/>
        <v>94500</v>
      </c>
      <c r="AA31" s="715">
        <f t="shared" si="3"/>
        <v>9600</v>
      </c>
      <c r="AB31" s="715">
        <f t="shared" si="3"/>
        <v>16963660.650000002</v>
      </c>
      <c r="AC31" s="715">
        <f t="shared" si="3"/>
        <v>13025000</v>
      </c>
      <c r="AD31" s="715">
        <f t="shared" si="3"/>
        <v>14270000</v>
      </c>
      <c r="AE31" s="715">
        <f t="shared" si="3"/>
        <v>9270000</v>
      </c>
      <c r="AF31" s="715">
        <f t="shared" si="3"/>
        <v>9313725.7000000011</v>
      </c>
      <c r="AG31" s="715">
        <f t="shared" si="3"/>
        <v>6420000</v>
      </c>
      <c r="AH31" s="715">
        <f t="shared" si="3"/>
        <v>18876718</v>
      </c>
      <c r="AI31" s="715">
        <f t="shared" si="3"/>
        <v>7281017.0800000001</v>
      </c>
      <c r="AJ31" s="715">
        <f t="shared" si="3"/>
        <v>0</v>
      </c>
      <c r="AK31" s="715">
        <f t="shared" si="3"/>
        <v>0</v>
      </c>
      <c r="AL31" s="715">
        <f t="shared" si="3"/>
        <v>3591496</v>
      </c>
      <c r="AM31" s="715">
        <f t="shared" si="3"/>
        <v>3140000</v>
      </c>
      <c r="AN31" s="715">
        <f t="shared" si="3"/>
        <v>0</v>
      </c>
      <c r="AO31" s="715">
        <f t="shared" si="3"/>
        <v>0</v>
      </c>
      <c r="AR31" s="704"/>
      <c r="AS31" s="716"/>
      <c r="AT31" s="716"/>
      <c r="AU31" s="716"/>
    </row>
    <row r="32" spans="1:47" s="689" customFormat="1" x14ac:dyDescent="0.25">
      <c r="A32" s="714" t="s">
        <v>880</v>
      </c>
      <c r="B32" s="715">
        <f t="shared" ref="B32:AO32" si="4">SUM(B8:B25)-B33</f>
        <v>6655321407.4300003</v>
      </c>
      <c r="C32" s="715">
        <f t="shared" si="4"/>
        <v>5207721493.3299999</v>
      </c>
      <c r="D32" s="715">
        <f t="shared" si="4"/>
        <v>98968.099999999948</v>
      </c>
      <c r="E32" s="715">
        <f t="shared" si="4"/>
        <v>7069.15</v>
      </c>
      <c r="F32" s="715">
        <f t="shared" si="4"/>
        <v>17557848</v>
      </c>
      <c r="G32" s="715">
        <f t="shared" si="4"/>
        <v>12255647</v>
      </c>
      <c r="H32" s="715">
        <f t="shared" si="4"/>
        <v>4858390</v>
      </c>
      <c r="I32" s="715">
        <f t="shared" si="4"/>
        <v>3200380.29</v>
      </c>
      <c r="J32" s="715">
        <f t="shared" si="4"/>
        <v>17516564.409999996</v>
      </c>
      <c r="K32" s="715">
        <f t="shared" si="4"/>
        <v>12935000</v>
      </c>
      <c r="L32" s="715">
        <f t="shared" si="4"/>
        <v>144087161.99999997</v>
      </c>
      <c r="M32" s="715">
        <f t="shared" si="4"/>
        <v>96007307.200000003</v>
      </c>
      <c r="N32" s="715">
        <f t="shared" si="4"/>
        <v>58262591.739999995</v>
      </c>
      <c r="O32" s="715">
        <f t="shared" si="4"/>
        <v>41912415.370000005</v>
      </c>
      <c r="P32" s="715">
        <f t="shared" si="4"/>
        <v>6722332</v>
      </c>
      <c r="Q32" s="715">
        <f t="shared" si="4"/>
        <v>5358482</v>
      </c>
      <c r="R32" s="715">
        <f t="shared" si="4"/>
        <v>800000</v>
      </c>
      <c r="S32" s="715">
        <f t="shared" si="4"/>
        <v>99750</v>
      </c>
      <c r="T32" s="715">
        <f t="shared" si="4"/>
        <v>4685685561</v>
      </c>
      <c r="U32" s="715">
        <f t="shared" si="4"/>
        <v>3708038203</v>
      </c>
      <c r="V32" s="715">
        <f t="shared" si="4"/>
        <v>0</v>
      </c>
      <c r="W32" s="715">
        <f t="shared" si="4"/>
        <v>0</v>
      </c>
      <c r="X32" s="715">
        <f t="shared" si="4"/>
        <v>1567515059</v>
      </c>
      <c r="Y32" s="715">
        <f t="shared" si="4"/>
        <v>1233242309</v>
      </c>
      <c r="Z32" s="715">
        <f t="shared" si="4"/>
        <v>96500</v>
      </c>
      <c r="AA32" s="715">
        <f t="shared" si="4"/>
        <v>12300</v>
      </c>
      <c r="AB32" s="715">
        <f t="shared" si="4"/>
        <v>67952994.560000002</v>
      </c>
      <c r="AC32" s="715">
        <f t="shared" si="4"/>
        <v>47407306.25</v>
      </c>
      <c r="AD32" s="715">
        <f t="shared" si="4"/>
        <v>0</v>
      </c>
      <c r="AE32" s="715">
        <f t="shared" si="4"/>
        <v>0</v>
      </c>
      <c r="AF32" s="715">
        <f t="shared" si="4"/>
        <v>13206890.579999998</v>
      </c>
      <c r="AG32" s="715">
        <f t="shared" si="4"/>
        <v>8949059.7300000004</v>
      </c>
      <c r="AH32" s="715">
        <f t="shared" si="4"/>
        <v>31091112</v>
      </c>
      <c r="AI32" s="715">
        <f t="shared" si="4"/>
        <v>15760386.530000003</v>
      </c>
      <c r="AJ32" s="715">
        <f t="shared" si="4"/>
        <v>13810198</v>
      </c>
      <c r="AK32" s="715">
        <f t="shared" si="4"/>
        <v>1954823.58</v>
      </c>
      <c r="AL32" s="715">
        <f t="shared" si="4"/>
        <v>11565752</v>
      </c>
      <c r="AM32" s="715">
        <f t="shared" si="4"/>
        <v>10373100</v>
      </c>
      <c r="AN32" s="715">
        <f t="shared" si="4"/>
        <v>14493484.040000001</v>
      </c>
      <c r="AO32" s="715">
        <f t="shared" si="4"/>
        <v>10207954.23</v>
      </c>
      <c r="AR32" s="704"/>
      <c r="AS32" s="716"/>
      <c r="AT32" s="716"/>
      <c r="AU32" s="716"/>
    </row>
    <row r="33" spans="1:47" s="689" customFormat="1" x14ac:dyDescent="0.25">
      <c r="A33" s="1110" t="s">
        <v>749</v>
      </c>
      <c r="B33" s="1111">
        <f t="shared" ref="B33:AO33" si="5">B8+B9+B10+B11</f>
        <v>1197449647.05</v>
      </c>
      <c r="C33" s="1111">
        <f t="shared" si="5"/>
        <v>908691006.58999991</v>
      </c>
      <c r="D33" s="1111">
        <f t="shared" si="5"/>
        <v>28276.6</v>
      </c>
      <c r="E33" s="1111">
        <f t="shared" si="5"/>
        <v>0</v>
      </c>
      <c r="F33" s="1111">
        <f t="shared" si="5"/>
        <v>4780776</v>
      </c>
      <c r="G33" s="1111">
        <f t="shared" si="5"/>
        <v>3278982</v>
      </c>
      <c r="H33" s="1111">
        <f t="shared" si="5"/>
        <v>1395240</v>
      </c>
      <c r="I33" s="1111">
        <f t="shared" si="5"/>
        <v>1013108</v>
      </c>
      <c r="J33" s="1111">
        <f t="shared" si="5"/>
        <v>3098398.5999999996</v>
      </c>
      <c r="K33" s="1111">
        <f t="shared" si="5"/>
        <v>2516773.65</v>
      </c>
      <c r="L33" s="1111">
        <f t="shared" si="5"/>
        <v>20790162.5</v>
      </c>
      <c r="M33" s="1111">
        <f t="shared" si="5"/>
        <v>11211680</v>
      </c>
      <c r="N33" s="1111">
        <f t="shared" si="5"/>
        <v>11123948.48</v>
      </c>
      <c r="O33" s="1111">
        <f t="shared" si="5"/>
        <v>8650687</v>
      </c>
      <c r="P33" s="1111">
        <f t="shared" si="5"/>
        <v>848204</v>
      </c>
      <c r="Q33" s="1111">
        <f t="shared" si="5"/>
        <v>750904</v>
      </c>
      <c r="R33" s="1111">
        <f t="shared" si="5"/>
        <v>100000</v>
      </c>
      <c r="S33" s="1111">
        <f t="shared" si="5"/>
        <v>0</v>
      </c>
      <c r="T33" s="1111">
        <f t="shared" si="5"/>
        <v>873649000</v>
      </c>
      <c r="U33" s="1111">
        <f t="shared" si="5"/>
        <v>665758000</v>
      </c>
      <c r="V33" s="1111">
        <f t="shared" si="5"/>
        <v>0</v>
      </c>
      <c r="W33" s="1111">
        <f t="shared" si="5"/>
        <v>0</v>
      </c>
      <c r="X33" s="1111">
        <f t="shared" si="5"/>
        <v>249166007</v>
      </c>
      <c r="Y33" s="1111">
        <f t="shared" si="5"/>
        <v>191300000</v>
      </c>
      <c r="Z33" s="1111">
        <f t="shared" si="5"/>
        <v>12500</v>
      </c>
      <c r="AA33" s="1111">
        <f t="shared" si="5"/>
        <v>6000</v>
      </c>
      <c r="AB33" s="1111">
        <f t="shared" si="5"/>
        <v>20430113.149999999</v>
      </c>
      <c r="AC33" s="1111">
        <f t="shared" si="5"/>
        <v>17822653.75</v>
      </c>
      <c r="AD33" s="1111">
        <f t="shared" si="5"/>
        <v>0</v>
      </c>
      <c r="AE33" s="1111">
        <f t="shared" si="5"/>
        <v>0</v>
      </c>
      <c r="AF33" s="1111">
        <f t="shared" si="5"/>
        <v>3257283.7199999997</v>
      </c>
      <c r="AG33" s="1111">
        <f t="shared" si="5"/>
        <v>2445000</v>
      </c>
      <c r="AH33" s="1111">
        <f t="shared" si="5"/>
        <v>3480210</v>
      </c>
      <c r="AI33" s="1111">
        <f t="shared" si="5"/>
        <v>1231918.19</v>
      </c>
      <c r="AJ33" s="1111">
        <f t="shared" si="5"/>
        <v>1972885</v>
      </c>
      <c r="AK33" s="1111">
        <f t="shared" si="5"/>
        <v>0</v>
      </c>
      <c r="AL33" s="1111">
        <f t="shared" si="5"/>
        <v>3316642</v>
      </c>
      <c r="AM33" s="1111">
        <f t="shared" si="5"/>
        <v>2705300</v>
      </c>
      <c r="AN33" s="1111">
        <f t="shared" si="5"/>
        <v>0</v>
      </c>
      <c r="AO33" s="1111">
        <f t="shared" si="5"/>
        <v>0</v>
      </c>
      <c r="AR33" s="704"/>
      <c r="AS33" s="716"/>
      <c r="AT33" s="716"/>
      <c r="AU33" s="716"/>
    </row>
    <row r="34" spans="1:47" ht="17.25" customHeight="1" x14ac:dyDescent="0.25">
      <c r="A34" s="717"/>
      <c r="AR34" s="704"/>
      <c r="AS34" s="705"/>
      <c r="AT34" s="705"/>
      <c r="AU34" s="705"/>
    </row>
    <row r="35" spans="1:47" ht="17.25" customHeight="1" x14ac:dyDescent="0.25">
      <c r="A35" s="717"/>
      <c r="AR35" s="704"/>
      <c r="AS35" s="705"/>
      <c r="AT35" s="705"/>
      <c r="AU35" s="705"/>
    </row>
    <row r="36" spans="1:47" x14ac:dyDescent="0.25">
      <c r="A36" s="717"/>
      <c r="B36" s="718"/>
      <c r="C36" s="718"/>
    </row>
    <row r="37" spans="1:47" ht="17.25" customHeight="1" x14ac:dyDescent="0.25">
      <c r="A37" s="717"/>
      <c r="B37" s="718"/>
      <c r="C37" s="718"/>
      <c r="AR37" s="704"/>
      <c r="AS37" s="705"/>
      <c r="AT37" s="705"/>
      <c r="AU37" s="705"/>
    </row>
    <row r="38" spans="1:47" ht="17.25" customHeight="1" x14ac:dyDescent="0.25">
      <c r="A38" s="717"/>
      <c r="B38" s="718"/>
      <c r="C38" s="718"/>
      <c r="AR38" s="704"/>
      <c r="AS38" s="705"/>
      <c r="AT38" s="705"/>
      <c r="AU38" s="705"/>
    </row>
    <row r="39" spans="1:47" ht="17.25" customHeight="1" x14ac:dyDescent="0.25">
      <c r="A39" s="717"/>
      <c r="B39" s="718"/>
      <c r="C39" s="718"/>
      <c r="AR39" s="704"/>
      <c r="AS39" s="705"/>
      <c r="AT39" s="705"/>
      <c r="AU39" s="705"/>
    </row>
    <row r="40" spans="1:47" ht="17.25" customHeight="1" x14ac:dyDescent="0.25">
      <c r="AR40" s="704"/>
      <c r="AS40" s="705"/>
      <c r="AT40" s="705"/>
      <c r="AU40" s="705"/>
    </row>
    <row r="41" spans="1:47" ht="17.25" customHeight="1" x14ac:dyDescent="0.25">
      <c r="AR41" s="704"/>
      <c r="AS41" s="705"/>
      <c r="AT41" s="705"/>
      <c r="AU41" s="705"/>
    </row>
    <row r="42" spans="1:47" ht="17.25" customHeight="1" x14ac:dyDescent="0.25">
      <c r="AR42" s="704"/>
      <c r="AS42" s="705"/>
      <c r="AT42" s="705"/>
      <c r="AU42" s="705"/>
    </row>
    <row r="43" spans="1:47" ht="17.25" customHeight="1" x14ac:dyDescent="0.25">
      <c r="AR43" s="704"/>
      <c r="AS43" s="705"/>
      <c r="AT43" s="705"/>
      <c r="AU43" s="705"/>
    </row>
    <row r="44" spans="1:47" ht="17.25" customHeight="1" x14ac:dyDescent="0.25">
      <c r="AR44" s="719"/>
      <c r="AS44" s="720"/>
      <c r="AT44" s="720"/>
      <c r="AU44" s="720"/>
    </row>
  </sheetData>
  <mergeCells count="41">
    <mergeCell ref="C2:H2"/>
    <mergeCell ref="A5:A6"/>
    <mergeCell ref="B5:C6"/>
    <mergeCell ref="D5:E5"/>
    <mergeCell ref="F5:G5"/>
    <mergeCell ref="H5:I5"/>
    <mergeCell ref="D6:E6"/>
    <mergeCell ref="F6:G6"/>
    <mergeCell ref="H6:I6"/>
    <mergeCell ref="J6:K6"/>
    <mergeCell ref="L6:M6"/>
    <mergeCell ref="Z6:AA6"/>
    <mergeCell ref="AH5:AI5"/>
    <mergeCell ref="AJ5:AK5"/>
    <mergeCell ref="N6:O6"/>
    <mergeCell ref="V5:W5"/>
    <mergeCell ref="X5:Y5"/>
    <mergeCell ref="Z5:AA5"/>
    <mergeCell ref="AB5:AC5"/>
    <mergeCell ref="T5:U5"/>
    <mergeCell ref="J5:K5"/>
    <mergeCell ref="L5:M5"/>
    <mergeCell ref="N5:O5"/>
    <mergeCell ref="P5:Q5"/>
    <mergeCell ref="R5:S5"/>
    <mergeCell ref="AL5:AM5"/>
    <mergeCell ref="AN5:AO5"/>
    <mergeCell ref="AD5:AE5"/>
    <mergeCell ref="AF5:AG5"/>
    <mergeCell ref="P6:Q6"/>
    <mergeCell ref="R6:S6"/>
    <mergeCell ref="T6:U6"/>
    <mergeCell ref="V6:W6"/>
    <mergeCell ref="X6:Y6"/>
    <mergeCell ref="AN6:AO6"/>
    <mergeCell ref="AB6:AC6"/>
    <mergeCell ref="AD6:AE6"/>
    <mergeCell ref="AF6:AG6"/>
    <mergeCell ref="AH6:AI6"/>
    <mergeCell ref="AJ6:AK6"/>
    <mergeCell ref="AL6:AM6"/>
  </mergeCells>
  <pageMargins left="0.78740157480314965" right="0.39370078740157483" top="0.78740157480314965" bottom="0.59055118110236227" header="0.51181102362204722" footer="0.51181102362204722"/>
  <pageSetup paperSize="9" scale="48" fitToWidth="15" orientation="landscape" r:id="rId1"/>
  <headerFooter alignWithMargins="0">
    <oddFooter>&amp;L&amp;P&amp;R&amp;Z&amp;F&amp;A</oddFooter>
  </headerFooter>
  <colBreaks count="2" manualBreakCount="2">
    <brk id="11" max="32" man="1"/>
    <brk id="3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8"/>
  <sheetViews>
    <sheetView topLeftCell="A2" zoomScale="50" zoomScaleNormal="50" workbookViewId="0">
      <pane xSplit="1" ySplit="9" topLeftCell="B26" activePane="bottomRight" state="frozen"/>
      <selection activeCell="A2" sqref="A2"/>
      <selection pane="topRight" activeCell="B2" sqref="B2"/>
      <selection pane="bottomLeft" activeCell="A11" sqref="A11"/>
      <selection pane="bottomRight" activeCell="AH26" sqref="AH26"/>
    </sheetView>
  </sheetViews>
  <sheetFormatPr defaultColWidth="8.7109375" defaultRowHeight="15" x14ac:dyDescent="0.25"/>
  <cols>
    <col min="1" max="1" width="31.42578125" style="1" customWidth="1"/>
    <col min="2" max="2" width="24.28515625" style="1" bestFit="1" customWidth="1"/>
    <col min="3" max="4" width="21.5703125" style="1" customWidth="1"/>
    <col min="5" max="5" width="22.42578125" style="1" customWidth="1"/>
    <col min="6" max="6" width="21.28515625" style="1" customWidth="1"/>
    <col min="7" max="7" width="16.85546875" style="1" hidden="1" customWidth="1"/>
    <col min="8" max="8" width="21.42578125" style="1" customWidth="1"/>
    <col min="9" max="9" width="20.42578125" style="1" customWidth="1"/>
    <col min="10" max="10" width="22.5703125" style="1" customWidth="1"/>
    <col min="11" max="11" width="20.85546875" style="1" customWidth="1"/>
    <col min="12" max="12" width="19.42578125" style="1" customWidth="1"/>
    <col min="13" max="13" width="18.42578125" style="1" hidden="1" customWidth="1"/>
    <col min="14" max="14" width="21.85546875" style="1" customWidth="1"/>
    <col min="15" max="15" width="21.7109375" style="1" customWidth="1"/>
    <col min="16" max="16" width="20.5703125" style="1" customWidth="1"/>
    <col min="17" max="17" width="20.140625" style="1" customWidth="1"/>
    <col min="18" max="18" width="18.5703125" style="1" customWidth="1"/>
    <col min="19" max="19" width="17.42578125" style="1" hidden="1" customWidth="1"/>
    <col min="20" max="20" width="19.42578125" style="1" customWidth="1"/>
    <col min="21" max="21" width="20.140625" style="1" bestFit="1" customWidth="1"/>
    <col min="22" max="22" width="18.140625" style="1" customWidth="1"/>
    <col min="23" max="23" width="18" style="1" customWidth="1"/>
    <col min="24" max="24" width="18.28515625" style="1" bestFit="1" customWidth="1"/>
    <col min="25" max="25" width="17.42578125" style="1" hidden="1" customWidth="1"/>
    <col min="26" max="26" width="20.140625" style="1" bestFit="1" customWidth="1"/>
    <col min="27" max="27" width="19.85546875" style="1" customWidth="1"/>
    <col min="28" max="28" width="20.140625" style="1" bestFit="1" customWidth="1"/>
    <col min="29" max="29" width="22" style="1" customWidth="1"/>
    <col min="30" max="30" width="18.5703125" style="1" customWidth="1"/>
    <col min="31" max="31" width="17.42578125" style="1" hidden="1" customWidth="1"/>
    <col min="32" max="32" width="21.42578125" style="1" customWidth="1"/>
    <col min="33" max="33" width="21.140625" style="1" customWidth="1"/>
    <col min="34" max="35" width="20.5703125" style="1" customWidth="1"/>
    <col min="36" max="36" width="19.5703125" style="1" customWidth="1"/>
    <col min="37" max="37" width="18" style="1" hidden="1" customWidth="1"/>
    <col min="38" max="38" width="21.42578125" style="1" customWidth="1"/>
    <col min="39" max="39" width="20.5703125" style="1" customWidth="1"/>
    <col min="40" max="40" width="19.42578125" style="1" customWidth="1"/>
    <col min="41" max="41" width="20.5703125" style="1" customWidth="1"/>
    <col min="42" max="42" width="19.5703125" style="1" customWidth="1"/>
    <col min="43" max="43" width="17.42578125" style="1" hidden="1" customWidth="1"/>
    <col min="44" max="45" width="20.140625" style="1" bestFit="1" customWidth="1"/>
    <col min="46" max="46" width="20" style="1" customWidth="1"/>
    <col min="47" max="47" width="20.140625" style="1" bestFit="1" customWidth="1"/>
    <col min="48" max="48" width="18.42578125" style="1" customWidth="1"/>
    <col min="49" max="49" width="17.5703125" style="1" hidden="1" customWidth="1"/>
    <col min="50" max="50" width="20.140625" style="1" bestFit="1" customWidth="1"/>
    <col min="51" max="51" width="18.5703125" style="1" bestFit="1" customWidth="1"/>
    <col min="52" max="53" width="18.140625" style="1" customWidth="1"/>
    <col min="54" max="54" width="18.5703125" style="1" customWidth="1"/>
    <col min="55" max="55" width="16.5703125" style="1" hidden="1" customWidth="1"/>
    <col min="56" max="56" width="20.140625" style="1" bestFit="1" customWidth="1"/>
    <col min="57" max="57" width="18.5703125" style="1" customWidth="1"/>
    <col min="58" max="58" width="19.42578125" style="1" customWidth="1"/>
    <col min="59" max="59" width="19.140625" style="1" customWidth="1"/>
    <col min="60" max="60" width="19.85546875" style="1" customWidth="1"/>
    <col min="61" max="61" width="16.5703125" style="1" hidden="1" customWidth="1"/>
    <col min="62" max="62" width="8.7109375" style="1"/>
    <col min="63" max="63" width="22.5703125" style="508" customWidth="1"/>
    <col min="64" max="64" width="17" style="508" bestFit="1" customWidth="1"/>
    <col min="65" max="65" width="14.140625" style="508" bestFit="1" customWidth="1"/>
    <col min="66" max="66" width="15.85546875" style="508" bestFit="1" customWidth="1"/>
    <col min="67" max="16384" width="8.7109375" style="1"/>
  </cols>
  <sheetData>
    <row r="1" spans="1:66" x14ac:dyDescent="0.25">
      <c r="A1" s="390"/>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row>
    <row r="2" spans="1:66" ht="16.5" x14ac:dyDescent="0.25">
      <c r="A2" s="390"/>
      <c r="D2" s="426" t="s">
        <v>796</v>
      </c>
      <c r="H2" s="495"/>
      <c r="I2" s="495"/>
      <c r="J2" s="495"/>
      <c r="K2" s="390"/>
      <c r="L2" s="390"/>
      <c r="M2" s="390"/>
      <c r="N2" s="390"/>
      <c r="O2" s="390"/>
      <c r="P2" s="390"/>
      <c r="Q2" s="390"/>
      <c r="R2" s="390"/>
      <c r="S2" s="390"/>
      <c r="T2" s="390"/>
      <c r="U2" s="390"/>
      <c r="V2" s="390"/>
      <c r="W2" s="390"/>
      <c r="X2" s="390"/>
      <c r="Y2" s="390"/>
      <c r="Z2" s="390"/>
      <c r="AA2" s="390"/>
      <c r="AB2" s="390"/>
      <c r="AC2" s="390"/>
      <c r="AD2" s="390"/>
      <c r="AE2" s="390"/>
    </row>
    <row r="3" spans="1:66" ht="16.5" x14ac:dyDescent="0.25">
      <c r="A3" s="390"/>
      <c r="D3" s="426"/>
      <c r="E3" s="507" t="str">
        <f>'Проверочная  таблица'!E3</f>
        <v>ПО  СОСТОЯНИЮ  НА  1  ОКТЯБРЯ  2024  ГОДА</v>
      </c>
      <c r="F3" s="507"/>
      <c r="H3" s="495"/>
      <c r="I3" s="495"/>
      <c r="J3" s="495"/>
      <c r="K3" s="390"/>
      <c r="L3" s="390"/>
      <c r="M3" s="390"/>
      <c r="N3" s="390"/>
      <c r="O3" s="390"/>
      <c r="P3" s="390"/>
      <c r="Q3" s="390"/>
      <c r="R3" s="390"/>
      <c r="S3" s="390"/>
      <c r="T3" s="390"/>
      <c r="U3" s="390"/>
      <c r="V3" s="390"/>
      <c r="W3" s="390"/>
      <c r="X3" s="390"/>
      <c r="Y3" s="390"/>
      <c r="Z3" s="390"/>
      <c r="AA3" s="390"/>
      <c r="AB3" s="390"/>
      <c r="AC3" s="390"/>
      <c r="AD3" s="390"/>
      <c r="AE3" s="390"/>
    </row>
    <row r="4" spans="1:66" x14ac:dyDescent="0.25">
      <c r="A4" s="390"/>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row>
    <row r="5" spans="1:66" ht="15.75" thickBot="1" x14ac:dyDescent="0.3">
      <c r="A5" s="390"/>
      <c r="B5" s="390"/>
      <c r="C5" s="390"/>
      <c r="D5" s="390"/>
      <c r="E5" s="390"/>
      <c r="F5" s="390"/>
      <c r="G5" s="390"/>
      <c r="H5" s="390"/>
      <c r="I5" s="390"/>
      <c r="J5" s="390"/>
      <c r="K5" s="390"/>
      <c r="L5" s="390"/>
      <c r="M5" s="390"/>
      <c r="AM5" s="390"/>
      <c r="AN5" s="390"/>
      <c r="AO5" s="390"/>
      <c r="AP5" s="390"/>
      <c r="AQ5" s="390"/>
      <c r="AU5" s="508" t="s">
        <v>370</v>
      </c>
      <c r="AV5" s="508"/>
    </row>
    <row r="6" spans="1:66" ht="18" customHeight="1" x14ac:dyDescent="0.25">
      <c r="A6" s="1742" t="s">
        <v>797</v>
      </c>
      <c r="B6" s="1745" t="s">
        <v>358</v>
      </c>
      <c r="C6" s="1746"/>
      <c r="D6" s="1746"/>
      <c r="E6" s="1746"/>
      <c r="F6" s="1746"/>
      <c r="G6" s="1746"/>
      <c r="H6" s="1746"/>
      <c r="I6" s="1746"/>
      <c r="J6" s="1746"/>
      <c r="K6" s="1746"/>
      <c r="L6" s="1746"/>
      <c r="M6" s="1746"/>
      <c r="N6" s="1746"/>
      <c r="O6" s="1746"/>
      <c r="P6" s="1746"/>
      <c r="Q6" s="1746"/>
      <c r="R6" s="1746"/>
      <c r="S6" s="1746"/>
      <c r="T6" s="1746"/>
      <c r="U6" s="1746"/>
      <c r="V6" s="1746"/>
      <c r="W6" s="1746"/>
      <c r="X6" s="1746"/>
      <c r="Y6" s="1746"/>
      <c r="Z6" s="1746"/>
      <c r="AA6" s="1746"/>
      <c r="AB6" s="1746"/>
      <c r="AC6" s="1746"/>
      <c r="AD6" s="1746"/>
      <c r="AE6" s="1747"/>
      <c r="AF6" s="1745" t="s">
        <v>656</v>
      </c>
      <c r="AG6" s="1746"/>
      <c r="AH6" s="1746"/>
      <c r="AI6" s="1746"/>
      <c r="AJ6" s="1746"/>
      <c r="AK6" s="1746"/>
      <c r="AL6" s="1746"/>
      <c r="AM6" s="1746"/>
      <c r="AN6" s="1746"/>
      <c r="AO6" s="1746"/>
      <c r="AP6" s="1746"/>
      <c r="AQ6" s="1746"/>
      <c r="AR6" s="1746"/>
      <c r="AS6" s="1746"/>
      <c r="AT6" s="1746"/>
      <c r="AU6" s="1746"/>
      <c r="AV6" s="1746"/>
      <c r="AW6" s="1746"/>
      <c r="AX6" s="1746"/>
      <c r="AY6" s="1746"/>
      <c r="AZ6" s="1746"/>
      <c r="BA6" s="1746"/>
      <c r="BB6" s="1746"/>
      <c r="BC6" s="1746"/>
      <c r="BD6" s="1746"/>
      <c r="BE6" s="1746"/>
      <c r="BF6" s="1746"/>
      <c r="BG6" s="1746"/>
      <c r="BH6" s="1746"/>
      <c r="BI6" s="1747"/>
      <c r="BJ6" s="1265"/>
    </row>
    <row r="7" spans="1:66" ht="18" customHeight="1" thickBot="1" x14ac:dyDescent="0.3">
      <c r="A7" s="1743"/>
      <c r="B7" s="1748"/>
      <c r="C7" s="1749"/>
      <c r="D7" s="1749"/>
      <c r="E7" s="1749"/>
      <c r="F7" s="1749"/>
      <c r="G7" s="1749"/>
      <c r="H7" s="1749"/>
      <c r="I7" s="1749"/>
      <c r="J7" s="1749"/>
      <c r="K7" s="1749"/>
      <c r="L7" s="1749"/>
      <c r="M7" s="1749"/>
      <c r="N7" s="1749"/>
      <c r="O7" s="1749"/>
      <c r="P7" s="1749"/>
      <c r="Q7" s="1749"/>
      <c r="R7" s="1749"/>
      <c r="S7" s="1749"/>
      <c r="T7" s="1749"/>
      <c r="U7" s="1749"/>
      <c r="V7" s="1749"/>
      <c r="W7" s="1749"/>
      <c r="X7" s="1749"/>
      <c r="Y7" s="1749"/>
      <c r="Z7" s="1749"/>
      <c r="AA7" s="1749"/>
      <c r="AB7" s="1749"/>
      <c r="AC7" s="1749"/>
      <c r="AD7" s="1749"/>
      <c r="AE7" s="1750"/>
      <c r="AF7" s="1748"/>
      <c r="AG7" s="1749"/>
      <c r="AH7" s="1749"/>
      <c r="AI7" s="1749"/>
      <c r="AJ7" s="1749"/>
      <c r="AK7" s="1749"/>
      <c r="AL7" s="1749"/>
      <c r="AM7" s="1749"/>
      <c r="AN7" s="1749"/>
      <c r="AO7" s="1749"/>
      <c r="AP7" s="1749"/>
      <c r="AQ7" s="1749"/>
      <c r="AR7" s="1749"/>
      <c r="AS7" s="1749"/>
      <c r="AT7" s="1749"/>
      <c r="AU7" s="1749"/>
      <c r="AV7" s="1749"/>
      <c r="AW7" s="1749"/>
      <c r="AX7" s="1749"/>
      <c r="AY7" s="1749"/>
      <c r="AZ7" s="1749"/>
      <c r="BA7" s="1749"/>
      <c r="BB7" s="1749"/>
      <c r="BC7" s="1749"/>
      <c r="BD7" s="1749"/>
      <c r="BE7" s="1749"/>
      <c r="BF7" s="1749"/>
      <c r="BG7" s="1749"/>
      <c r="BH7" s="1749"/>
      <c r="BI7" s="1750"/>
      <c r="BJ7" s="1265"/>
    </row>
    <row r="8" spans="1:66" ht="18" customHeight="1" thickBot="1" x14ac:dyDescent="0.3">
      <c r="A8" s="1743"/>
      <c r="B8" s="1742" t="s">
        <v>420</v>
      </c>
      <c r="C8" s="1745" t="s">
        <v>798</v>
      </c>
      <c r="D8" s="1746"/>
      <c r="E8" s="1746"/>
      <c r="F8" s="1746"/>
      <c r="G8" s="1747"/>
      <c r="H8" s="1751" t="s">
        <v>375</v>
      </c>
      <c r="I8" s="1738"/>
      <c r="J8" s="1738"/>
      <c r="K8" s="1738"/>
      <c r="L8" s="1738"/>
      <c r="M8" s="1738"/>
      <c r="N8" s="1738"/>
      <c r="O8" s="1738"/>
      <c r="P8" s="1738"/>
      <c r="Q8" s="1738"/>
      <c r="R8" s="1738"/>
      <c r="S8" s="1739"/>
      <c r="T8" s="1752" t="s">
        <v>799</v>
      </c>
      <c r="U8" s="1736"/>
      <c r="V8" s="1736"/>
      <c r="W8" s="1736"/>
      <c r="X8" s="1736"/>
      <c r="Y8" s="1737"/>
      <c r="Z8" s="1752" t="s">
        <v>800</v>
      </c>
      <c r="AA8" s="1736"/>
      <c r="AB8" s="1736"/>
      <c r="AC8" s="1736"/>
      <c r="AD8" s="1736"/>
      <c r="AE8" s="1737"/>
      <c r="AF8" s="1742" t="s">
        <v>420</v>
      </c>
      <c r="AG8" s="1745" t="s">
        <v>798</v>
      </c>
      <c r="AH8" s="1746"/>
      <c r="AI8" s="1746"/>
      <c r="AJ8" s="1746"/>
      <c r="AK8" s="1747"/>
      <c r="AL8" s="1751" t="s">
        <v>375</v>
      </c>
      <c r="AM8" s="1738"/>
      <c r="AN8" s="1738"/>
      <c r="AO8" s="1738"/>
      <c r="AP8" s="1738"/>
      <c r="AQ8" s="1738"/>
      <c r="AR8" s="1738"/>
      <c r="AS8" s="1738"/>
      <c r="AT8" s="1738"/>
      <c r="AU8" s="1738"/>
      <c r="AV8" s="1738"/>
      <c r="AW8" s="1739"/>
      <c r="AX8" s="1752" t="s">
        <v>799</v>
      </c>
      <c r="AY8" s="1736"/>
      <c r="AZ8" s="1736"/>
      <c r="BA8" s="1736"/>
      <c r="BB8" s="1736"/>
      <c r="BC8" s="1737"/>
      <c r="BD8" s="1752" t="s">
        <v>800</v>
      </c>
      <c r="BE8" s="1736"/>
      <c r="BF8" s="1736"/>
      <c r="BG8" s="1736"/>
      <c r="BH8" s="1736"/>
      <c r="BI8" s="1736"/>
      <c r="BJ8" s="509"/>
    </row>
    <row r="9" spans="1:66" ht="18" customHeight="1" thickBot="1" x14ac:dyDescent="0.3">
      <c r="A9" s="1743"/>
      <c r="B9" s="1743"/>
      <c r="C9" s="1748"/>
      <c r="D9" s="1749"/>
      <c r="E9" s="1749"/>
      <c r="F9" s="1749"/>
      <c r="G9" s="1750"/>
      <c r="H9" s="1742" t="s">
        <v>801</v>
      </c>
      <c r="I9" s="1748" t="s">
        <v>658</v>
      </c>
      <c r="J9" s="1749"/>
      <c r="K9" s="1749"/>
      <c r="L9" s="1749"/>
      <c r="M9" s="1749"/>
      <c r="N9" s="1742" t="s">
        <v>802</v>
      </c>
      <c r="O9" s="1738" t="s">
        <v>658</v>
      </c>
      <c r="P9" s="1738"/>
      <c r="Q9" s="1738"/>
      <c r="R9" s="1738"/>
      <c r="S9" s="1739"/>
      <c r="T9" s="1740" t="s">
        <v>802</v>
      </c>
      <c r="U9" s="1736" t="s">
        <v>658</v>
      </c>
      <c r="V9" s="1736"/>
      <c r="W9" s="1736"/>
      <c r="X9" s="1736"/>
      <c r="Y9" s="1737"/>
      <c r="Z9" s="1740" t="s">
        <v>802</v>
      </c>
      <c r="AA9" s="1736" t="s">
        <v>658</v>
      </c>
      <c r="AB9" s="1736"/>
      <c r="AC9" s="1736"/>
      <c r="AD9" s="1736"/>
      <c r="AE9" s="1737"/>
      <c r="AF9" s="1743"/>
      <c r="AG9" s="1748"/>
      <c r="AH9" s="1749"/>
      <c r="AI9" s="1749"/>
      <c r="AJ9" s="1749"/>
      <c r="AK9" s="1750"/>
      <c r="AL9" s="1742" t="s">
        <v>801</v>
      </c>
      <c r="AM9" s="1748" t="s">
        <v>658</v>
      </c>
      <c r="AN9" s="1749"/>
      <c r="AO9" s="1749"/>
      <c r="AP9" s="1749"/>
      <c r="AQ9" s="1749"/>
      <c r="AR9" s="1742" t="s">
        <v>802</v>
      </c>
      <c r="AS9" s="1738" t="s">
        <v>658</v>
      </c>
      <c r="AT9" s="1738"/>
      <c r="AU9" s="1738"/>
      <c r="AV9" s="1738"/>
      <c r="AW9" s="1738"/>
      <c r="AX9" s="1732" t="s">
        <v>802</v>
      </c>
      <c r="AY9" s="1735" t="s">
        <v>658</v>
      </c>
      <c r="AZ9" s="1735"/>
      <c r="BA9" s="1735"/>
      <c r="BB9" s="1735"/>
      <c r="BC9" s="1754"/>
      <c r="BD9" s="1732" t="s">
        <v>802</v>
      </c>
      <c r="BE9" s="1734" t="s">
        <v>658</v>
      </c>
      <c r="BF9" s="1735"/>
      <c r="BG9" s="1735"/>
      <c r="BH9" s="1735"/>
      <c r="BI9" s="1735"/>
      <c r="BJ9" s="509"/>
      <c r="BK9" s="1731" t="s">
        <v>1266</v>
      </c>
      <c r="BL9" s="1731"/>
      <c r="BM9" s="1731"/>
      <c r="BN9" s="1731"/>
    </row>
    <row r="10" spans="1:66" ht="83.25" customHeight="1" thickBot="1" x14ac:dyDescent="0.25">
      <c r="A10" s="1744"/>
      <c r="B10" s="1743"/>
      <c r="C10" s="510" t="s">
        <v>803</v>
      </c>
      <c r="D10" s="511" t="s">
        <v>804</v>
      </c>
      <c r="E10" s="512" t="s">
        <v>805</v>
      </c>
      <c r="F10" s="513" t="s">
        <v>806</v>
      </c>
      <c r="G10" s="512" t="s">
        <v>807</v>
      </c>
      <c r="H10" s="1755"/>
      <c r="I10" s="512" t="s">
        <v>803</v>
      </c>
      <c r="J10" s="514" t="s">
        <v>804</v>
      </c>
      <c r="K10" s="512" t="s">
        <v>805</v>
      </c>
      <c r="L10" s="513" t="s">
        <v>806</v>
      </c>
      <c r="M10" s="515" t="s">
        <v>807</v>
      </c>
      <c r="N10" s="1743"/>
      <c r="O10" s="513" t="s">
        <v>803</v>
      </c>
      <c r="P10" s="513" t="s">
        <v>804</v>
      </c>
      <c r="Q10" s="513" t="s">
        <v>805</v>
      </c>
      <c r="R10" s="513" t="s">
        <v>806</v>
      </c>
      <c r="S10" s="513" t="s">
        <v>807</v>
      </c>
      <c r="T10" s="1741"/>
      <c r="U10" s="516" t="s">
        <v>803</v>
      </c>
      <c r="V10" s="517" t="s">
        <v>804</v>
      </c>
      <c r="W10" s="518" t="s">
        <v>805</v>
      </c>
      <c r="X10" s="517" t="s">
        <v>806</v>
      </c>
      <c r="Y10" s="519" t="s">
        <v>807</v>
      </c>
      <c r="Z10" s="1741"/>
      <c r="AA10" s="517" t="s">
        <v>803</v>
      </c>
      <c r="AB10" s="517" t="s">
        <v>804</v>
      </c>
      <c r="AC10" s="518" t="s">
        <v>805</v>
      </c>
      <c r="AD10" s="517" t="s">
        <v>806</v>
      </c>
      <c r="AE10" s="519" t="s">
        <v>807</v>
      </c>
      <c r="AF10" s="1744"/>
      <c r="AG10" s="520" t="s">
        <v>803</v>
      </c>
      <c r="AH10" s="521" t="s">
        <v>804</v>
      </c>
      <c r="AI10" s="513" t="s">
        <v>805</v>
      </c>
      <c r="AJ10" s="513" t="s">
        <v>806</v>
      </c>
      <c r="AK10" s="513" t="s">
        <v>807</v>
      </c>
      <c r="AL10" s="1755"/>
      <c r="AM10" s="513" t="s">
        <v>803</v>
      </c>
      <c r="AN10" s="522" t="s">
        <v>804</v>
      </c>
      <c r="AO10" s="513" t="s">
        <v>805</v>
      </c>
      <c r="AP10" s="513" t="s">
        <v>806</v>
      </c>
      <c r="AQ10" s="523" t="s">
        <v>807</v>
      </c>
      <c r="AR10" s="1744"/>
      <c r="AS10" s="513" t="s">
        <v>803</v>
      </c>
      <c r="AT10" s="513" t="s">
        <v>804</v>
      </c>
      <c r="AU10" s="512" t="s">
        <v>805</v>
      </c>
      <c r="AV10" s="524" t="s">
        <v>806</v>
      </c>
      <c r="AW10" s="511" t="s">
        <v>807</v>
      </c>
      <c r="AX10" s="1756"/>
      <c r="AY10" s="525" t="s">
        <v>803</v>
      </c>
      <c r="AZ10" s="526" t="s">
        <v>804</v>
      </c>
      <c r="BA10" s="525" t="s">
        <v>805</v>
      </c>
      <c r="BB10" s="526" t="s">
        <v>806</v>
      </c>
      <c r="BC10" s="527" t="s">
        <v>807</v>
      </c>
      <c r="BD10" s="1733"/>
      <c r="BE10" s="526" t="s">
        <v>803</v>
      </c>
      <c r="BF10" s="527" t="s">
        <v>804</v>
      </c>
      <c r="BG10" s="526" t="s">
        <v>805</v>
      </c>
      <c r="BH10" s="526" t="s">
        <v>806</v>
      </c>
      <c r="BI10" s="526" t="s">
        <v>807</v>
      </c>
      <c r="BK10" s="1137" t="s">
        <v>1267</v>
      </c>
      <c r="BL10" s="1137" t="s">
        <v>1270</v>
      </c>
      <c r="BM10" s="1137" t="s">
        <v>1269</v>
      </c>
      <c r="BN10" s="1137" t="s">
        <v>1268</v>
      </c>
    </row>
    <row r="11" spans="1:66" ht="21.75" customHeight="1" x14ac:dyDescent="0.25">
      <c r="A11" s="528" t="s">
        <v>317</v>
      </c>
      <c r="B11" s="529">
        <f>'Проверочная  таблица'!B12</f>
        <v>591785416.58000004</v>
      </c>
      <c r="C11" s="530">
        <f>'Проверочная  таблица'!D12</f>
        <v>158903877</v>
      </c>
      <c r="D11" s="531">
        <f>'Проверочная  таблица'!AN12</f>
        <v>159884721.09</v>
      </c>
      <c r="E11" s="529">
        <f>'Проверочная  таблица'!VB12</f>
        <v>197485234.61999997</v>
      </c>
      <c r="F11" s="532">
        <f>'Проверочная  таблица'!WJ12</f>
        <v>75511583.86999999</v>
      </c>
      <c r="G11" s="532"/>
      <c r="H11" s="533">
        <f t="shared" ref="H11:L26" si="0">B11-N11</f>
        <v>591619382.75</v>
      </c>
      <c r="I11" s="534">
        <f t="shared" si="0"/>
        <v>158903877</v>
      </c>
      <c r="J11" s="533">
        <f t="shared" si="0"/>
        <v>159772611.09</v>
      </c>
      <c r="K11" s="534">
        <f t="shared" si="0"/>
        <v>197485234.61999997</v>
      </c>
      <c r="L11" s="534">
        <f t="shared" si="0"/>
        <v>75457660.039999992</v>
      </c>
      <c r="M11" s="533"/>
      <c r="N11" s="535">
        <f>SUM(O11:S11)</f>
        <v>166033.83000000002</v>
      </c>
      <c r="O11" s="534">
        <f>'Проверочная  таблица'!P12+'Проверочная  таблица'!AD12+'Проверочная  таблица'!H12</f>
        <v>0</v>
      </c>
      <c r="P11" s="536">
        <f>'Проверочная  таблица'!BD12+'Проверочная  таблица'!BN12+'Проверочная  таблица'!CB12+'Проверочная  таблица'!NJ12+'Проверочная  таблица'!OR12+'Проверочная  таблица'!JP12+'Проверочная  таблица'!UV12+'Проверочная  таблица'!AV12+'Проверочная  таблица'!EZ12+'Проверочная  таблица'!DB12+'Проверочная  таблица'!PZ12+'Проверочная  таблица'!TD12+'Проверочная  таблица'!LV12+'Проверочная  таблица'!KR12+'Проверочная  таблица'!RD12+'Проверочная  таблица'!HP12+'Проверочная  таблица'!GV12+'Проверочная  таблица'!GD12+'Проверочная  таблица'!IN12</f>
        <v>112110</v>
      </c>
      <c r="Q11" s="535">
        <f>'Проверочная  таблица'!VN12</f>
        <v>0</v>
      </c>
      <c r="R11" s="529">
        <f>'Проверочная  таблица'!YR12+'Проверочная  таблица'!XN12</f>
        <v>53923.83</v>
      </c>
      <c r="S11" s="537"/>
      <c r="T11" s="538">
        <f t="shared" ref="T11:T28" si="1">SUM(U11:Y11)</f>
        <v>-5043400.53</v>
      </c>
      <c r="U11" s="538">
        <f t="shared" ref="U11:X26" si="2">O11-AA11</f>
        <v>0</v>
      </c>
      <c r="V11" s="539">
        <f t="shared" si="2"/>
        <v>-5097324.3600000003</v>
      </c>
      <c r="W11" s="540">
        <f t="shared" si="2"/>
        <v>0</v>
      </c>
      <c r="X11" s="539">
        <f t="shared" si="2"/>
        <v>53923.83</v>
      </c>
      <c r="Y11" s="541"/>
      <c r="Z11" s="540">
        <f t="shared" ref="Z11:Z28" si="3">SUM(AA11:AE11)</f>
        <v>5209434.3600000003</v>
      </c>
      <c r="AA11" s="538">
        <f>'Проверочная  таблица'!AL12+'Проверочная  таблица'!T12+'Проверочная  таблица'!L12</f>
        <v>0</v>
      </c>
      <c r="AB11" s="539">
        <f>'Проверочная  таблица'!BR12+'Проверочная  таблица'!CF12+'Проверочная  таблица'!BJ12+'Проверочная  таблица'!UZ12+'Проверочная  таблица'!NV12+'Проверочная  таблица'!KB12+'Проверочная  таблица'!PH12+'Проверочная  таблица'!FL12+'Проверочная  таблица'!DJ12+'Проверочная  таблица'!QL12+'Проверочная  таблица'!UF12+'Проверочная  таблица'!ML12+'Проверочная  таблица'!LH12+'Проверочная  таблица'!RP12+'Проверочная  таблица'!IB12+'Проверочная  таблица'!HB12+'Проверочная  таблица'!GL12+'Проверочная  таблица'!IV12</f>
        <v>5209434.3600000003</v>
      </c>
      <c r="AC11" s="540"/>
      <c r="AD11" s="542">
        <f>'Проверочная  таблица'!ZP12+'Проверочная  таблица'!XT12</f>
        <v>0</v>
      </c>
      <c r="AE11" s="543"/>
      <c r="AF11" s="532">
        <f>'Проверочная  таблица'!C12</f>
        <v>336654230.00999999</v>
      </c>
      <c r="AG11" s="530">
        <f>'Проверочная  таблица'!E12</f>
        <v>119430000</v>
      </c>
      <c r="AH11" s="531">
        <f>'Проверочная  таблица'!AO12</f>
        <v>48379451.069999993</v>
      </c>
      <c r="AI11" s="529">
        <f>'Проверочная  таблица'!VE12</f>
        <v>143116888.42000002</v>
      </c>
      <c r="AJ11" s="544">
        <f>'Проверочная  таблица'!WK12</f>
        <v>25727890.52</v>
      </c>
      <c r="AK11" s="532"/>
      <c r="AL11" s="533">
        <f t="shared" ref="AL11:AP26" si="4">AF11-AR11</f>
        <v>336654230.00999999</v>
      </c>
      <c r="AM11" s="534">
        <f t="shared" si="4"/>
        <v>119430000</v>
      </c>
      <c r="AN11" s="533">
        <f t="shared" si="4"/>
        <v>48379451.069999993</v>
      </c>
      <c r="AO11" s="534">
        <f t="shared" si="4"/>
        <v>143116888.42000002</v>
      </c>
      <c r="AP11" s="534">
        <f t="shared" si="4"/>
        <v>25727890.52</v>
      </c>
      <c r="AQ11" s="533"/>
      <c r="AR11" s="535">
        <f>SUM(AS11:AW11)</f>
        <v>0</v>
      </c>
      <c r="AS11" s="535">
        <f>'Проверочная  таблица'!Q12+'Проверочная  таблица'!AG12+'Проверочная  таблица'!I12</f>
        <v>0</v>
      </c>
      <c r="AT11" s="534">
        <f>'Проверочная  таблица'!UW12+'Проверочная  таблица'!CC12+'Проверочная  таблица'!BO12+'Проверочная  таблица'!BF12+'Проверочная  таблица'!NM12+'Проверочная  таблица'!JS12+'Проверочная  таблица'!OV12+'Проверочная  таблица'!AX12+'Проверочная  таблица'!FC12+'Проверочная  таблица'!DE12+'Проверочная  таблица'!QC12+'Проверочная  таблица'!TK12+'Проверочная  таблица'!LZ12+'Проверочная  таблица'!KW12+'Проверочная  таблица'!RG12+'Проверочная  таблица'!HS12+'Проверочная  таблица'!GX12+'Проверочная  таблица'!GG12+'Проверочная  таблица'!IQ12</f>
        <v>0</v>
      </c>
      <c r="AU11" s="544">
        <f>'Проверочная  таблица'!VO12</f>
        <v>0</v>
      </c>
      <c r="AV11" s="545">
        <f>'Проверочная  таблица'!YX12+'Проверочная  таблица'!XP12</f>
        <v>0</v>
      </c>
      <c r="AW11" s="546"/>
      <c r="AX11" s="539">
        <f t="shared" ref="AX11:AX28" si="5">SUM(AY11:BC11)</f>
        <v>0</v>
      </c>
      <c r="AY11" s="540">
        <f t="shared" ref="AY11:BB26" si="6">AS11-BE11</f>
        <v>0</v>
      </c>
      <c r="AZ11" s="539">
        <f t="shared" si="6"/>
        <v>0</v>
      </c>
      <c r="BA11" s="540">
        <f t="shared" si="6"/>
        <v>0</v>
      </c>
      <c r="BB11" s="539">
        <f t="shared" si="6"/>
        <v>0</v>
      </c>
      <c r="BC11" s="547"/>
      <c r="BD11" s="548">
        <f t="shared" ref="BD11:BD28" si="7">SUM(BE11:BI11)</f>
        <v>0</v>
      </c>
      <c r="BE11" s="539">
        <f>'Проверочная  таблица'!M12+'Проверочная  таблица'!U12+'Проверочная  таблица'!AM12</f>
        <v>0</v>
      </c>
      <c r="BF11" s="541">
        <f>'Проверочная  таблица'!BS12+'Проверочная  таблица'!CG12+'Проверочная  таблица'!BK12+'Проверочная  таблица'!VA12+'Проверочная  таблица'!NY12+'Проверочная  таблица'!KE12+'Проверочная  таблица'!PL12+'Проверочная  таблица'!FO12+'Проверочная  таблица'!DK12+'Проверочная  таблица'!QO12+'Проверочная  таблица'!UM12+'Проверочная  таблица'!MP12+'Проверочная  таблица'!LK12+'Проверочная  таблица'!RS12+'Проверочная  таблица'!IE12+'Проверочная  таблица'!HC12+'Проверочная  таблица'!GM12+'Проверочная  таблица'!IW12</f>
        <v>0</v>
      </c>
      <c r="BG11" s="549"/>
      <c r="BH11" s="550">
        <f>'Проверочная  таблица'!ZV12+'Проверочная  таблица'!XU12</f>
        <v>0</v>
      </c>
      <c r="BI11" s="541"/>
      <c r="BK11" s="1138">
        <f>SUM(D11:F11)/1000</f>
        <v>432881.53957999998</v>
      </c>
      <c r="BL11" s="1138">
        <f>SUM(J11:L11)/1000</f>
        <v>432715.50575000001</v>
      </c>
      <c r="BM11" s="1138">
        <f>SUM(V11:X11)/1000</f>
        <v>-5043.4005299999999</v>
      </c>
      <c r="BN11" s="1138">
        <f>SUM(AB11:AD11)/1000</f>
        <v>5209.4343600000002</v>
      </c>
    </row>
    <row r="12" spans="1:66" ht="21.75" customHeight="1" x14ac:dyDescent="0.25">
      <c r="A12" s="551" t="s">
        <v>318</v>
      </c>
      <c r="B12" s="552">
        <f>'Проверочная  таблица'!B16</f>
        <v>2583367667.52</v>
      </c>
      <c r="C12" s="553">
        <f>'Проверочная  таблица'!D16</f>
        <v>199264707.40000001</v>
      </c>
      <c r="D12" s="554">
        <f>'Проверочная  таблица'!AN16</f>
        <v>1099927808.3700001</v>
      </c>
      <c r="E12" s="552">
        <f>'Проверочная  таблица'!VB16</f>
        <v>1013954150.11</v>
      </c>
      <c r="F12" s="555">
        <f>'Проверочная  таблица'!WJ16</f>
        <v>270221001.63999999</v>
      </c>
      <c r="G12" s="555"/>
      <c r="H12" s="536">
        <f t="shared" si="0"/>
        <v>1778471573.3099999</v>
      </c>
      <c r="I12" s="556">
        <f t="shared" si="0"/>
        <v>35946566</v>
      </c>
      <c r="J12" s="536">
        <f t="shared" si="0"/>
        <v>603587467.57000017</v>
      </c>
      <c r="K12" s="556">
        <f t="shared" si="0"/>
        <v>1010812050.11</v>
      </c>
      <c r="L12" s="556">
        <f t="shared" si="0"/>
        <v>128125489.63</v>
      </c>
      <c r="M12" s="536"/>
      <c r="N12" s="557">
        <f t="shared" ref="N12:N28" si="8">SUM(O12:S12)</f>
        <v>804896094.20999992</v>
      </c>
      <c r="O12" s="556">
        <f>'Проверочная  таблица'!P16+'Проверочная  таблица'!AD16+'Проверочная  таблица'!H16</f>
        <v>163318141.40000001</v>
      </c>
      <c r="P12" s="536">
        <f>'Проверочная  таблица'!BD16+'Проверочная  таблица'!BN16+'Проверочная  таблица'!CB16+'Проверочная  таблица'!NJ16+'Проверочная  таблица'!OR16+'Проверочная  таблица'!JP16+'Проверочная  таблица'!UV16+'Проверочная  таблица'!AV16+'Проверочная  таблица'!EZ16+'Проверочная  таблица'!DB16+'Проверочная  таблица'!PZ16+'Проверочная  таблица'!TD16+'Проверочная  таблица'!LV16+'Проверочная  таблица'!KR16+'Проверочная  таблица'!RD16+'Проверочная  таблица'!HP16+'Проверочная  таблица'!GV16+'Проверочная  таблица'!GD16+'Проверочная  таблица'!IN16</f>
        <v>496340340.79999995</v>
      </c>
      <c r="Q12" s="557">
        <f>'Проверочная  таблица'!VN16</f>
        <v>3142100</v>
      </c>
      <c r="R12" s="552">
        <f>'Проверочная  таблица'!YR16+'Проверочная  таблица'!XN16</f>
        <v>142095512.00999999</v>
      </c>
      <c r="S12" s="558"/>
      <c r="T12" s="559">
        <f t="shared" si="1"/>
        <v>168925391.97000003</v>
      </c>
      <c r="U12" s="559">
        <f t="shared" si="2"/>
        <v>73851202.400000006</v>
      </c>
      <c r="V12" s="560">
        <f t="shared" si="2"/>
        <v>63916793.610000014</v>
      </c>
      <c r="W12" s="561">
        <f t="shared" si="2"/>
        <v>3142100</v>
      </c>
      <c r="X12" s="560">
        <f t="shared" si="2"/>
        <v>28015295.959999993</v>
      </c>
      <c r="Y12" s="562"/>
      <c r="Z12" s="561">
        <f t="shared" si="3"/>
        <v>635970702.23999989</v>
      </c>
      <c r="AA12" s="559">
        <f>'Проверочная  таблица'!AL16+'Проверочная  таблица'!T16+'Проверочная  таблица'!L16</f>
        <v>89466939</v>
      </c>
      <c r="AB12" s="539">
        <f>'Проверочная  таблица'!BR16+'Проверочная  таблица'!CF16+'Проверочная  таблица'!BJ16+'Проверочная  таблица'!UZ16+'Проверочная  таблица'!NV16+'Проверочная  таблица'!KB16+'Проверочная  таблица'!PH16+'Проверочная  таблица'!FL16+'Проверочная  таблица'!DJ16+'Проверочная  таблица'!QL16+'Проверочная  таблица'!UF16+'Проверочная  таблица'!ML16+'Проверочная  таблица'!LH16+'Проверочная  таблица'!RP16+'Проверочная  таблица'!IB16+'Проверочная  таблица'!HB16+'Проверочная  таблица'!GL16+'Проверочная  таблица'!IV16</f>
        <v>432423547.18999994</v>
      </c>
      <c r="AC12" s="561"/>
      <c r="AD12" s="563">
        <f>'Проверочная  таблица'!ZP16+'Проверочная  таблица'!XT16</f>
        <v>114080216.05</v>
      </c>
      <c r="AE12" s="564"/>
      <c r="AF12" s="555">
        <f>'Проверочная  таблица'!C16</f>
        <v>1544945286.0799999</v>
      </c>
      <c r="AG12" s="553">
        <f>'Проверочная  таблица'!E16</f>
        <v>152359212.5</v>
      </c>
      <c r="AH12" s="554">
        <f>'Проверочная  таблица'!AO16</f>
        <v>452754280.65000004</v>
      </c>
      <c r="AI12" s="552">
        <f>'Проверочная  таблица'!VE16</f>
        <v>750938820.29999995</v>
      </c>
      <c r="AJ12" s="558">
        <f>'Проверочная  таблица'!WK16</f>
        <v>188892972.63</v>
      </c>
      <c r="AK12" s="555"/>
      <c r="AL12" s="536">
        <f t="shared" si="4"/>
        <v>999804915.28999996</v>
      </c>
      <c r="AM12" s="556">
        <f t="shared" si="4"/>
        <v>27905585</v>
      </c>
      <c r="AN12" s="536">
        <f t="shared" si="4"/>
        <v>163540262.06000006</v>
      </c>
      <c r="AO12" s="556">
        <f t="shared" si="4"/>
        <v>748995025.5999999</v>
      </c>
      <c r="AP12" s="556">
        <f t="shared" si="4"/>
        <v>59364042.629999995</v>
      </c>
      <c r="AQ12" s="536"/>
      <c r="AR12" s="557">
        <f t="shared" ref="AR12:AR28" si="9">SUM(AS12:AW12)</f>
        <v>545140370.78999996</v>
      </c>
      <c r="AS12" s="557">
        <f>'Проверочная  таблица'!Q16+'Проверочная  таблица'!AG16+'Проверочная  таблица'!I16</f>
        <v>124453627.5</v>
      </c>
      <c r="AT12" s="556">
        <f>'Проверочная  таблица'!UW16+'Проверочная  таблица'!CC16+'Проверочная  таблица'!BO16+'Проверочная  таблица'!BF16+'Проверочная  таблица'!NM16+'Проверочная  таблица'!JS16+'Проверочная  таблица'!OV16+'Проверочная  таблица'!AX16+'Проверочная  таблица'!FC16+'Проверочная  таблица'!DE16+'Проверочная  таблица'!QC16+'Проверочная  таблица'!TK16+'Проверочная  таблица'!LZ16+'Проверочная  таблица'!KW16+'Проверочная  таблица'!RG16+'Проверочная  таблица'!HS16+'Проверочная  таблица'!GX16+'Проверочная  таблица'!GG16+'Проверочная  таблица'!IQ16</f>
        <v>289214018.58999997</v>
      </c>
      <c r="AU12" s="558">
        <f>'Проверочная  таблица'!VO16</f>
        <v>1943794.7000000002</v>
      </c>
      <c r="AV12" s="565">
        <f>'Проверочная  таблица'!YX16+'Проверочная  таблица'!XP16</f>
        <v>129528930</v>
      </c>
      <c r="AW12" s="566"/>
      <c r="AX12" s="560">
        <f t="shared" si="5"/>
        <v>88391657.649999991</v>
      </c>
      <c r="AY12" s="561">
        <f t="shared" si="6"/>
        <v>56845627.5</v>
      </c>
      <c r="AZ12" s="560">
        <f t="shared" si="6"/>
        <v>1894194.8199999928</v>
      </c>
      <c r="BA12" s="561">
        <f t="shared" si="6"/>
        <v>1943794.7000000002</v>
      </c>
      <c r="BB12" s="560">
        <f t="shared" si="6"/>
        <v>27708040.629999995</v>
      </c>
      <c r="BC12" s="567"/>
      <c r="BD12" s="568">
        <f t="shared" si="7"/>
        <v>456748713.13999999</v>
      </c>
      <c r="BE12" s="560">
        <f>'Проверочная  таблица'!M16+'Проверочная  таблица'!U16+'Проверочная  таблица'!AM16</f>
        <v>67608000</v>
      </c>
      <c r="BF12" s="541">
        <f>'Проверочная  таблица'!BS16+'Проверочная  таблица'!CG16+'Проверочная  таблица'!BK16+'Проверочная  таблица'!VA16+'Проверочная  таблица'!NY16+'Проверочная  таблица'!KE16+'Проверочная  таблица'!PL16+'Проверочная  таблица'!FO16+'Проверочная  таблица'!DK16+'Проверочная  таблица'!QO16+'Проверочная  таблица'!UM16+'Проверочная  таблица'!MP16+'Проверочная  таблица'!LK16+'Проверочная  таблица'!RS16+'Проверочная  таблица'!IE16+'Проверочная  таблица'!HC16+'Проверочная  таблица'!GM16+'Проверочная  таблица'!IW16</f>
        <v>287319823.76999998</v>
      </c>
      <c r="BG12" s="569"/>
      <c r="BH12" s="570">
        <f>'Проверочная  таблица'!ZV16+'Проверочная  таблица'!XU16</f>
        <v>101820889.37</v>
      </c>
      <c r="BI12" s="562"/>
      <c r="BK12" s="1138">
        <f t="shared" ref="BK12:BK36" si="10">SUM(D12:F12)/1000</f>
        <v>2384102.9601199999</v>
      </c>
      <c r="BL12" s="1138">
        <f t="shared" ref="BL12:BL36" si="11">SUM(J12:L12)/1000</f>
        <v>1742525.0073100005</v>
      </c>
      <c r="BM12" s="1138">
        <f t="shared" ref="BM12:BM36" si="12">SUM(V12:X12)/1000</f>
        <v>95074.189570000002</v>
      </c>
      <c r="BN12" s="1138">
        <f t="shared" ref="BN12:BN36" si="13">SUM(AB12:AD12)/1000</f>
        <v>546503.76323999988</v>
      </c>
    </row>
    <row r="13" spans="1:66" ht="21.75" customHeight="1" x14ac:dyDescent="0.25">
      <c r="A13" s="571" t="s">
        <v>319</v>
      </c>
      <c r="B13" s="552">
        <f>'Проверочная  таблица'!B17</f>
        <v>1706970156.5600002</v>
      </c>
      <c r="C13" s="553">
        <f>'Проверочная  таблица'!D17</f>
        <v>232459694.09</v>
      </c>
      <c r="D13" s="554">
        <f>'Проверочная  таблица'!AN17</f>
        <v>707642955.32000005</v>
      </c>
      <c r="E13" s="552">
        <f>'Проверочная  таблица'!VB17</f>
        <v>493282417.97999996</v>
      </c>
      <c r="F13" s="555">
        <f>'Проверочная  таблица'!WJ17</f>
        <v>273585089.17000002</v>
      </c>
      <c r="G13" s="555"/>
      <c r="H13" s="536">
        <f t="shared" si="0"/>
        <v>1261068365.5500002</v>
      </c>
      <c r="I13" s="556">
        <f t="shared" si="0"/>
        <v>131645019</v>
      </c>
      <c r="J13" s="536">
        <f t="shared" si="0"/>
        <v>496273626.67000002</v>
      </c>
      <c r="K13" s="556">
        <f t="shared" si="0"/>
        <v>491181717.97999996</v>
      </c>
      <c r="L13" s="556">
        <f t="shared" si="0"/>
        <v>141968001.90000001</v>
      </c>
      <c r="M13" s="536"/>
      <c r="N13" s="557">
        <f t="shared" si="8"/>
        <v>445901791.00999999</v>
      </c>
      <c r="O13" s="556">
        <f>'Проверочная  таблица'!P17+'Проверочная  таблица'!AD17+'Проверочная  таблица'!H17</f>
        <v>100814675.09</v>
      </c>
      <c r="P13" s="536">
        <f>'Проверочная  таблица'!BD17+'Проверочная  таблица'!BN17+'Проверочная  таблица'!CB17+'Проверочная  таблица'!NJ17+'Проверочная  таблица'!OR17+'Проверочная  таблица'!JP17+'Проверочная  таблица'!UV17+'Проверочная  таблица'!AV17+'Проверочная  таблица'!EZ17+'Проверочная  таблица'!DB17+'Проверочная  таблица'!PZ17+'Проверочная  таблица'!TD17+'Проверочная  таблица'!LV17+'Проверочная  таблица'!KR17+'Проверочная  таблица'!RD17+'Проверочная  таблица'!HP17+'Проверочная  таблица'!GV17+'Проверочная  таблица'!GD17+'Проверочная  таблица'!IN17</f>
        <v>211369328.65000004</v>
      </c>
      <c r="Q13" s="557">
        <f>'Проверочная  таблица'!VN17</f>
        <v>2100700</v>
      </c>
      <c r="R13" s="552">
        <f>'Проверочная  таблица'!YR17+'Проверочная  таблица'!XN17</f>
        <v>131617087.27000001</v>
      </c>
      <c r="S13" s="558"/>
      <c r="T13" s="559">
        <f t="shared" si="1"/>
        <v>71808491.660000056</v>
      </c>
      <c r="U13" s="559">
        <f t="shared" si="2"/>
        <v>50583300.090000004</v>
      </c>
      <c r="V13" s="560">
        <f t="shared" si="2"/>
        <v>11942342.820000052</v>
      </c>
      <c r="W13" s="561">
        <f t="shared" si="2"/>
        <v>2100700</v>
      </c>
      <c r="X13" s="560">
        <f t="shared" si="2"/>
        <v>7182148.75</v>
      </c>
      <c r="Y13" s="562"/>
      <c r="Z13" s="561">
        <f t="shared" si="3"/>
        <v>374093299.35000002</v>
      </c>
      <c r="AA13" s="559">
        <f>'Проверочная  таблица'!AL17+'Проверочная  таблица'!T17+'Проверочная  таблица'!L17</f>
        <v>50231375</v>
      </c>
      <c r="AB13" s="539">
        <f>'Проверочная  таблица'!BR17+'Проверочная  таблица'!CF17+'Проверочная  таблица'!BJ17+'Проверочная  таблица'!UZ17+'Проверочная  таблица'!NV17+'Проверочная  таблица'!KB17+'Проверочная  таблица'!PH17+'Проверочная  таблица'!FL17+'Проверочная  таблица'!DJ17+'Проверочная  таблица'!QL17+'Проверочная  таблица'!UF17+'Проверочная  таблица'!ML17+'Проверочная  таблица'!LH17+'Проверочная  таблица'!RP17+'Проверочная  таблица'!IB17+'Проверочная  таблица'!HB17+'Проверочная  таблица'!GL17+'Проверочная  таблица'!IV17</f>
        <v>199426985.82999998</v>
      </c>
      <c r="AC13" s="561"/>
      <c r="AD13" s="563">
        <f>'Проверочная  таблица'!ZP17+'Проверочная  таблица'!XT17</f>
        <v>124434938.52000001</v>
      </c>
      <c r="AE13" s="564"/>
      <c r="AF13" s="555">
        <f>'Проверочная  таблица'!C17</f>
        <v>930298456.96999991</v>
      </c>
      <c r="AG13" s="553">
        <f>'Проверочная  таблица'!E17</f>
        <v>170040764.99000001</v>
      </c>
      <c r="AH13" s="554">
        <f>'Проверочная  таблица'!AO17</f>
        <v>307249827.24999994</v>
      </c>
      <c r="AI13" s="552">
        <f>'Проверочная  таблица'!VE17</f>
        <v>331658618.59999996</v>
      </c>
      <c r="AJ13" s="558">
        <f>'Проверочная  таблица'!WK17</f>
        <v>121349246.13</v>
      </c>
      <c r="AK13" s="555"/>
      <c r="AL13" s="536">
        <f t="shared" si="4"/>
        <v>661894463.02999997</v>
      </c>
      <c r="AM13" s="556">
        <f t="shared" si="4"/>
        <v>84697358.99000001</v>
      </c>
      <c r="AN13" s="536">
        <f t="shared" si="4"/>
        <v>190091485.55999994</v>
      </c>
      <c r="AO13" s="556">
        <f t="shared" si="4"/>
        <v>330540275.14999998</v>
      </c>
      <c r="AP13" s="556">
        <f t="shared" si="4"/>
        <v>56565343.329999998</v>
      </c>
      <c r="AQ13" s="536"/>
      <c r="AR13" s="557">
        <f t="shared" si="9"/>
        <v>268403993.94</v>
      </c>
      <c r="AS13" s="557">
        <f>'Проверочная  таблица'!Q17+'Проверочная  таблица'!AG17+'Проверочная  таблица'!I17</f>
        <v>85343406</v>
      </c>
      <c r="AT13" s="556">
        <f>'Проверочная  таблица'!UW17+'Проверочная  таблица'!CC17+'Проверочная  таблица'!BO17+'Проверочная  таблица'!BF17+'Проверочная  таблица'!NM17+'Проверочная  таблица'!JS17+'Проверочная  таблица'!OV17+'Проверочная  таблица'!AX17+'Проверочная  таблица'!FC17+'Проверочная  таблица'!DE17+'Проверочная  таблица'!QC17+'Проверочная  таблица'!TK17+'Проверочная  таблица'!LZ17+'Проверочная  таблица'!KW17+'Проверочная  таблица'!RG17+'Проверочная  таблица'!HS17+'Проверочная  таблица'!GX17+'Проверочная  таблица'!GG17+'Проверочная  таблица'!IQ17</f>
        <v>117158341.69</v>
      </c>
      <c r="AU13" s="558">
        <f>'Проверочная  таблица'!VO17</f>
        <v>1118343.45</v>
      </c>
      <c r="AV13" s="565">
        <f>'Проверочная  таблица'!YX17+'Проверочная  таблица'!XP17</f>
        <v>64783902.799999997</v>
      </c>
      <c r="AW13" s="566"/>
      <c r="AX13" s="560">
        <f t="shared" si="5"/>
        <v>57319727.670000002</v>
      </c>
      <c r="AY13" s="561">
        <f t="shared" si="6"/>
        <v>37670276</v>
      </c>
      <c r="AZ13" s="560">
        <f t="shared" si="6"/>
        <v>13385853.950000003</v>
      </c>
      <c r="BA13" s="561">
        <f t="shared" si="6"/>
        <v>1118343.45</v>
      </c>
      <c r="BB13" s="560">
        <f t="shared" si="6"/>
        <v>5145254.2699999958</v>
      </c>
      <c r="BC13" s="567"/>
      <c r="BD13" s="568">
        <f t="shared" si="7"/>
        <v>211084266.27000001</v>
      </c>
      <c r="BE13" s="560">
        <f>'Проверочная  таблица'!M17+'Проверочная  таблица'!U17+'Проверочная  таблица'!AM17</f>
        <v>47673130</v>
      </c>
      <c r="BF13" s="541">
        <f>'Проверочная  таблица'!BS17+'Проверочная  таблица'!CG17+'Проверочная  таблица'!BK17+'Проверочная  таблица'!VA17+'Проверочная  таблица'!NY17+'Проверочная  таблица'!KE17+'Проверочная  таблица'!PL17+'Проверочная  таблица'!FO17+'Проверочная  таблица'!DK17+'Проверочная  таблица'!QO17+'Проверочная  таблица'!UM17+'Проверочная  таблица'!MP17+'Проверочная  таблица'!LK17+'Проверочная  таблица'!RS17+'Проверочная  таблица'!IE17+'Проверочная  таблица'!HC17+'Проверочная  таблица'!GM17+'Проверочная  таблица'!IW17</f>
        <v>103772487.73999999</v>
      </c>
      <c r="BG13" s="569"/>
      <c r="BH13" s="570">
        <f>'Проверочная  таблица'!ZV17+'Проверочная  таблица'!XU17</f>
        <v>59638648.530000001</v>
      </c>
      <c r="BI13" s="562"/>
      <c r="BK13" s="1138">
        <f t="shared" si="10"/>
        <v>1474510.4624700001</v>
      </c>
      <c r="BL13" s="1138">
        <f t="shared" si="11"/>
        <v>1129423.3465499999</v>
      </c>
      <c r="BM13" s="1138">
        <f t="shared" si="12"/>
        <v>21225.191570000054</v>
      </c>
      <c r="BN13" s="1138">
        <f t="shared" si="13"/>
        <v>323861.92435000004</v>
      </c>
    </row>
    <row r="14" spans="1:66" ht="21.75" customHeight="1" x14ac:dyDescent="0.25">
      <c r="A14" s="551" t="s">
        <v>320</v>
      </c>
      <c r="B14" s="552">
        <f>'Проверочная  таблица'!B18</f>
        <v>1239379651.1099999</v>
      </c>
      <c r="C14" s="553">
        <f>'Проверочная  таблица'!D18</f>
        <v>210050134.72999999</v>
      </c>
      <c r="D14" s="554">
        <f>'Проверочная  таблица'!AN18</f>
        <v>461151755.51000005</v>
      </c>
      <c r="E14" s="552">
        <f>'Проверочная  таблица'!VB18</f>
        <v>455504246.63</v>
      </c>
      <c r="F14" s="555">
        <f>'Проверочная  таблица'!WJ18</f>
        <v>112673514.24000001</v>
      </c>
      <c r="G14" s="555"/>
      <c r="H14" s="536">
        <f t="shared" si="0"/>
        <v>985019716.82999992</v>
      </c>
      <c r="I14" s="556">
        <f t="shared" si="0"/>
        <v>28814223</v>
      </c>
      <c r="J14" s="536">
        <f t="shared" si="0"/>
        <v>429692599.22000003</v>
      </c>
      <c r="K14" s="556">
        <f t="shared" si="0"/>
        <v>452559946.63</v>
      </c>
      <c r="L14" s="556">
        <f t="shared" si="0"/>
        <v>73952947.980000019</v>
      </c>
      <c r="M14" s="536"/>
      <c r="N14" s="557">
        <f t="shared" si="8"/>
        <v>254359934.27999997</v>
      </c>
      <c r="O14" s="556">
        <f>'Проверочная  таблица'!P18+'Проверочная  таблица'!AD18+'Проверочная  таблица'!H18</f>
        <v>181235911.72999999</v>
      </c>
      <c r="P14" s="536">
        <f>'Проверочная  таблица'!BD18+'Проверочная  таблица'!BN18+'Проверочная  таблица'!CB18+'Проверочная  таблица'!NJ18+'Проверочная  таблица'!OR18+'Проверочная  таблица'!JP18+'Проверочная  таблица'!UV18+'Проверочная  таблица'!AV18+'Проверочная  таблица'!EZ18+'Проверочная  таблица'!DB18+'Проверочная  таблица'!PZ18+'Проверочная  таблица'!TD18+'Проверочная  таблица'!LV18+'Проверочная  таблица'!KR18+'Проверочная  таблица'!RD18+'Проверочная  таблица'!HP18+'Проверочная  таблица'!GV18+'Проверочная  таблица'!GD18+'Проверочная  таблица'!IN18</f>
        <v>31459156.289999999</v>
      </c>
      <c r="Q14" s="557">
        <f>'Проверочная  таблица'!VN18</f>
        <v>2944300</v>
      </c>
      <c r="R14" s="552">
        <f>'Проверочная  таблица'!YR18+'Проверочная  таблица'!XN18</f>
        <v>38720566.259999998</v>
      </c>
      <c r="S14" s="558"/>
      <c r="T14" s="559">
        <f t="shared" si="1"/>
        <v>254078749.50999999</v>
      </c>
      <c r="U14" s="559">
        <f t="shared" si="2"/>
        <v>181235911.72999999</v>
      </c>
      <c r="V14" s="560">
        <f t="shared" si="2"/>
        <v>31177971.52</v>
      </c>
      <c r="W14" s="561">
        <f t="shared" si="2"/>
        <v>2944300</v>
      </c>
      <c r="X14" s="560">
        <f t="shared" si="2"/>
        <v>38720566.259999998</v>
      </c>
      <c r="Y14" s="562"/>
      <c r="Z14" s="561">
        <f t="shared" si="3"/>
        <v>281184.77</v>
      </c>
      <c r="AA14" s="559">
        <f>'Проверочная  таблица'!AL18+'Проверочная  таблица'!T18+'Проверочная  таблица'!L18</f>
        <v>0</v>
      </c>
      <c r="AB14" s="539">
        <f>'Проверочная  таблица'!BR18+'Проверочная  таблица'!CF18+'Проверочная  таблица'!BJ18+'Проверочная  таблица'!UZ18+'Проверочная  таблица'!NV18+'Проверочная  таблица'!KB18+'Проверочная  таблица'!PH18+'Проверочная  таблица'!FL18+'Проверочная  таблица'!DJ18+'Проверочная  таблица'!QL18+'Проверочная  таблица'!UF18+'Проверочная  таблица'!ML18+'Проверочная  таблица'!LH18+'Проверочная  таблица'!RP18+'Проверочная  таблица'!IB18+'Проверочная  таблица'!HB18+'Проверочная  таблица'!GL18+'Проверочная  таблица'!IV18</f>
        <v>281184.77</v>
      </c>
      <c r="AC14" s="561"/>
      <c r="AD14" s="563">
        <f>'Проверочная  таблица'!ZP18+'Проверочная  таблица'!XT18</f>
        <v>0</v>
      </c>
      <c r="AE14" s="564"/>
      <c r="AF14" s="555">
        <f>'Проверочная  таблица'!C18</f>
        <v>570440804.41999996</v>
      </c>
      <c r="AG14" s="553">
        <f>'Проверочная  таблица'!E18</f>
        <v>74425456.280000001</v>
      </c>
      <c r="AH14" s="554">
        <f>'Проверочная  таблица'!AO18</f>
        <v>101321537.47000001</v>
      </c>
      <c r="AI14" s="552">
        <f>'Проверочная  таблица'!VE18</f>
        <v>353257806.25</v>
      </c>
      <c r="AJ14" s="558">
        <f>'Проверочная  таблица'!WK18</f>
        <v>41436004.420000002</v>
      </c>
      <c r="AK14" s="555"/>
      <c r="AL14" s="536">
        <f t="shared" si="4"/>
        <v>480886542.38999999</v>
      </c>
      <c r="AM14" s="556">
        <f t="shared" si="4"/>
        <v>17530549</v>
      </c>
      <c r="AN14" s="536">
        <f t="shared" si="4"/>
        <v>81948013.24000001</v>
      </c>
      <c r="AO14" s="556">
        <f t="shared" si="4"/>
        <v>351454909.74000001</v>
      </c>
      <c r="AP14" s="556">
        <f t="shared" si="4"/>
        <v>29953070.410000004</v>
      </c>
      <c r="AQ14" s="536"/>
      <c r="AR14" s="557">
        <f t="shared" si="9"/>
        <v>89554262.030000001</v>
      </c>
      <c r="AS14" s="557">
        <f>'Проверочная  таблица'!Q18+'Проверочная  таблица'!AG18+'Проверочная  таблица'!I18</f>
        <v>56894907.280000001</v>
      </c>
      <c r="AT14" s="556">
        <f>'Проверочная  таблица'!UW18+'Проверочная  таблица'!CC18+'Проверочная  таблица'!BO18+'Проверочная  таблица'!BF18+'Проверочная  таблица'!NM18+'Проверочная  таблица'!JS18+'Проверочная  таблица'!OV18+'Проверочная  таблица'!AX18+'Проверочная  таблица'!FC18+'Проверочная  таблица'!DE18+'Проверочная  таблица'!QC18+'Проверочная  таблица'!TK18+'Проверочная  таблица'!LZ18+'Проверочная  таблица'!KW18+'Проверочная  таблица'!RG18+'Проверочная  таблица'!HS18+'Проверочная  таблица'!GX18+'Проверочная  таблица'!GG18+'Проверочная  таблица'!IQ18</f>
        <v>19373524.23</v>
      </c>
      <c r="AU14" s="558">
        <f>'Проверочная  таблица'!VO18</f>
        <v>1802896.5099999998</v>
      </c>
      <c r="AV14" s="565">
        <f>'Проверочная  таблица'!YX18+'Проверочная  таблица'!XP18</f>
        <v>11482934.009999998</v>
      </c>
      <c r="AW14" s="566"/>
      <c r="AX14" s="560">
        <f t="shared" si="5"/>
        <v>89554262.030000001</v>
      </c>
      <c r="AY14" s="561">
        <f t="shared" si="6"/>
        <v>56894907.280000001</v>
      </c>
      <c r="AZ14" s="560">
        <f t="shared" si="6"/>
        <v>19373524.23</v>
      </c>
      <c r="BA14" s="561">
        <f t="shared" si="6"/>
        <v>1802896.5099999998</v>
      </c>
      <c r="BB14" s="560">
        <f t="shared" si="6"/>
        <v>11482934.009999998</v>
      </c>
      <c r="BC14" s="567"/>
      <c r="BD14" s="568">
        <f t="shared" si="7"/>
        <v>0</v>
      </c>
      <c r="BE14" s="560">
        <f>'Проверочная  таблица'!M18+'Проверочная  таблица'!U18+'Проверочная  таблица'!AM18</f>
        <v>0</v>
      </c>
      <c r="BF14" s="541">
        <f>'Проверочная  таблица'!BS18+'Проверочная  таблица'!CG18+'Проверочная  таблица'!BK18+'Проверочная  таблица'!VA18+'Проверочная  таблица'!NY18+'Проверочная  таблица'!KE18+'Проверочная  таблица'!PL18+'Проверочная  таблица'!FO18+'Проверочная  таблица'!DK18+'Проверочная  таблица'!QO18+'Проверочная  таблица'!UM18+'Проверочная  таблица'!MP18+'Проверочная  таблица'!LK18+'Проверочная  таблица'!RS18+'Проверочная  таблица'!IE18+'Проверочная  таблица'!HC18+'Проверочная  таблица'!GM18+'Проверочная  таблица'!IW18</f>
        <v>0</v>
      </c>
      <c r="BG14" s="569"/>
      <c r="BH14" s="570">
        <f>'Проверочная  таблица'!ZV18+'Проверочная  таблица'!XU18</f>
        <v>0</v>
      </c>
      <c r="BI14" s="562"/>
      <c r="BK14" s="1138">
        <f t="shared" si="10"/>
        <v>1029329.5163800002</v>
      </c>
      <c r="BL14" s="1138">
        <f t="shared" si="11"/>
        <v>956205.49383000005</v>
      </c>
      <c r="BM14" s="1138">
        <f t="shared" si="12"/>
        <v>72842.837780000002</v>
      </c>
      <c r="BN14" s="1138">
        <f t="shared" si="13"/>
        <v>281.18477000000001</v>
      </c>
    </row>
    <row r="15" spans="1:66" ht="21.75" customHeight="1" x14ac:dyDescent="0.25">
      <c r="A15" s="1260" t="s">
        <v>321</v>
      </c>
      <c r="B15" s="552">
        <f>'Проверочная  таблица'!B13</f>
        <v>2168680506.1200004</v>
      </c>
      <c r="C15" s="553">
        <f>'Проверочная  таблица'!D13</f>
        <v>277568949</v>
      </c>
      <c r="D15" s="554">
        <f>'Проверочная  таблица'!AN13</f>
        <v>1233278267.1500001</v>
      </c>
      <c r="E15" s="552">
        <f>'Проверочная  таблица'!VB13</f>
        <v>506073358.36000001</v>
      </c>
      <c r="F15" s="555">
        <f>'Проверочная  таблица'!WJ13</f>
        <v>151759931.60999998</v>
      </c>
      <c r="G15" s="555"/>
      <c r="H15" s="536">
        <f>B15-N15</f>
        <v>2164977348.4800005</v>
      </c>
      <c r="I15" s="556">
        <f>C15-O15</f>
        <v>277568949</v>
      </c>
      <c r="J15" s="536">
        <f>D15-P15</f>
        <v>1229750361.95</v>
      </c>
      <c r="K15" s="556">
        <f>E15-Q15</f>
        <v>506073358.36000001</v>
      </c>
      <c r="L15" s="556">
        <f>F15-R15</f>
        <v>151584679.16999999</v>
      </c>
      <c r="M15" s="536"/>
      <c r="N15" s="557">
        <f>SUM(O15:S15)</f>
        <v>3703157.64</v>
      </c>
      <c r="O15" s="556">
        <f>'Проверочная  таблица'!P13+'Проверочная  таблица'!AD13+'Проверочная  таблица'!H13</f>
        <v>0</v>
      </c>
      <c r="P15" s="536">
        <f>'Проверочная  таблица'!BD13+'Проверочная  таблица'!BN13+'Проверочная  таблица'!CB13+'Проверочная  таблица'!NJ13+'Проверочная  таблица'!OR13+'Проверочная  таблица'!JP13+'Проверочная  таблица'!UV13+'Проверочная  таблица'!AV13+'Проверочная  таблица'!EZ13+'Проверочная  таблица'!DB13+'Проверочная  таблица'!PZ13+'Проверочная  таблица'!TD13+'Проверочная  таблица'!LV13+'Проверочная  таблица'!KR13+'Проверочная  таблица'!RD13+'Проверочная  таблица'!HP13+'Проверочная  таблица'!GV13+'Проверочная  таблица'!GD13+'Проверочная  таблица'!IN13</f>
        <v>3527905.2</v>
      </c>
      <c r="Q15" s="557">
        <f>'Проверочная  таблица'!VN13</f>
        <v>0</v>
      </c>
      <c r="R15" s="552">
        <f>'Проверочная  таблица'!YR13+'Проверочная  таблица'!XN13</f>
        <v>175252.44</v>
      </c>
      <c r="S15" s="573"/>
      <c r="T15" s="559">
        <f>SUM(U15:Y15)</f>
        <v>3180340.9200000004</v>
      </c>
      <c r="U15" s="559">
        <f>O15-AA15</f>
        <v>0</v>
      </c>
      <c r="V15" s="560">
        <f>P15-AB15</f>
        <v>3005088.4800000004</v>
      </c>
      <c r="W15" s="561">
        <f>Q15-AC15</f>
        <v>0</v>
      </c>
      <c r="X15" s="560">
        <f>R15-AD15</f>
        <v>175252.44</v>
      </c>
      <c r="Y15" s="562"/>
      <c r="Z15" s="561">
        <f>SUM(AA15:AE15)</f>
        <v>522816.72</v>
      </c>
      <c r="AA15" s="559">
        <f>'Проверочная  таблица'!AL13+'Проверочная  таблица'!T13+'Проверочная  таблица'!L13</f>
        <v>0</v>
      </c>
      <c r="AB15" s="539">
        <f>'Проверочная  таблица'!BR13+'Проверочная  таблица'!CF13+'Проверочная  таблица'!BJ13+'Проверочная  таблица'!UZ13+'Проверочная  таблица'!NV13+'Проверочная  таблица'!KB13+'Проверочная  таблица'!PH13+'Проверочная  таблица'!FL13+'Проверочная  таблица'!DJ13+'Проверочная  таблица'!QL13+'Проверочная  таблица'!UF13+'Проверочная  таблица'!ML13+'Проверочная  таблица'!LH13+'Проверочная  таблица'!RP13+'Проверочная  таблица'!IB13+'Проверочная  таблица'!HB13+'Проверочная  таблица'!GL13+'Проверочная  таблица'!IV13</f>
        <v>522816.72</v>
      </c>
      <c r="AC15" s="561"/>
      <c r="AD15" s="563">
        <f>'Проверочная  таблица'!ZP13+'Проверочная  таблица'!XT13</f>
        <v>0</v>
      </c>
      <c r="AE15" s="573"/>
      <c r="AF15" s="555">
        <f>'Проверочная  таблица'!C13</f>
        <v>1482480156.55</v>
      </c>
      <c r="AG15" s="553">
        <f>'Проверочная  таблица'!E13</f>
        <v>193970000</v>
      </c>
      <c r="AH15" s="554">
        <f>'Проверочная  таблица'!AO13</f>
        <v>842954885.70000005</v>
      </c>
      <c r="AI15" s="552">
        <f>'Проверочная  таблица'!VE13</f>
        <v>386013681.54999995</v>
      </c>
      <c r="AJ15" s="558">
        <f>'Проверочная  таблица'!WK13</f>
        <v>59541589.300000004</v>
      </c>
      <c r="AK15" s="555"/>
      <c r="AL15" s="536">
        <f>AF15-AR15</f>
        <v>1482480156.55</v>
      </c>
      <c r="AM15" s="556">
        <f>AG15-AS15</f>
        <v>193970000</v>
      </c>
      <c r="AN15" s="536">
        <f>AH15-AT15</f>
        <v>842954885.70000005</v>
      </c>
      <c r="AO15" s="556">
        <f>AI15-AU15</f>
        <v>386013681.54999995</v>
      </c>
      <c r="AP15" s="556">
        <f>AJ15-AV15</f>
        <v>59541589.300000004</v>
      </c>
      <c r="AQ15" s="536"/>
      <c r="AR15" s="557">
        <f>SUM(AS15:AW15)</f>
        <v>0</v>
      </c>
      <c r="AS15" s="557">
        <f>'Проверочная  таблица'!Q13+'Проверочная  таблица'!AG13+'Проверочная  таблица'!I13</f>
        <v>0</v>
      </c>
      <c r="AT15" s="556">
        <f>'Проверочная  таблица'!UW13+'Проверочная  таблица'!CC13+'Проверочная  таблица'!BO13+'Проверочная  таблица'!BF13+'Проверочная  таблица'!NM13+'Проверочная  таблица'!JS13+'Проверочная  таблица'!OV13+'Проверочная  таблица'!AX13+'Проверочная  таблица'!FC13+'Проверочная  таблица'!DE13+'Проверочная  таблица'!QC13+'Проверочная  таблица'!TK13+'Проверочная  таблица'!LZ13+'Проверочная  таблица'!KW13+'Проверочная  таблица'!RG13+'Проверочная  таблица'!HS13+'Проверочная  таблица'!GX13+'Проверочная  таблица'!GG13+'Проверочная  таблица'!IQ13</f>
        <v>0</v>
      </c>
      <c r="AU15" s="558">
        <f>'Проверочная  таблица'!VO13</f>
        <v>0</v>
      </c>
      <c r="AV15" s="565">
        <f>'Проверочная  таблица'!YX13+'Проверочная  таблица'!XP13</f>
        <v>0</v>
      </c>
      <c r="AW15" s="574"/>
      <c r="AX15" s="560">
        <f>SUM(AY15:BC15)</f>
        <v>0</v>
      </c>
      <c r="AY15" s="561">
        <f>AS15-BE15</f>
        <v>0</v>
      </c>
      <c r="AZ15" s="560">
        <f>AT15-BF15</f>
        <v>0</v>
      </c>
      <c r="BA15" s="561">
        <f>AU15-BG15</f>
        <v>0</v>
      </c>
      <c r="BB15" s="560">
        <f>AV15-BH15</f>
        <v>0</v>
      </c>
      <c r="BC15" s="567"/>
      <c r="BD15" s="568">
        <f>SUM(BE15:BI15)</f>
        <v>0</v>
      </c>
      <c r="BE15" s="560">
        <f>'Проверочная  таблица'!M13+'Проверочная  таблица'!U13+'Проверочная  таблица'!AM13</f>
        <v>0</v>
      </c>
      <c r="BF15" s="541">
        <f>'Проверочная  таблица'!BS13+'Проверочная  таблица'!CG13+'Проверочная  таблица'!BK13+'Проверочная  таблица'!VA13+'Проверочная  таблица'!NY13+'Проверочная  таблица'!KE13+'Проверочная  таблица'!PL13+'Проверочная  таблица'!FO13+'Проверочная  таблица'!DK13+'Проверочная  таблица'!QO13+'Проверочная  таблица'!UM13+'Проверочная  таблица'!MP13+'Проверочная  таблица'!LK13+'Проверочная  таблица'!RS13+'Проверочная  таблица'!IE13+'Проверочная  таблица'!HC13+'Проверочная  таблица'!GM13+'Проверочная  таблица'!IW13</f>
        <v>0</v>
      </c>
      <c r="BG15" s="569"/>
      <c r="BH15" s="570">
        <f>'Проверочная  таблица'!ZV13+'Проверочная  таблица'!XU13</f>
        <v>0</v>
      </c>
      <c r="BI15" s="562"/>
      <c r="BK15" s="1138">
        <f>SUM(D15:F15)/1000</f>
        <v>1891111.55712</v>
      </c>
      <c r="BL15" s="1138">
        <f>SUM(J15:L15)/1000</f>
        <v>1887408.3994799999</v>
      </c>
      <c r="BM15" s="1138">
        <f>SUM(V15:X15)/1000</f>
        <v>3180.3409200000006</v>
      </c>
      <c r="BN15" s="1138">
        <f>SUM(AB15:AD15)/1000</f>
        <v>522.81671999999992</v>
      </c>
    </row>
    <row r="16" spans="1:66" ht="21.75" customHeight="1" x14ac:dyDescent="0.25">
      <c r="A16" s="551" t="s">
        <v>322</v>
      </c>
      <c r="B16" s="552">
        <f>'Проверочная  таблица'!B19</f>
        <v>736193092.0200001</v>
      </c>
      <c r="C16" s="553">
        <f>'Проверочная  таблица'!D19</f>
        <v>72034135.349999994</v>
      </c>
      <c r="D16" s="554">
        <f>'Проверочная  таблица'!AN19</f>
        <v>256109789.49000004</v>
      </c>
      <c r="E16" s="552">
        <f>'Проверочная  таблица'!VB19</f>
        <v>300052286.35000008</v>
      </c>
      <c r="F16" s="555">
        <f>'Проверочная  таблица'!WJ19</f>
        <v>107996880.83000001</v>
      </c>
      <c r="G16" s="555"/>
      <c r="H16" s="536">
        <f t="shared" si="0"/>
        <v>666271658.81000006</v>
      </c>
      <c r="I16" s="556">
        <f t="shared" si="0"/>
        <v>25203203</v>
      </c>
      <c r="J16" s="536">
        <f t="shared" si="0"/>
        <v>243818148.83000004</v>
      </c>
      <c r="K16" s="556">
        <f t="shared" si="0"/>
        <v>298282986.35000008</v>
      </c>
      <c r="L16" s="556">
        <f t="shared" si="0"/>
        <v>98967320.63000001</v>
      </c>
      <c r="M16" s="536"/>
      <c r="N16" s="557">
        <f t="shared" si="8"/>
        <v>69921433.209999993</v>
      </c>
      <c r="O16" s="556">
        <f>'Проверочная  таблица'!P19+'Проверочная  таблица'!AD19+'Проверочная  таблица'!H19</f>
        <v>46830932.349999994</v>
      </c>
      <c r="P16" s="536">
        <f>'Проверочная  таблица'!BD19+'Проверочная  таблица'!BN19+'Проверочная  таблица'!CB19+'Проверочная  таблица'!NJ19+'Проверочная  таблица'!OR19+'Проверочная  таблица'!JP19+'Проверочная  таблица'!UV19+'Проверочная  таблица'!AV19+'Проверочная  таблица'!EZ19+'Проверочная  таблица'!DB19+'Проверочная  таблица'!PZ19+'Проверочная  таблица'!TD19+'Проверочная  таблица'!LV19+'Проверочная  таблица'!KR19+'Проверочная  таблица'!RD19+'Проверочная  таблица'!HP19+'Проверочная  таблица'!GV19+'Проверочная  таблица'!GD19+'Проверочная  таблица'!IN19</f>
        <v>12291640.66</v>
      </c>
      <c r="Q16" s="557">
        <f>'Проверочная  таблица'!VN19</f>
        <v>1769300</v>
      </c>
      <c r="R16" s="552">
        <f>'Проверочная  таблица'!YR19+'Проверочная  таблица'!XN19</f>
        <v>9029560.1999999993</v>
      </c>
      <c r="S16" s="558"/>
      <c r="T16" s="559">
        <f t="shared" si="1"/>
        <v>67777316.179999992</v>
      </c>
      <c r="U16" s="559">
        <f t="shared" si="2"/>
        <v>46830932.349999994</v>
      </c>
      <c r="V16" s="560">
        <f t="shared" si="2"/>
        <v>10147523.629999999</v>
      </c>
      <c r="W16" s="561">
        <f t="shared" si="2"/>
        <v>1769300</v>
      </c>
      <c r="X16" s="560">
        <f t="shared" si="2"/>
        <v>9029560.1999999993</v>
      </c>
      <c r="Y16" s="562"/>
      <c r="Z16" s="561">
        <f t="shared" si="3"/>
        <v>2144117.0300000003</v>
      </c>
      <c r="AA16" s="559">
        <f>'Проверочная  таблица'!AL19+'Проверочная  таблица'!T19+'Проверочная  таблица'!L19</f>
        <v>0</v>
      </c>
      <c r="AB16" s="539">
        <f>'Проверочная  таблица'!BR19+'Проверочная  таблица'!CF19+'Проверочная  таблица'!BJ19+'Проверочная  таблица'!UZ19+'Проверочная  таблица'!NV19+'Проверочная  таблица'!KB19+'Проверочная  таблица'!PH19+'Проверочная  таблица'!FL19+'Проверочная  таблица'!DJ19+'Проверочная  таблица'!QL19+'Проверочная  таблица'!UF19+'Проверочная  таблица'!ML19+'Проверочная  таблица'!LH19+'Проверочная  таблица'!RP19+'Проверочная  таблица'!IB19+'Проверочная  таблица'!HB19+'Проверочная  таблица'!GL19+'Проверочная  таблица'!IV19</f>
        <v>2144117.0300000003</v>
      </c>
      <c r="AC16" s="561"/>
      <c r="AD16" s="563">
        <f>'Проверочная  таблица'!ZP19+'Проверочная  таблица'!XT19</f>
        <v>0</v>
      </c>
      <c r="AE16" s="558"/>
      <c r="AF16" s="555">
        <f>'Проверочная  таблица'!C19</f>
        <v>429101709.16999996</v>
      </c>
      <c r="AG16" s="553">
        <f>'Проверочная  таблица'!E19</f>
        <v>55508510</v>
      </c>
      <c r="AH16" s="554">
        <f>'Проверочная  таблица'!AO19</f>
        <v>101852372.83</v>
      </c>
      <c r="AI16" s="552">
        <f>'Проверочная  таблица'!VE19</f>
        <v>225805507.81999999</v>
      </c>
      <c r="AJ16" s="558">
        <f>'Проверочная  таблица'!WK19</f>
        <v>45935318.520000003</v>
      </c>
      <c r="AK16" s="555"/>
      <c r="AL16" s="536">
        <f t="shared" si="4"/>
        <v>376183606.14999998</v>
      </c>
      <c r="AM16" s="556">
        <f t="shared" si="4"/>
        <v>19152400</v>
      </c>
      <c r="AN16" s="536">
        <f t="shared" si="4"/>
        <v>90144730.900000006</v>
      </c>
      <c r="AO16" s="556">
        <f t="shared" si="4"/>
        <v>224689492.22</v>
      </c>
      <c r="AP16" s="556">
        <f t="shared" si="4"/>
        <v>42196983.030000001</v>
      </c>
      <c r="AQ16" s="536"/>
      <c r="AR16" s="557">
        <f t="shared" si="9"/>
        <v>52918103.020000003</v>
      </c>
      <c r="AS16" s="557">
        <f>'Проверочная  таблица'!Q19+'Проверочная  таблица'!AG19+'Проверочная  таблица'!I19</f>
        <v>36356110</v>
      </c>
      <c r="AT16" s="556">
        <f>'Проверочная  таблица'!UW19+'Проверочная  таблица'!CC19+'Проверочная  таблица'!BO19+'Проверочная  таблица'!BF19+'Проверочная  таблица'!NM19+'Проверочная  таблица'!JS19+'Проверочная  таблица'!OV19+'Проверочная  таблица'!AX19+'Проверочная  таблица'!FC19+'Проверочная  таблица'!DE19+'Проверочная  таблица'!QC19+'Проверочная  таблица'!TK19+'Проверочная  таблица'!LZ19+'Проверочная  таблица'!KW19+'Проверочная  таблица'!RG19+'Проверочная  таблица'!HS19+'Проверочная  таблица'!GX19+'Проверочная  таблица'!GG19+'Проверочная  таблица'!IQ19</f>
        <v>11707641.93</v>
      </c>
      <c r="AU16" s="558">
        <f>'Проверочная  таблица'!VO19</f>
        <v>1116015.6000000001</v>
      </c>
      <c r="AV16" s="565">
        <f>'Проверочная  таблица'!YX19+'Проверочная  таблица'!XP19</f>
        <v>3738335.4899999998</v>
      </c>
      <c r="AW16" s="566"/>
      <c r="AX16" s="560">
        <f t="shared" si="5"/>
        <v>52918103.020000003</v>
      </c>
      <c r="AY16" s="561">
        <f t="shared" si="6"/>
        <v>36356110</v>
      </c>
      <c r="AZ16" s="560">
        <f t="shared" si="6"/>
        <v>11707641.93</v>
      </c>
      <c r="BA16" s="561">
        <f t="shared" si="6"/>
        <v>1116015.6000000001</v>
      </c>
      <c r="BB16" s="560">
        <f t="shared" si="6"/>
        <v>3738335.4899999998</v>
      </c>
      <c r="BC16" s="567"/>
      <c r="BD16" s="568">
        <f t="shared" si="7"/>
        <v>0</v>
      </c>
      <c r="BE16" s="560">
        <f>'Проверочная  таблица'!M19+'Проверочная  таблица'!U19+'Проверочная  таблица'!AM19</f>
        <v>0</v>
      </c>
      <c r="BF16" s="541">
        <f>'Проверочная  таблица'!BS19+'Проверочная  таблица'!CG19+'Проверочная  таблица'!BK19+'Проверочная  таблица'!VA19+'Проверочная  таблица'!NY19+'Проверочная  таблица'!KE19+'Проверочная  таблица'!PL19+'Проверочная  таблица'!FO19+'Проверочная  таблица'!DK19+'Проверочная  таблица'!QO19+'Проверочная  таблица'!UM19+'Проверочная  таблица'!MP19+'Проверочная  таблица'!LK19+'Проверочная  таблица'!RS19+'Проверочная  таблица'!IE19+'Проверочная  таблица'!HC19+'Проверочная  таблица'!GM19+'Проверочная  таблица'!IW19</f>
        <v>0</v>
      </c>
      <c r="BG16" s="569"/>
      <c r="BH16" s="570">
        <f>'Проверочная  таблица'!ZV19+'Проверочная  таблица'!XU19</f>
        <v>0</v>
      </c>
      <c r="BI16" s="562"/>
      <c r="BK16" s="1138">
        <f t="shared" si="10"/>
        <v>664158.95667000022</v>
      </c>
      <c r="BL16" s="1138">
        <f t="shared" si="11"/>
        <v>641068.45581000007</v>
      </c>
      <c r="BM16" s="1138">
        <f t="shared" si="12"/>
        <v>20946.383829999999</v>
      </c>
      <c r="BN16" s="1138">
        <f t="shared" si="13"/>
        <v>2144.1170300000003</v>
      </c>
    </row>
    <row r="17" spans="1:66" ht="21.75" customHeight="1" x14ac:dyDescent="0.25">
      <c r="A17" s="571" t="s">
        <v>323</v>
      </c>
      <c r="B17" s="552">
        <f>'Проверочная  таблица'!B20</f>
        <v>837208874.96000004</v>
      </c>
      <c r="C17" s="553">
        <f>'Проверочная  таблица'!D20</f>
        <v>103508448.21000001</v>
      </c>
      <c r="D17" s="554">
        <f>'Проверочная  таблица'!AN20</f>
        <v>90740927.629999995</v>
      </c>
      <c r="E17" s="552">
        <f>'Проверочная  таблица'!VB20</f>
        <v>507226143.80999994</v>
      </c>
      <c r="F17" s="555">
        <f>'Проверочная  таблица'!WJ20</f>
        <v>135733355.31</v>
      </c>
      <c r="G17" s="555"/>
      <c r="H17" s="536">
        <f t="shared" si="0"/>
        <v>704362411.25999999</v>
      </c>
      <c r="I17" s="556">
        <f t="shared" si="0"/>
        <v>30956877</v>
      </c>
      <c r="J17" s="536">
        <f t="shared" si="0"/>
        <v>70899179.909999996</v>
      </c>
      <c r="K17" s="556">
        <f t="shared" si="0"/>
        <v>504439743.80999994</v>
      </c>
      <c r="L17" s="556">
        <f t="shared" si="0"/>
        <v>98066610.539999992</v>
      </c>
      <c r="M17" s="536"/>
      <c r="N17" s="557">
        <f t="shared" si="8"/>
        <v>132846463.70000002</v>
      </c>
      <c r="O17" s="556">
        <f>'Проверочная  таблица'!P20+'Проверочная  таблица'!AD20+'Проверочная  таблица'!H20</f>
        <v>72551571.210000008</v>
      </c>
      <c r="P17" s="536">
        <f>'Проверочная  таблица'!BD20+'Проверочная  таблица'!BN20+'Проверочная  таблица'!CB20+'Проверочная  таблица'!NJ20+'Проверочная  таблица'!OR20+'Проверочная  таблица'!JP20+'Проверочная  таблица'!UV20+'Проверочная  таблица'!AV20+'Проверочная  таблица'!EZ20+'Проверочная  таблица'!DB20+'Проверочная  таблица'!PZ20+'Проверочная  таблица'!TD20+'Проверочная  таблица'!LV20+'Проверочная  таблица'!KR20+'Проверочная  таблица'!RD20+'Проверочная  таблица'!HP20+'Проверочная  таблица'!GV20+'Проверочная  таблица'!GD20+'Проверочная  таблица'!IN20</f>
        <v>19841747.719999999</v>
      </c>
      <c r="Q17" s="557">
        <f>'Проверочная  таблица'!VN20</f>
        <v>2786400</v>
      </c>
      <c r="R17" s="552">
        <f>'Проверочная  таблица'!YR20+'Проверочная  таблица'!XN20</f>
        <v>37666744.770000003</v>
      </c>
      <c r="S17" s="558"/>
      <c r="T17" s="559">
        <f t="shared" si="1"/>
        <v>132602918.27000001</v>
      </c>
      <c r="U17" s="559">
        <f t="shared" si="2"/>
        <v>72551571.210000008</v>
      </c>
      <c r="V17" s="560">
        <f t="shared" si="2"/>
        <v>19598202.289999999</v>
      </c>
      <c r="W17" s="561">
        <f t="shared" si="2"/>
        <v>2786400</v>
      </c>
      <c r="X17" s="560">
        <f t="shared" si="2"/>
        <v>37666744.770000003</v>
      </c>
      <c r="Y17" s="562"/>
      <c r="Z17" s="561">
        <f t="shared" si="3"/>
        <v>243545.43</v>
      </c>
      <c r="AA17" s="559">
        <f>'Проверочная  таблица'!AL20+'Проверочная  таблица'!T20+'Проверочная  таблица'!L20</f>
        <v>0</v>
      </c>
      <c r="AB17" s="539">
        <f>'Проверочная  таблица'!BR20+'Проверочная  таблица'!CF20+'Проверочная  таблица'!BJ20+'Проверочная  таблица'!UZ20+'Проверочная  таблица'!NV20+'Проверочная  таблица'!KB20+'Проверочная  таблица'!PH20+'Проверочная  таблица'!FL20+'Проверочная  таблица'!DJ20+'Проверочная  таблица'!QL20+'Проверочная  таблица'!UF20+'Проверочная  таблица'!ML20+'Проверочная  таблица'!LH20+'Проверочная  таблица'!RP20+'Проверочная  таблица'!IB20+'Проверочная  таблица'!HB20+'Проверочная  таблица'!GL20+'Проверочная  таблица'!IV20</f>
        <v>243545.43</v>
      </c>
      <c r="AC17" s="561"/>
      <c r="AD17" s="563">
        <f>'Проверочная  таблица'!ZP20+'Проверочная  таблица'!XT20</f>
        <v>0</v>
      </c>
      <c r="AE17" s="558"/>
      <c r="AF17" s="555">
        <f>'Проверочная  таблица'!C20</f>
        <v>575799512</v>
      </c>
      <c r="AG17" s="553">
        <f>'Проверочная  таблица'!E20</f>
        <v>78321488</v>
      </c>
      <c r="AH17" s="554">
        <f>'Проверочная  таблица'!AO20</f>
        <v>48037440.849999994</v>
      </c>
      <c r="AI17" s="552">
        <f>'Проверочная  таблица'!VE20</f>
        <v>404303742.35000002</v>
      </c>
      <c r="AJ17" s="558">
        <f>'Проверочная  таблица'!WK20</f>
        <v>45136840.800000004</v>
      </c>
      <c r="AK17" s="555"/>
      <c r="AL17" s="536">
        <f t="shared" si="4"/>
        <v>482917028.38</v>
      </c>
      <c r="AM17" s="556">
        <f t="shared" si="4"/>
        <v>23292705</v>
      </c>
      <c r="AN17" s="536">
        <f t="shared" si="4"/>
        <v>28317536.529999997</v>
      </c>
      <c r="AO17" s="556">
        <f t="shared" si="4"/>
        <v>402441162.86000001</v>
      </c>
      <c r="AP17" s="556">
        <f t="shared" si="4"/>
        <v>28865623.990000002</v>
      </c>
      <c r="AQ17" s="536"/>
      <c r="AR17" s="557">
        <f t="shared" si="9"/>
        <v>92882483.61999999</v>
      </c>
      <c r="AS17" s="557">
        <f>'Проверочная  таблица'!Q20+'Проверочная  таблица'!AG20+'Проверочная  таблица'!I20</f>
        <v>55028783</v>
      </c>
      <c r="AT17" s="556">
        <f>'Проверочная  таблица'!UW20+'Проверочная  таблица'!CC20+'Проверочная  таблица'!BO20+'Проверочная  таблица'!BF20+'Проверочная  таблица'!NM20+'Проверочная  таблица'!JS20+'Проверочная  таблица'!OV20+'Проверочная  таблица'!AX20+'Проверочная  таблица'!FC20+'Проверочная  таблица'!DE20+'Проверочная  таблица'!QC20+'Проверочная  таблица'!TK20+'Проверочная  таблица'!LZ20+'Проверочная  таблица'!KW20+'Проверочная  таблица'!RG20+'Проверочная  таблица'!HS20+'Проверочная  таблица'!GX20+'Проверочная  таблица'!GG20+'Проверочная  таблица'!IQ20</f>
        <v>19719904.319999997</v>
      </c>
      <c r="AU17" s="558">
        <f>'Проверочная  таблица'!VO20</f>
        <v>1862579.49</v>
      </c>
      <c r="AV17" s="565">
        <f>'Проверочная  таблица'!YX20+'Проверочная  таблица'!XP20</f>
        <v>16271216.810000002</v>
      </c>
      <c r="AW17" s="566"/>
      <c r="AX17" s="560">
        <f t="shared" si="5"/>
        <v>92882483.61999999</v>
      </c>
      <c r="AY17" s="561">
        <f t="shared" si="6"/>
        <v>55028783</v>
      </c>
      <c r="AZ17" s="560">
        <f t="shared" si="6"/>
        <v>19719904.319999997</v>
      </c>
      <c r="BA17" s="561">
        <f t="shared" si="6"/>
        <v>1862579.49</v>
      </c>
      <c r="BB17" s="560">
        <f t="shared" si="6"/>
        <v>16271216.810000002</v>
      </c>
      <c r="BC17" s="567"/>
      <c r="BD17" s="568">
        <f t="shared" si="7"/>
        <v>0</v>
      </c>
      <c r="BE17" s="560">
        <f>'Проверочная  таблица'!M20+'Проверочная  таблица'!U20+'Проверочная  таблица'!AM20</f>
        <v>0</v>
      </c>
      <c r="BF17" s="541">
        <f>'Проверочная  таблица'!BS20+'Проверочная  таблица'!CG20+'Проверочная  таблица'!BK20+'Проверочная  таблица'!VA20+'Проверочная  таблица'!NY20+'Проверочная  таблица'!KE20+'Проверочная  таблица'!PL20+'Проверочная  таблица'!FO20+'Проверочная  таблица'!DK20+'Проверочная  таблица'!QO20+'Проверочная  таблица'!UM20+'Проверочная  таблица'!MP20+'Проверочная  таблица'!LK20+'Проверочная  таблица'!RS20+'Проверочная  таблица'!IE20+'Проверочная  таблица'!HC20+'Проверочная  таблица'!GM20+'Проверочная  таблица'!IW20</f>
        <v>0</v>
      </c>
      <c r="BG17" s="569"/>
      <c r="BH17" s="570">
        <f>'Проверочная  таблица'!ZV20+'Проверочная  таблица'!XU20</f>
        <v>0</v>
      </c>
      <c r="BI17" s="562"/>
      <c r="BK17" s="1138">
        <f t="shared" si="10"/>
        <v>733700.42674999998</v>
      </c>
      <c r="BL17" s="1138">
        <f t="shared" si="11"/>
        <v>673405.53425999987</v>
      </c>
      <c r="BM17" s="1138">
        <f t="shared" si="12"/>
        <v>60051.34706</v>
      </c>
      <c r="BN17" s="1138">
        <f t="shared" si="13"/>
        <v>243.54542999999998</v>
      </c>
    </row>
    <row r="18" spans="1:66" ht="21.75" customHeight="1" x14ac:dyDescent="0.25">
      <c r="A18" s="551" t="s">
        <v>324</v>
      </c>
      <c r="B18" s="552">
        <f>'Проверочная  таблица'!B21</f>
        <v>1723283994.8400002</v>
      </c>
      <c r="C18" s="553">
        <f>'Проверочная  таблица'!D21</f>
        <v>257956919.19</v>
      </c>
      <c r="D18" s="554">
        <f>'Проверочная  таблица'!AN21</f>
        <v>894440291.06000018</v>
      </c>
      <c r="E18" s="552">
        <f>'Проверочная  таблица'!VB21</f>
        <v>410973008.75999999</v>
      </c>
      <c r="F18" s="555">
        <f>'Проверочная  таблица'!WJ21</f>
        <v>159913775.82999998</v>
      </c>
      <c r="G18" s="555"/>
      <c r="H18" s="536">
        <f t="shared" si="0"/>
        <v>1433792919.0400002</v>
      </c>
      <c r="I18" s="556">
        <f t="shared" si="0"/>
        <v>125330205</v>
      </c>
      <c r="J18" s="536">
        <f t="shared" si="0"/>
        <v>776945570.94000018</v>
      </c>
      <c r="K18" s="556">
        <f t="shared" si="0"/>
        <v>408267708.75999999</v>
      </c>
      <c r="L18" s="556">
        <f t="shared" si="0"/>
        <v>123249434.33999999</v>
      </c>
      <c r="M18" s="536"/>
      <c r="N18" s="557">
        <f t="shared" si="8"/>
        <v>289491075.80000001</v>
      </c>
      <c r="O18" s="556">
        <f>'Проверочная  таблица'!P21+'Проверочная  таблица'!AD21+'Проверочная  таблица'!H21</f>
        <v>132626714.19</v>
      </c>
      <c r="P18" s="536">
        <f>'Проверочная  таблица'!BD21+'Проверочная  таблица'!BN21+'Проверочная  таблица'!CB21+'Проверочная  таблица'!NJ21+'Проверочная  таблица'!OR21+'Проверочная  таблица'!JP21+'Проверочная  таблица'!UV21+'Проверочная  таблица'!AV21+'Проверочная  таблица'!EZ21+'Проверочная  таблица'!DB21+'Проверочная  таблица'!PZ21+'Проверочная  таблица'!TD21+'Проверочная  таблица'!LV21+'Проверочная  таблица'!KR21+'Проверочная  таблица'!RD21+'Проверочная  таблица'!HP21+'Проверочная  таблица'!GV21+'Проверочная  таблица'!GD21+'Проверочная  таблица'!IN21</f>
        <v>117494720.11999999</v>
      </c>
      <c r="Q18" s="557">
        <f>'Проверочная  таблица'!VN21</f>
        <v>2705300</v>
      </c>
      <c r="R18" s="552">
        <f>'Проверочная  таблица'!YR21+'Проверочная  таблица'!XN21</f>
        <v>36664341.489999995</v>
      </c>
      <c r="S18" s="558"/>
      <c r="T18" s="559">
        <f t="shared" si="1"/>
        <v>104152880.55999999</v>
      </c>
      <c r="U18" s="559">
        <f t="shared" si="2"/>
        <v>92603656.230000004</v>
      </c>
      <c r="V18" s="560">
        <f t="shared" si="2"/>
        <v>77382.119999989867</v>
      </c>
      <c r="W18" s="561">
        <f t="shared" si="2"/>
        <v>2705300</v>
      </c>
      <c r="X18" s="560">
        <f t="shared" si="2"/>
        <v>8766542.2099999972</v>
      </c>
      <c r="Y18" s="562"/>
      <c r="Z18" s="561">
        <f t="shared" si="3"/>
        <v>185338195.23999998</v>
      </c>
      <c r="AA18" s="559">
        <f>'Проверочная  таблица'!AL21+'Проверочная  таблица'!T21+'Проверочная  таблица'!L21</f>
        <v>40023057.959999993</v>
      </c>
      <c r="AB18" s="539">
        <f>'Проверочная  таблица'!BR21+'Проверочная  таблица'!CF21+'Проверочная  таблица'!BJ21+'Проверочная  таблица'!UZ21+'Проверочная  таблица'!NV21+'Проверочная  таблица'!KB21+'Проверочная  таблица'!PH21+'Проверочная  таблица'!FL21+'Проверочная  таблица'!DJ21+'Проверочная  таблица'!QL21+'Проверочная  таблица'!UF21+'Проверочная  таблица'!ML21+'Проверочная  таблица'!LH21+'Проверочная  таблица'!RP21+'Проверочная  таблица'!IB21+'Проверочная  таблица'!HB21+'Проверочная  таблица'!GL21+'Проверочная  таблица'!IV21</f>
        <v>117417338</v>
      </c>
      <c r="AC18" s="561"/>
      <c r="AD18" s="563">
        <f>'Проверочная  таблица'!ZP21+'Проверочная  таблица'!XT21</f>
        <v>27897799.279999997</v>
      </c>
      <c r="AE18" s="558"/>
      <c r="AF18" s="555">
        <f>'Проверочная  таблица'!C21</f>
        <v>874637105.09000003</v>
      </c>
      <c r="AG18" s="553">
        <f>'Проверочная  таблица'!E21</f>
        <v>209916895</v>
      </c>
      <c r="AH18" s="554">
        <f>'Проверочная  таблица'!AO21</f>
        <v>266836601.05999997</v>
      </c>
      <c r="AI18" s="552">
        <f>'Проверочная  таблица'!VE21</f>
        <v>310470876.88000005</v>
      </c>
      <c r="AJ18" s="558">
        <f>'Проверочная  таблица'!WK21</f>
        <v>87412732.149999991</v>
      </c>
      <c r="AK18" s="555"/>
      <c r="AL18" s="536">
        <f t="shared" si="4"/>
        <v>687773518.24000001</v>
      </c>
      <c r="AM18" s="556">
        <f t="shared" si="4"/>
        <v>110422656</v>
      </c>
      <c r="AN18" s="536">
        <f t="shared" si="4"/>
        <v>210540245.76999998</v>
      </c>
      <c r="AO18" s="556">
        <f t="shared" si="4"/>
        <v>308999821.96000004</v>
      </c>
      <c r="AP18" s="556">
        <f t="shared" si="4"/>
        <v>57810794.50999999</v>
      </c>
      <c r="AQ18" s="536"/>
      <c r="AR18" s="557">
        <f t="shared" si="9"/>
        <v>186863586.84999996</v>
      </c>
      <c r="AS18" s="557">
        <f>'Проверочная  таблица'!Q21+'Проверочная  таблица'!AG21+'Проверочная  таблица'!I21</f>
        <v>99494239</v>
      </c>
      <c r="AT18" s="556">
        <f>'Проверочная  таблица'!UW21+'Проверочная  таблица'!CC21+'Проверочная  таблица'!BO21+'Проверочная  таблица'!BF21+'Проверочная  таблица'!NM21+'Проверочная  таблица'!JS21+'Проверочная  таблица'!OV21+'Проверочная  таблица'!AX21+'Проверочная  таблица'!FC21+'Проверочная  таблица'!DE21+'Проверочная  таблица'!QC21+'Проверочная  таблица'!TK21+'Проверочная  таблица'!LZ21+'Проверочная  таблица'!KW21+'Проверочная  таблица'!RG21+'Проверочная  таблица'!HS21+'Проверочная  таблица'!GX21+'Проверочная  таблица'!GG21+'Проверочная  таблица'!IQ21</f>
        <v>56296355.289999992</v>
      </c>
      <c r="AU18" s="558">
        <f>'Проверочная  таблица'!VO21</f>
        <v>1471054.9200000002</v>
      </c>
      <c r="AV18" s="565">
        <f>'Проверочная  таблица'!YX21+'Проверочная  таблица'!XP21</f>
        <v>29601937.640000001</v>
      </c>
      <c r="AW18" s="566"/>
      <c r="AX18" s="560">
        <f t="shared" si="5"/>
        <v>76282864.070000008</v>
      </c>
      <c r="AY18" s="561">
        <f t="shared" si="6"/>
        <v>69101946</v>
      </c>
      <c r="AZ18" s="560">
        <f t="shared" si="6"/>
        <v>169318.28000000119</v>
      </c>
      <c r="BA18" s="561">
        <f t="shared" si="6"/>
        <v>1471054.9200000002</v>
      </c>
      <c r="BB18" s="560">
        <f t="shared" si="6"/>
        <v>5540544.870000001</v>
      </c>
      <c r="BC18" s="567"/>
      <c r="BD18" s="568">
        <f t="shared" si="7"/>
        <v>110580722.77999999</v>
      </c>
      <c r="BE18" s="560">
        <f>'Проверочная  таблица'!M21+'Проверочная  таблица'!U21+'Проверочная  таблица'!AM21</f>
        <v>30392293</v>
      </c>
      <c r="BF18" s="541">
        <f>'Проверочная  таблица'!BS21+'Проверочная  таблица'!CG21+'Проверочная  таблица'!BK21+'Проверочная  таблица'!VA21+'Проверочная  таблица'!NY21+'Проверочная  таблица'!KE21+'Проверочная  таблица'!PL21+'Проверочная  таблица'!FO21+'Проверочная  таблица'!DK21+'Проверочная  таблица'!QO21+'Проверочная  таблица'!UM21+'Проверочная  таблица'!MP21+'Проверочная  таблица'!LK21+'Проверочная  таблица'!RS21+'Проверочная  таблица'!IE21+'Проверочная  таблица'!HC21+'Проверочная  таблица'!GM21+'Проверочная  таблица'!IW21</f>
        <v>56127037.00999999</v>
      </c>
      <c r="BG18" s="569"/>
      <c r="BH18" s="570">
        <f>'Проверочная  таблица'!ZV21+'Проверочная  таблица'!XU21</f>
        <v>24061392.77</v>
      </c>
      <c r="BI18" s="562"/>
      <c r="BK18" s="1138">
        <f t="shared" si="10"/>
        <v>1465327.07565</v>
      </c>
      <c r="BL18" s="1138">
        <f t="shared" si="11"/>
        <v>1308462.7140400002</v>
      </c>
      <c r="BM18" s="1138">
        <f t="shared" si="12"/>
        <v>11549.224329999986</v>
      </c>
      <c r="BN18" s="1138">
        <f t="shared" si="13"/>
        <v>145315.13728</v>
      </c>
    </row>
    <row r="19" spans="1:66" ht="21.75" customHeight="1" x14ac:dyDescent="0.25">
      <c r="A19" s="572" t="s">
        <v>325</v>
      </c>
      <c r="B19" s="552">
        <f>'Проверочная  таблица'!B14</f>
        <v>1058162406.92</v>
      </c>
      <c r="C19" s="553">
        <f>'Проверочная  таблица'!D14</f>
        <v>336728920</v>
      </c>
      <c r="D19" s="554">
        <f>'Проверочная  таблица'!AN14</f>
        <v>352656068.29999995</v>
      </c>
      <c r="E19" s="552">
        <f>'Проверочная  таблица'!VB14</f>
        <v>284893860.46999997</v>
      </c>
      <c r="F19" s="555">
        <f>'Проверочная  таблица'!WJ14</f>
        <v>83883558.150000006</v>
      </c>
      <c r="G19" s="555"/>
      <c r="H19" s="536">
        <f>B19-N19</f>
        <v>1058023349.26</v>
      </c>
      <c r="I19" s="556">
        <f>C19-O19</f>
        <v>336728920</v>
      </c>
      <c r="J19" s="536">
        <f>D19-P19</f>
        <v>352624858.29999995</v>
      </c>
      <c r="K19" s="556">
        <f>E19-Q19</f>
        <v>284893860.46999997</v>
      </c>
      <c r="L19" s="556">
        <f>F19-R19</f>
        <v>83775710.49000001</v>
      </c>
      <c r="M19" s="536"/>
      <c r="N19" s="557">
        <f>SUM(O19:S19)</f>
        <v>139057.66</v>
      </c>
      <c r="O19" s="556">
        <f>'Проверочная  таблица'!P14+'Проверочная  таблица'!AD14+'Проверочная  таблица'!H14</f>
        <v>0</v>
      </c>
      <c r="P19" s="536">
        <f>'Проверочная  таблица'!BD14+'Проверочная  таблица'!BN14+'Проверочная  таблица'!CB14+'Проверочная  таблица'!NJ14+'Проверочная  таблица'!OR14+'Проверочная  таблица'!JP14+'Проверочная  таблица'!UV14+'Проверочная  таблица'!AV14+'Проверочная  таблица'!EZ14+'Проверочная  таблица'!DB14+'Проверочная  таблица'!PZ14+'Проверочная  таблица'!TD14+'Проверочная  таблица'!LV14+'Проверочная  таблица'!KR14+'Проверочная  таблица'!RD14+'Проверочная  таблица'!HP14+'Проверочная  таблица'!GV14+'Проверочная  таблица'!GD14+'Проверочная  таблица'!IN14</f>
        <v>31210</v>
      </c>
      <c r="Q19" s="557">
        <f>'Проверочная  таблица'!VN14</f>
        <v>0</v>
      </c>
      <c r="R19" s="552">
        <f>'Проверочная  таблица'!YR14+'Проверочная  таблица'!XN14</f>
        <v>107847.66</v>
      </c>
      <c r="S19" s="573"/>
      <c r="T19" s="559">
        <f>SUM(U19:Y19)</f>
        <v>-38493.910000000003</v>
      </c>
      <c r="U19" s="559">
        <f>O19-AA19</f>
        <v>0</v>
      </c>
      <c r="V19" s="560">
        <f>P19-AB19</f>
        <v>-146341.57</v>
      </c>
      <c r="W19" s="561">
        <f>Q19-AC19</f>
        <v>0</v>
      </c>
      <c r="X19" s="560">
        <f>R19-AD19</f>
        <v>107847.66</v>
      </c>
      <c r="Y19" s="562"/>
      <c r="Z19" s="561">
        <f>SUM(AA19:AE19)</f>
        <v>177551.57</v>
      </c>
      <c r="AA19" s="559">
        <f>'Проверочная  таблица'!AL14+'Проверочная  таблица'!T14+'Проверочная  таблица'!L14</f>
        <v>0</v>
      </c>
      <c r="AB19" s="539">
        <f>'Проверочная  таблица'!BR14+'Проверочная  таблица'!CF14+'Проверочная  таблица'!BJ14+'Проверочная  таблица'!UZ14+'Проверочная  таблица'!NV14+'Проверочная  таблица'!KB14+'Проверочная  таблица'!PH14+'Проверочная  таблица'!FL14+'Проверочная  таблица'!DJ14+'Проверочная  таблица'!QL14+'Проверочная  таблица'!UF14+'Проверочная  таблица'!ML14+'Проверочная  таблица'!LH14+'Проверочная  таблица'!RP14+'Проверочная  таблица'!IB14+'Проверочная  таблица'!HB14+'Проверочная  таблица'!GL14+'Проверочная  таблица'!IV14</f>
        <v>177551.57</v>
      </c>
      <c r="AC19" s="561"/>
      <c r="AD19" s="563">
        <f>'Проверочная  таблица'!ZP14+'Проверочная  таблица'!XT14</f>
        <v>0</v>
      </c>
      <c r="AE19" s="573"/>
      <c r="AF19" s="555">
        <f>'Проверочная  таблица'!C14</f>
        <v>543902684.57999992</v>
      </c>
      <c r="AG19" s="553">
        <f>'Проверочная  таблица'!E14</f>
        <v>179140000</v>
      </c>
      <c r="AH19" s="554">
        <f>'Проверочная  таблица'!AO14</f>
        <v>112717930.96999998</v>
      </c>
      <c r="AI19" s="552">
        <f>'Проверочная  таблица'!VE14</f>
        <v>214075601.50999999</v>
      </c>
      <c r="AJ19" s="558">
        <f>'Проверочная  таблица'!WK14</f>
        <v>37969152.099999994</v>
      </c>
      <c r="AK19" s="555"/>
      <c r="AL19" s="536">
        <f>AF19-AR19</f>
        <v>543902684.57999992</v>
      </c>
      <c r="AM19" s="556">
        <f>AG19-AS19</f>
        <v>179140000</v>
      </c>
      <c r="AN19" s="536">
        <f>AH19-AT19</f>
        <v>112717930.96999998</v>
      </c>
      <c r="AO19" s="556">
        <f>AI19-AU19</f>
        <v>214075601.50999999</v>
      </c>
      <c r="AP19" s="556">
        <f>AJ19-AV19</f>
        <v>37969152.099999994</v>
      </c>
      <c r="AQ19" s="536"/>
      <c r="AR19" s="557">
        <f>SUM(AS19:AW19)</f>
        <v>0</v>
      </c>
      <c r="AS19" s="557">
        <f>'Проверочная  таблица'!Q14+'Проверочная  таблица'!AG14+'Проверочная  таблица'!I14</f>
        <v>0</v>
      </c>
      <c r="AT19" s="556">
        <f>'Проверочная  таблица'!UW14+'Проверочная  таблица'!CC14+'Проверочная  таблица'!BO14+'Проверочная  таблица'!BF14+'Проверочная  таблица'!NM14+'Проверочная  таблица'!JS14+'Проверочная  таблица'!OV14+'Проверочная  таблица'!AX14+'Проверочная  таблица'!FC14+'Проверочная  таблица'!DE14+'Проверочная  таблица'!QC14+'Проверочная  таблица'!TK14+'Проверочная  таблица'!LZ14+'Проверочная  таблица'!KW14+'Проверочная  таблица'!RG14+'Проверочная  таблица'!HS14+'Проверочная  таблица'!GX14+'Проверочная  таблица'!GG14+'Проверочная  таблица'!IQ14</f>
        <v>0</v>
      </c>
      <c r="AU19" s="558">
        <f>'Проверочная  таблица'!VO14</f>
        <v>0</v>
      </c>
      <c r="AV19" s="565">
        <f>'Проверочная  таблица'!YX14+'Проверочная  таблица'!XP14</f>
        <v>0</v>
      </c>
      <c r="AW19" s="574"/>
      <c r="AX19" s="560">
        <f>SUM(AY19:BC19)</f>
        <v>0</v>
      </c>
      <c r="AY19" s="561">
        <f>AS19-BE19</f>
        <v>0</v>
      </c>
      <c r="AZ19" s="560">
        <f>AT19-BF19</f>
        <v>0</v>
      </c>
      <c r="BA19" s="561">
        <f>AU19-BG19</f>
        <v>0</v>
      </c>
      <c r="BB19" s="560">
        <f>AV19-BH19</f>
        <v>0</v>
      </c>
      <c r="BC19" s="567"/>
      <c r="BD19" s="568">
        <f>SUM(BE19:BI19)</f>
        <v>0</v>
      </c>
      <c r="BE19" s="560">
        <f>'Проверочная  таблица'!M14+'Проверочная  таблица'!U14+'Проверочная  таблица'!AM14</f>
        <v>0</v>
      </c>
      <c r="BF19" s="541">
        <f>'Проверочная  таблица'!BS14+'Проверочная  таблица'!CG14+'Проверочная  таблица'!BK14+'Проверочная  таблица'!VA14+'Проверочная  таблица'!NY14+'Проверочная  таблица'!KE14+'Проверочная  таблица'!PL14+'Проверочная  таблица'!FO14+'Проверочная  таблица'!DK14+'Проверочная  таблица'!QO14+'Проверочная  таблица'!UM14+'Проверочная  таблица'!MP14+'Проверочная  таблица'!LK14+'Проверочная  таблица'!RS14+'Проверочная  таблица'!IE14+'Проверочная  таблица'!HC14+'Проверочная  таблица'!GM14+'Проверочная  таблица'!IW14</f>
        <v>0</v>
      </c>
      <c r="BG19" s="569"/>
      <c r="BH19" s="570">
        <f>'Проверочная  таблица'!ZV14+'Проверочная  таблица'!XU14</f>
        <v>0</v>
      </c>
      <c r="BI19" s="562"/>
      <c r="BK19" s="1138">
        <f>SUM(D19:F19)/1000</f>
        <v>721433.48691999994</v>
      </c>
      <c r="BL19" s="1138">
        <f>SUM(J19:L19)/1000</f>
        <v>721294.42926</v>
      </c>
      <c r="BM19" s="1138">
        <f>SUM(V19:X19)/1000</f>
        <v>-38.493910000000007</v>
      </c>
      <c r="BN19" s="1138">
        <f>SUM(AB19:AD19)/1000</f>
        <v>177.55157</v>
      </c>
    </row>
    <row r="20" spans="1:66" ht="21.75" customHeight="1" x14ac:dyDescent="0.25">
      <c r="A20" s="551" t="s">
        <v>326</v>
      </c>
      <c r="B20" s="552">
        <f>'Проверочная  таблица'!B22</f>
        <v>511426540.10000002</v>
      </c>
      <c r="C20" s="553">
        <f>'Проверочная  таблица'!D22</f>
        <v>53680207.189999998</v>
      </c>
      <c r="D20" s="554">
        <f>'Проверочная  таблица'!AN22</f>
        <v>114806510.57999998</v>
      </c>
      <c r="E20" s="552">
        <f>'Проверочная  таблица'!VB22</f>
        <v>255611370.70000002</v>
      </c>
      <c r="F20" s="555">
        <f>'Проверочная  таблица'!WJ22</f>
        <v>87328451.629999995</v>
      </c>
      <c r="G20" s="555"/>
      <c r="H20" s="536">
        <f t="shared" si="0"/>
        <v>403025641.50999999</v>
      </c>
      <c r="I20" s="556">
        <f t="shared" si="0"/>
        <v>17781373</v>
      </c>
      <c r="J20" s="536">
        <f t="shared" si="0"/>
        <v>92087813.329999983</v>
      </c>
      <c r="K20" s="556">
        <f t="shared" si="0"/>
        <v>254473970.70000002</v>
      </c>
      <c r="L20" s="556">
        <f t="shared" si="0"/>
        <v>38682484.479999997</v>
      </c>
      <c r="M20" s="536"/>
      <c r="N20" s="557">
        <f t="shared" si="8"/>
        <v>108400898.59</v>
      </c>
      <c r="O20" s="556">
        <f>'Проверочная  таблица'!P22+'Проверочная  таблица'!AD22+'Проверочная  таблица'!H22</f>
        <v>35898834.189999998</v>
      </c>
      <c r="P20" s="536">
        <f>'Проверочная  таблица'!BD22+'Проверочная  таблица'!BN22+'Проверочная  таблица'!CB22+'Проверочная  таблица'!NJ22+'Проверочная  таблица'!OR22+'Проверочная  таблица'!JP22+'Проверочная  таблица'!UV22+'Проверочная  таблица'!AV22+'Проверочная  таблица'!EZ22+'Проверочная  таблица'!DB22+'Проверочная  таблица'!PZ22+'Проверочная  таблица'!TD22+'Проверочная  таблица'!LV22+'Проверочная  таблица'!KR22+'Проверочная  таблица'!RD22+'Проверочная  таблица'!HP22+'Проверочная  таблица'!GV22+'Проверочная  таблица'!GD22+'Проверочная  таблица'!IN22</f>
        <v>22718697.25</v>
      </c>
      <c r="Q20" s="557">
        <f>'Проверочная  таблица'!VN22</f>
        <v>1137400</v>
      </c>
      <c r="R20" s="552">
        <f>'Проверочная  таблица'!YR22+'Проверочная  таблица'!XN22</f>
        <v>48645967.149999999</v>
      </c>
      <c r="S20" s="558"/>
      <c r="T20" s="559">
        <f t="shared" si="1"/>
        <v>108249913.12</v>
      </c>
      <c r="U20" s="559">
        <f t="shared" si="2"/>
        <v>35898834.189999998</v>
      </c>
      <c r="V20" s="560">
        <f t="shared" si="2"/>
        <v>22567711.780000001</v>
      </c>
      <c r="W20" s="561">
        <f t="shared" si="2"/>
        <v>1137400</v>
      </c>
      <c r="X20" s="560">
        <f t="shared" si="2"/>
        <v>48645967.149999999</v>
      </c>
      <c r="Y20" s="562"/>
      <c r="Z20" s="561">
        <f t="shared" si="3"/>
        <v>150985.47</v>
      </c>
      <c r="AA20" s="559">
        <f>'Проверочная  таблица'!AL22+'Проверочная  таблица'!T22+'Проверочная  таблица'!L22</f>
        <v>0</v>
      </c>
      <c r="AB20" s="539">
        <f>'Проверочная  таблица'!BR22+'Проверочная  таблица'!CF22+'Проверочная  таблица'!BJ22+'Проверочная  таблица'!UZ22+'Проверочная  таблица'!NV22+'Проверочная  таблица'!KB22+'Проверочная  таблица'!PH22+'Проверочная  таблица'!FL22+'Проверочная  таблица'!DJ22+'Проверочная  таблица'!QL22+'Проверочная  таблица'!UF22+'Проверочная  таблица'!ML22+'Проверочная  таблица'!LH22+'Проверочная  таблица'!RP22+'Проверочная  таблица'!IB22+'Проверочная  таблица'!HB22+'Проверочная  таблица'!GL22+'Проверочная  таблица'!IV22</f>
        <v>150985.47</v>
      </c>
      <c r="AC20" s="561"/>
      <c r="AD20" s="563">
        <f>'Проверочная  таблица'!ZP22+'Проверочная  таблица'!XT22</f>
        <v>0</v>
      </c>
      <c r="AE20" s="558"/>
      <c r="AF20" s="555">
        <f>'Проверочная  таблица'!C22</f>
        <v>297627487.93000001</v>
      </c>
      <c r="AG20" s="553">
        <f>'Проверочная  таблица'!E22</f>
        <v>39690845</v>
      </c>
      <c r="AH20" s="554">
        <f>'Проверочная  таблица'!AO22</f>
        <v>39789994.210000001</v>
      </c>
      <c r="AI20" s="552">
        <f>'Проверочная  таблица'!VE22</f>
        <v>192829969.97</v>
      </c>
      <c r="AJ20" s="558">
        <f>'Проверочная  таблица'!WK22</f>
        <v>25316678.75</v>
      </c>
      <c r="AK20" s="555"/>
      <c r="AL20" s="536">
        <f t="shared" si="4"/>
        <v>252488482.06</v>
      </c>
      <c r="AM20" s="556">
        <f t="shared" si="4"/>
        <v>13336200</v>
      </c>
      <c r="AN20" s="536">
        <f t="shared" si="4"/>
        <v>31751312.690000001</v>
      </c>
      <c r="AO20" s="556">
        <f t="shared" si="4"/>
        <v>192035195.02000001</v>
      </c>
      <c r="AP20" s="556">
        <f t="shared" si="4"/>
        <v>15365774.350000001</v>
      </c>
      <c r="AQ20" s="536"/>
      <c r="AR20" s="557">
        <f t="shared" si="9"/>
        <v>45139005.869999997</v>
      </c>
      <c r="AS20" s="557">
        <f>'Проверочная  таблица'!Q22+'Проверочная  таблица'!AG22+'Проверочная  таблица'!I22</f>
        <v>26354645</v>
      </c>
      <c r="AT20" s="556">
        <f>'Проверочная  таблица'!UW22+'Проверочная  таблица'!CC22+'Проверочная  таблица'!BO22+'Проверочная  таблица'!BF22+'Проверочная  таблица'!NM22+'Проверочная  таблица'!JS22+'Проверочная  таблица'!OV22+'Проверочная  таблица'!AX22+'Проверочная  таблица'!FC22+'Проверочная  таблица'!DE22+'Проверочная  таблица'!QC22+'Проверочная  таблица'!TK22+'Проверочная  таблица'!LZ22+'Проверочная  таблица'!KW22+'Проверочная  таблица'!RG22+'Проверочная  таблица'!HS22+'Проверочная  таблица'!GX22+'Проверочная  таблица'!GG22+'Проверочная  таблица'!IQ22</f>
        <v>8038681.5199999996</v>
      </c>
      <c r="AU20" s="558">
        <f>'Проверочная  таблица'!VO22</f>
        <v>794774.95000000019</v>
      </c>
      <c r="AV20" s="565">
        <f>'Проверочная  таблица'!YX22+'Проверочная  таблица'!XP22</f>
        <v>9950904.3999999985</v>
      </c>
      <c r="AW20" s="566"/>
      <c r="AX20" s="560">
        <f t="shared" si="5"/>
        <v>45139005.869999997</v>
      </c>
      <c r="AY20" s="561">
        <f t="shared" si="6"/>
        <v>26354645</v>
      </c>
      <c r="AZ20" s="560">
        <f t="shared" si="6"/>
        <v>8038681.5199999996</v>
      </c>
      <c r="BA20" s="561">
        <f t="shared" si="6"/>
        <v>794774.95000000019</v>
      </c>
      <c r="BB20" s="560">
        <f t="shared" si="6"/>
        <v>9950904.3999999985</v>
      </c>
      <c r="BC20" s="567"/>
      <c r="BD20" s="568">
        <f t="shared" si="7"/>
        <v>0</v>
      </c>
      <c r="BE20" s="560">
        <f>'Проверочная  таблица'!M22+'Проверочная  таблица'!U22+'Проверочная  таблица'!AM22</f>
        <v>0</v>
      </c>
      <c r="BF20" s="541">
        <f>'Проверочная  таблица'!BS22+'Проверочная  таблица'!CG22+'Проверочная  таблица'!BK22+'Проверочная  таблица'!VA22+'Проверочная  таблица'!NY22+'Проверочная  таблица'!KE22+'Проверочная  таблица'!PL22+'Проверочная  таблица'!FO22+'Проверочная  таблица'!DK22+'Проверочная  таблица'!QO22+'Проверочная  таблица'!UM22+'Проверочная  таблица'!MP22+'Проверочная  таблица'!LK22+'Проверочная  таблица'!RS22+'Проверочная  таблица'!IE22+'Проверочная  таблица'!HC22+'Проверочная  таблица'!GM22+'Проверочная  таблица'!IW22</f>
        <v>0</v>
      </c>
      <c r="BG20" s="569"/>
      <c r="BH20" s="570">
        <f>'Проверочная  таблица'!ZV22+'Проверочная  таблица'!XU22</f>
        <v>0</v>
      </c>
      <c r="BI20" s="562"/>
      <c r="BK20" s="1138">
        <f t="shared" si="10"/>
        <v>457746.33290999994</v>
      </c>
      <c r="BL20" s="1138">
        <f t="shared" si="11"/>
        <v>385244.26850999997</v>
      </c>
      <c r="BM20" s="1138">
        <f t="shared" si="12"/>
        <v>72351.078930000003</v>
      </c>
      <c r="BN20" s="1138">
        <f t="shared" si="13"/>
        <v>150.98546999999999</v>
      </c>
    </row>
    <row r="21" spans="1:66" ht="21.75" customHeight="1" x14ac:dyDescent="0.25">
      <c r="A21" s="571" t="s">
        <v>327</v>
      </c>
      <c r="B21" s="552">
        <f>'Проверочная  таблица'!B23</f>
        <v>3010924679.23</v>
      </c>
      <c r="C21" s="553">
        <f>'Проверочная  таблица'!D23</f>
        <v>750340643.01999998</v>
      </c>
      <c r="D21" s="554">
        <f>'Проверочная  таблица'!AN23</f>
        <v>1461014003.2599998</v>
      </c>
      <c r="E21" s="552">
        <f>'Проверочная  таблица'!VB23</f>
        <v>603503077.05000007</v>
      </c>
      <c r="F21" s="555">
        <f>'Проверочная  таблица'!WJ23</f>
        <v>196066955.89999998</v>
      </c>
      <c r="G21" s="555"/>
      <c r="H21" s="536">
        <f t="shared" si="0"/>
        <v>2103075422.5599999</v>
      </c>
      <c r="I21" s="556">
        <f t="shared" si="0"/>
        <v>211573840.99999988</v>
      </c>
      <c r="J21" s="536">
        <f t="shared" si="0"/>
        <v>1200230018.4699998</v>
      </c>
      <c r="K21" s="556">
        <f t="shared" si="0"/>
        <v>600689577.05000007</v>
      </c>
      <c r="L21" s="556">
        <f t="shared" si="0"/>
        <v>90581986.039999977</v>
      </c>
      <c r="M21" s="536"/>
      <c r="N21" s="557">
        <f t="shared" si="8"/>
        <v>907849256.6700002</v>
      </c>
      <c r="O21" s="556">
        <f>'Проверочная  таблица'!P23+'Проверочная  таблица'!AD23+'Проверочная  таблица'!H23</f>
        <v>538766802.0200001</v>
      </c>
      <c r="P21" s="536">
        <f>'Проверочная  таблица'!BD23+'Проверочная  таблица'!BN23+'Проверочная  таблица'!CB23+'Проверочная  таблица'!NJ23+'Проверочная  таблица'!OR23+'Проверочная  таблица'!JP23+'Проверочная  таблица'!UV23+'Проверочная  таблица'!AV23+'Проверочная  таблица'!EZ23+'Проверочная  таблица'!DB23+'Проверочная  таблица'!PZ23+'Проверочная  таблица'!TD23+'Проверочная  таблица'!LV23+'Проверочная  таблица'!KR23+'Проверочная  таблица'!RD23+'Проверочная  таблица'!HP23+'Проверочная  таблица'!GV23+'Проверочная  таблица'!GD23+'Проверочная  таблица'!IN23</f>
        <v>260783984.79000002</v>
      </c>
      <c r="Q21" s="557">
        <f>'Проверочная  таблица'!VN23</f>
        <v>2813500</v>
      </c>
      <c r="R21" s="552">
        <f>'Проверочная  таблица'!YR23+'Проверочная  таблица'!XN23</f>
        <v>105484969.86</v>
      </c>
      <c r="S21" s="558"/>
      <c r="T21" s="559">
        <f t="shared" si="1"/>
        <v>197622181.95000011</v>
      </c>
      <c r="U21" s="559">
        <f t="shared" si="2"/>
        <v>78961900.0200001</v>
      </c>
      <c r="V21" s="560">
        <f t="shared" si="2"/>
        <v>59345119.540000021</v>
      </c>
      <c r="W21" s="561">
        <f t="shared" si="2"/>
        <v>2813500</v>
      </c>
      <c r="X21" s="560">
        <f t="shared" si="2"/>
        <v>56501662.390000001</v>
      </c>
      <c r="Y21" s="562"/>
      <c r="Z21" s="561">
        <f t="shared" si="3"/>
        <v>710227074.72000003</v>
      </c>
      <c r="AA21" s="559">
        <f>'Проверочная  таблица'!AL23+'Проверочная  таблица'!T23+'Проверочная  таблица'!L23</f>
        <v>459804902</v>
      </c>
      <c r="AB21" s="539">
        <f>'Проверочная  таблица'!BR23+'Проверочная  таблица'!CF23+'Проверочная  таблица'!BJ23+'Проверочная  таблица'!UZ23+'Проверочная  таблица'!NV23+'Проверочная  таблица'!KB23+'Проверочная  таблица'!PH23+'Проверочная  таблица'!FL23+'Проверочная  таблица'!DJ23+'Проверочная  таблица'!QL23+'Проверочная  таблица'!UF23+'Проверочная  таблица'!ML23+'Проверочная  таблица'!LH23+'Проверочная  таблица'!RP23+'Проверочная  таблица'!IB23+'Проверочная  таблица'!HB23+'Проверочная  таблица'!GL23+'Проверочная  таблица'!IV23</f>
        <v>201438865.25</v>
      </c>
      <c r="AC21" s="561"/>
      <c r="AD21" s="563">
        <f>'Проверочная  таблица'!ZP23+'Проверочная  таблица'!XT23</f>
        <v>48983307.469999999</v>
      </c>
      <c r="AE21" s="558"/>
      <c r="AF21" s="555">
        <f>'Проверочная  таблица'!C23</f>
        <v>1706483960.0999999</v>
      </c>
      <c r="AG21" s="553">
        <f>'Проверочная  таблица'!E23</f>
        <v>489789820</v>
      </c>
      <c r="AH21" s="554">
        <f>'Проверочная  таблица'!AO23</f>
        <v>712362842.75999999</v>
      </c>
      <c r="AI21" s="552">
        <f>'Проверочная  таблица'!VE23</f>
        <v>423139392.86000001</v>
      </c>
      <c r="AJ21" s="558">
        <f>'Проверочная  таблица'!WK23</f>
        <v>81191904.480000004</v>
      </c>
      <c r="AK21" s="555"/>
      <c r="AL21" s="536">
        <f t="shared" si="4"/>
        <v>1100614512.4400001</v>
      </c>
      <c r="AM21" s="556">
        <f t="shared" si="4"/>
        <v>121820200</v>
      </c>
      <c r="AN21" s="536">
        <f t="shared" si="4"/>
        <v>510665508.99000001</v>
      </c>
      <c r="AO21" s="556">
        <f t="shared" si="4"/>
        <v>421787361.72000003</v>
      </c>
      <c r="AP21" s="556">
        <f t="shared" si="4"/>
        <v>46341441.730000004</v>
      </c>
      <c r="AQ21" s="536"/>
      <c r="AR21" s="557">
        <f t="shared" si="9"/>
        <v>605869447.65999997</v>
      </c>
      <c r="AS21" s="557">
        <f>'Проверочная  таблица'!Q23+'Проверочная  таблица'!AG23+'Проверочная  таблица'!I23</f>
        <v>367969620</v>
      </c>
      <c r="AT21" s="556">
        <f>'Проверочная  таблица'!UW23+'Проверочная  таблица'!CC23+'Проверочная  таблица'!BO23+'Проверочная  таблица'!BF23+'Проверочная  таблица'!NM23+'Проверочная  таблица'!JS23+'Проверочная  таблица'!OV23+'Проверочная  таблица'!AX23+'Проверочная  таблица'!FC23+'Проверочная  таблица'!DE23+'Проверочная  таблица'!QC23+'Проверочная  таблица'!TK23+'Проверочная  таблица'!LZ23+'Проверочная  таблица'!KW23+'Проверочная  таблица'!RG23+'Проверочная  таблица'!HS23+'Проверочная  таблица'!GX23+'Проверочная  таблица'!GG23+'Проверочная  таблица'!IQ23</f>
        <v>201697333.77000001</v>
      </c>
      <c r="AU21" s="558">
        <f>'Проверочная  таблица'!VO23</f>
        <v>1352031.1400000001</v>
      </c>
      <c r="AV21" s="565">
        <f>'Проверочная  таблица'!YX23+'Проверочная  таблица'!XP23</f>
        <v>34850462.75</v>
      </c>
      <c r="AW21" s="566"/>
      <c r="AX21" s="560">
        <f t="shared" si="5"/>
        <v>93090518.330000013</v>
      </c>
      <c r="AY21" s="561">
        <f t="shared" si="6"/>
        <v>59745320</v>
      </c>
      <c r="AZ21" s="560">
        <f t="shared" si="6"/>
        <v>25376445.840000004</v>
      </c>
      <c r="BA21" s="561">
        <f t="shared" si="6"/>
        <v>1352031.1400000001</v>
      </c>
      <c r="BB21" s="560">
        <f t="shared" si="6"/>
        <v>6616721.3500000015</v>
      </c>
      <c r="BC21" s="567"/>
      <c r="BD21" s="568">
        <f t="shared" si="7"/>
        <v>512778929.32999998</v>
      </c>
      <c r="BE21" s="560">
        <f>'Проверочная  таблица'!M23+'Проверочная  таблица'!U23+'Проверочная  таблица'!AM23</f>
        <v>308224300</v>
      </c>
      <c r="BF21" s="541">
        <f>'Проверочная  таблица'!BS23+'Проверочная  таблица'!CG23+'Проверочная  таблица'!BK23+'Проверочная  таблица'!VA23+'Проверочная  таблица'!NY23+'Проверочная  таблица'!KE23+'Проверочная  таблица'!PL23+'Проверочная  таблица'!FO23+'Проверочная  таблица'!DK23+'Проверочная  таблица'!QO23+'Проверочная  таблица'!UM23+'Проверочная  таблица'!MP23+'Проверочная  таблица'!LK23+'Проверочная  таблица'!RS23+'Проверочная  таблица'!IE23+'Проверочная  таблица'!HC23+'Проверочная  таблица'!GM23+'Проверочная  таблица'!IW23</f>
        <v>176320887.93000001</v>
      </c>
      <c r="BG21" s="569"/>
      <c r="BH21" s="570">
        <f>'Проверочная  таблица'!ZV23+'Проверочная  таблица'!XU23</f>
        <v>28233741.399999999</v>
      </c>
      <c r="BI21" s="562"/>
      <c r="BK21" s="1138">
        <f t="shared" si="10"/>
        <v>2260584.03621</v>
      </c>
      <c r="BL21" s="1138">
        <f t="shared" si="11"/>
        <v>1891501.5815599998</v>
      </c>
      <c r="BM21" s="1138">
        <f t="shared" si="12"/>
        <v>118660.28193000003</v>
      </c>
      <c r="BN21" s="1138">
        <f t="shared" si="13"/>
        <v>250422.17272</v>
      </c>
    </row>
    <row r="22" spans="1:66" ht="21.75" customHeight="1" x14ac:dyDescent="0.25">
      <c r="A22" s="551" t="s">
        <v>328</v>
      </c>
      <c r="B22" s="552">
        <f>'Проверочная  таблица'!B24</f>
        <v>653545814.16999996</v>
      </c>
      <c r="C22" s="553">
        <f>'Проверочная  таблица'!D24</f>
        <v>93877241.819999993</v>
      </c>
      <c r="D22" s="554">
        <f>'Проверочная  таблица'!AN24</f>
        <v>146003883.18000001</v>
      </c>
      <c r="E22" s="552">
        <f>'Проверочная  таблица'!VB24</f>
        <v>343219110.14999998</v>
      </c>
      <c r="F22" s="555">
        <f>'Проверочная  таблица'!WJ24</f>
        <v>70445579.020000011</v>
      </c>
      <c r="G22" s="555"/>
      <c r="H22" s="536">
        <f t="shared" si="0"/>
        <v>592183476.13999999</v>
      </c>
      <c r="I22" s="556">
        <f t="shared" si="0"/>
        <v>50105181.999999993</v>
      </c>
      <c r="J22" s="536">
        <f t="shared" si="0"/>
        <v>135762186.12</v>
      </c>
      <c r="K22" s="556">
        <f t="shared" si="0"/>
        <v>341624610.14999998</v>
      </c>
      <c r="L22" s="556">
        <f t="shared" si="0"/>
        <v>64691497.870000012</v>
      </c>
      <c r="M22" s="536"/>
      <c r="N22" s="557">
        <f t="shared" si="8"/>
        <v>61362338.030000001</v>
      </c>
      <c r="O22" s="556">
        <f>'Проверочная  таблица'!P24+'Проверочная  таблица'!AD24+'Проверочная  таблица'!H24</f>
        <v>43772059.82</v>
      </c>
      <c r="P22" s="536">
        <f>'Проверочная  таблица'!BD24+'Проверочная  таблица'!BN24+'Проверочная  таблица'!CB24+'Проверочная  таблица'!NJ24+'Проверочная  таблица'!OR24+'Проверочная  таблица'!JP24+'Проверочная  таблица'!UV24+'Проверочная  таблица'!AV24+'Проверочная  таблица'!EZ24+'Проверочная  таблица'!DB24+'Проверочная  таблица'!PZ24+'Проверочная  таблица'!TD24+'Проверочная  таблица'!LV24+'Проверочная  таблица'!KR24+'Проверочная  таблица'!RD24+'Проверочная  таблица'!HP24+'Проверочная  таблица'!GV24+'Проверочная  таблица'!GD24+'Проверочная  таблица'!IN24</f>
        <v>10241697.060000001</v>
      </c>
      <c r="Q22" s="557">
        <f>'Проверочная  таблица'!VN24</f>
        <v>1594500</v>
      </c>
      <c r="R22" s="552">
        <f>'Проверочная  таблица'!YR24+'Проверочная  таблица'!XN24</f>
        <v>5754081.1500000004</v>
      </c>
      <c r="S22" s="558"/>
      <c r="T22" s="559">
        <f t="shared" si="1"/>
        <v>61141961.07</v>
      </c>
      <c r="U22" s="559">
        <f t="shared" si="2"/>
        <v>43772059.82</v>
      </c>
      <c r="V22" s="560">
        <f t="shared" si="2"/>
        <v>10021320.1</v>
      </c>
      <c r="W22" s="561">
        <f t="shared" si="2"/>
        <v>1594500</v>
      </c>
      <c r="X22" s="560">
        <f t="shared" si="2"/>
        <v>5754081.1500000004</v>
      </c>
      <c r="Y22" s="562"/>
      <c r="Z22" s="561">
        <f t="shared" si="3"/>
        <v>220376.95999999999</v>
      </c>
      <c r="AA22" s="559">
        <f>'Проверочная  таблица'!AL24+'Проверочная  таблица'!T24+'Проверочная  таблица'!L24</f>
        <v>0</v>
      </c>
      <c r="AB22" s="539">
        <f>'Проверочная  таблица'!BR24+'Проверочная  таблица'!CF24+'Проверочная  таблица'!BJ24+'Проверочная  таблица'!UZ24+'Проверочная  таблица'!NV24+'Проверочная  таблица'!KB24+'Проверочная  таблица'!PH24+'Проверочная  таблица'!FL24+'Проверочная  таблица'!DJ24+'Проверочная  таблица'!QL24+'Проверочная  таблица'!UF24+'Проверочная  таблица'!ML24+'Проверочная  таблица'!LH24+'Проверочная  таблица'!RP24+'Проверочная  таблица'!IB24+'Проверочная  таблица'!HB24+'Проверочная  таблица'!GL24+'Проверочная  таблица'!IV24</f>
        <v>220376.95999999999</v>
      </c>
      <c r="AC22" s="561"/>
      <c r="AD22" s="563">
        <f>'Проверочная  таблица'!ZP24+'Проверочная  таблица'!XT24</f>
        <v>0</v>
      </c>
      <c r="AE22" s="558"/>
      <c r="AF22" s="555">
        <f>'Проверочная  таблица'!C24</f>
        <v>442593746.84999996</v>
      </c>
      <c r="AG22" s="553">
        <f>'Проверочная  таблица'!E24</f>
        <v>71248282</v>
      </c>
      <c r="AH22" s="554">
        <f>'Проверочная  таблица'!AO24</f>
        <v>69690468.260000005</v>
      </c>
      <c r="AI22" s="552">
        <f>'Проверочная  таблица'!VE24</f>
        <v>270594826.08999997</v>
      </c>
      <c r="AJ22" s="558">
        <f>'Проверочная  таблица'!WK24</f>
        <v>31060170.5</v>
      </c>
      <c r="AK22" s="555"/>
      <c r="AL22" s="536">
        <f t="shared" si="4"/>
        <v>392167203.75999999</v>
      </c>
      <c r="AM22" s="556">
        <f t="shared" si="4"/>
        <v>37578885</v>
      </c>
      <c r="AN22" s="536">
        <f t="shared" si="4"/>
        <v>59581064.040000007</v>
      </c>
      <c r="AO22" s="556">
        <f t="shared" si="4"/>
        <v>269633760.58999997</v>
      </c>
      <c r="AP22" s="556">
        <f t="shared" si="4"/>
        <v>25373494.129999999</v>
      </c>
      <c r="AQ22" s="536"/>
      <c r="AR22" s="557">
        <f t="shared" si="9"/>
        <v>50426543.089999996</v>
      </c>
      <c r="AS22" s="557">
        <f>'Проверочная  таблица'!Q24+'Проверочная  таблица'!AG24+'Проверочная  таблица'!I24</f>
        <v>33669397</v>
      </c>
      <c r="AT22" s="556">
        <f>'Проверочная  таблица'!UW24+'Проверочная  таблица'!CC24+'Проверочная  таблица'!BO24+'Проверочная  таблица'!BF24+'Проверочная  таблица'!NM24+'Проверочная  таблица'!JS24+'Проверочная  таблица'!OV24+'Проверочная  таблица'!AX24+'Проверочная  таблица'!FC24+'Проверочная  таблица'!DE24+'Проверочная  таблица'!QC24+'Проверочная  таблица'!TK24+'Проверочная  таблица'!LZ24+'Проверочная  таблица'!KW24+'Проверочная  таблица'!RG24+'Проверочная  таблица'!HS24+'Проверочная  таблица'!GX24+'Проверочная  таблица'!GG24+'Проверочная  таблица'!IQ24</f>
        <v>10109404.220000001</v>
      </c>
      <c r="AU22" s="558">
        <f>'Проверочная  таблица'!VO24</f>
        <v>961065.50000000012</v>
      </c>
      <c r="AV22" s="565">
        <f>'Проверочная  таблица'!YX24+'Проверочная  таблица'!XP24</f>
        <v>5686676.3700000001</v>
      </c>
      <c r="AW22" s="566"/>
      <c r="AX22" s="560">
        <f t="shared" si="5"/>
        <v>50426543.089999996</v>
      </c>
      <c r="AY22" s="561">
        <f t="shared" si="6"/>
        <v>33669397</v>
      </c>
      <c r="AZ22" s="560">
        <f t="shared" si="6"/>
        <v>10109404.220000001</v>
      </c>
      <c r="BA22" s="561">
        <f t="shared" si="6"/>
        <v>961065.50000000012</v>
      </c>
      <c r="BB22" s="560">
        <f t="shared" si="6"/>
        <v>5686676.3700000001</v>
      </c>
      <c r="BC22" s="567"/>
      <c r="BD22" s="568">
        <f t="shared" si="7"/>
        <v>0</v>
      </c>
      <c r="BE22" s="560">
        <f>'Проверочная  таблица'!M24+'Проверочная  таблица'!U24+'Проверочная  таблица'!AM24</f>
        <v>0</v>
      </c>
      <c r="BF22" s="541">
        <f>'Проверочная  таблица'!BS24+'Проверочная  таблица'!CG24+'Проверочная  таблица'!BK24+'Проверочная  таблица'!VA24+'Проверочная  таблица'!NY24+'Проверочная  таблица'!KE24+'Проверочная  таблица'!PL24+'Проверочная  таблица'!FO24+'Проверочная  таблица'!DK24+'Проверочная  таблица'!QO24+'Проверочная  таблица'!UM24+'Проверочная  таблица'!MP24+'Проверочная  таблица'!LK24+'Проверочная  таблица'!RS24+'Проверочная  таблица'!IE24+'Проверочная  таблица'!HC24+'Проверочная  таблица'!GM24+'Проверочная  таблица'!IW24</f>
        <v>0</v>
      </c>
      <c r="BG22" s="569"/>
      <c r="BH22" s="570">
        <f>'Проверочная  таблица'!ZV24+'Проверочная  таблица'!XU24</f>
        <v>0</v>
      </c>
      <c r="BI22" s="562"/>
      <c r="BK22" s="1138">
        <f t="shared" si="10"/>
        <v>559668.57235000003</v>
      </c>
      <c r="BL22" s="1138">
        <f t="shared" si="11"/>
        <v>542078.29414000001</v>
      </c>
      <c r="BM22" s="1138">
        <f t="shared" si="12"/>
        <v>17369.901249999999</v>
      </c>
      <c r="BN22" s="1138">
        <f t="shared" si="13"/>
        <v>220.37696</v>
      </c>
    </row>
    <row r="23" spans="1:66" ht="21.75" customHeight="1" x14ac:dyDescent="0.25">
      <c r="A23" s="571" t="s">
        <v>329</v>
      </c>
      <c r="B23" s="552">
        <f>'Проверочная  таблица'!B25</f>
        <v>2142474190.4899998</v>
      </c>
      <c r="C23" s="553">
        <f>'Проверочная  таблица'!D25</f>
        <v>133814905.73</v>
      </c>
      <c r="D23" s="554">
        <f>'Проверочная  таблица'!AN25</f>
        <v>940043444.13999999</v>
      </c>
      <c r="E23" s="552">
        <f>'Проверочная  таблица'!VB25</f>
        <v>939079888.56000006</v>
      </c>
      <c r="F23" s="555">
        <f>'Проверочная  таблица'!WJ25</f>
        <v>129535952.06</v>
      </c>
      <c r="G23" s="555"/>
      <c r="H23" s="536">
        <f t="shared" si="0"/>
        <v>1982273416.1099997</v>
      </c>
      <c r="I23" s="556">
        <f t="shared" si="0"/>
        <v>65594007</v>
      </c>
      <c r="J23" s="536">
        <f t="shared" si="0"/>
        <v>899794351.43999994</v>
      </c>
      <c r="K23" s="556">
        <f t="shared" si="0"/>
        <v>934172888.56000006</v>
      </c>
      <c r="L23" s="556">
        <f t="shared" si="0"/>
        <v>82712169.110000014</v>
      </c>
      <c r="M23" s="536"/>
      <c r="N23" s="557">
        <f t="shared" si="8"/>
        <v>160200774.38</v>
      </c>
      <c r="O23" s="556">
        <f>'Проверочная  таблица'!P25+'Проверочная  таблица'!AD25+'Проверочная  таблица'!H25</f>
        <v>68220898.730000004</v>
      </c>
      <c r="P23" s="536">
        <f>'Проверочная  таблица'!BD25+'Проверочная  таблица'!BN25+'Проверочная  таблица'!CB25+'Проверочная  таблица'!NJ25+'Проверочная  таблица'!OR25+'Проверочная  таблица'!JP25+'Проверочная  таблица'!UV25+'Проверочная  таблица'!AV25+'Проверочная  таблица'!EZ25+'Проверочная  таблица'!DB25+'Проверочная  таблица'!PZ25+'Проверочная  таблица'!TD25+'Проверочная  таблица'!LV25+'Проверочная  таблица'!KR25+'Проверочная  таблица'!RD25+'Проверочная  таблица'!HP25+'Проверочная  таблица'!GV25+'Проверочная  таблица'!GD25+'Проверочная  таблица'!IN25</f>
        <v>40249092.700000003</v>
      </c>
      <c r="Q23" s="557">
        <f>'Проверочная  таблица'!VN25</f>
        <v>4907000</v>
      </c>
      <c r="R23" s="552">
        <f>'Проверочная  таблица'!YR25+'Проверочная  таблица'!XN25</f>
        <v>46823782.949999996</v>
      </c>
      <c r="S23" s="558"/>
      <c r="T23" s="559">
        <f t="shared" si="1"/>
        <v>156526053.74000001</v>
      </c>
      <c r="U23" s="559">
        <f t="shared" si="2"/>
        <v>68220898.730000004</v>
      </c>
      <c r="V23" s="560">
        <f t="shared" si="2"/>
        <v>36574372.060000002</v>
      </c>
      <c r="W23" s="561">
        <f t="shared" si="2"/>
        <v>4907000</v>
      </c>
      <c r="X23" s="560">
        <f t="shared" si="2"/>
        <v>46823782.949999996</v>
      </c>
      <c r="Y23" s="562"/>
      <c r="Z23" s="561">
        <f t="shared" si="3"/>
        <v>3674720.64</v>
      </c>
      <c r="AA23" s="559">
        <f>'Проверочная  таблица'!AL25+'Проверочная  таблица'!T25+'Проверочная  таблица'!L25</f>
        <v>0</v>
      </c>
      <c r="AB23" s="539">
        <f>'Проверочная  таблица'!BR25+'Проверочная  таблица'!CF25+'Проверочная  таблица'!BJ25+'Проверочная  таблица'!UZ25+'Проверочная  таблица'!NV25+'Проверочная  таблица'!KB25+'Проверочная  таблица'!PH25+'Проверочная  таблица'!FL25+'Проверочная  таблица'!DJ25+'Проверочная  таблица'!QL25+'Проверочная  таблица'!UF25+'Проверочная  таблица'!ML25+'Проверочная  таблица'!LH25+'Проверочная  таблица'!RP25+'Проверочная  таблица'!IB25+'Проверочная  таблица'!HB25+'Проверочная  таблица'!GL25+'Проверочная  таблица'!IV25</f>
        <v>3674720.64</v>
      </c>
      <c r="AC23" s="561"/>
      <c r="AD23" s="563">
        <f>'Проверочная  таблица'!ZP25+'Проверочная  таблица'!XT25</f>
        <v>0</v>
      </c>
      <c r="AE23" s="558"/>
      <c r="AF23" s="555">
        <f>'Проверочная  таблица'!C25</f>
        <v>1354729602.4699998</v>
      </c>
      <c r="AG23" s="553">
        <f>'Проверочная  таблица'!E25</f>
        <v>104918158</v>
      </c>
      <c r="AH23" s="554">
        <f>'Проверочная  таблица'!AO25</f>
        <v>331809159.80000001</v>
      </c>
      <c r="AI23" s="552">
        <f>'Проверочная  таблица'!VE25</f>
        <v>878800349.83999991</v>
      </c>
      <c r="AJ23" s="558">
        <f>'Проверочная  таблица'!WK25</f>
        <v>39201934.829999998</v>
      </c>
      <c r="AK23" s="555"/>
      <c r="AL23" s="536">
        <f t="shared" si="4"/>
        <v>1264920092.9599998</v>
      </c>
      <c r="AM23" s="556">
        <f t="shared" si="4"/>
        <v>49476500</v>
      </c>
      <c r="AN23" s="536">
        <f t="shared" si="4"/>
        <v>306947094.94</v>
      </c>
      <c r="AO23" s="556">
        <f t="shared" si="4"/>
        <v>876053446.32999992</v>
      </c>
      <c r="AP23" s="556">
        <f t="shared" si="4"/>
        <v>32443051.689999998</v>
      </c>
      <c r="AQ23" s="536"/>
      <c r="AR23" s="557">
        <f t="shared" si="9"/>
        <v>89809509.510000005</v>
      </c>
      <c r="AS23" s="557">
        <f>'Проверочная  таблица'!Q25+'Проверочная  таблица'!AG25+'Проверочная  таблица'!I25</f>
        <v>55441658</v>
      </c>
      <c r="AT23" s="556">
        <f>'Проверочная  таблица'!UW25+'Проверочная  таблица'!CC25+'Проверочная  таблица'!BO25+'Проверочная  таблица'!BF25+'Проверочная  таблица'!NM25+'Проверочная  таблица'!JS25+'Проверочная  таблица'!OV25+'Проверочная  таблица'!AX25+'Проверочная  таблица'!FC25+'Проверочная  таблица'!DE25+'Проверочная  таблица'!QC25+'Проверочная  таблица'!TK25+'Проверочная  таблица'!LZ25+'Проверочная  таблица'!KW25+'Проверочная  таблица'!RG25+'Проверочная  таблица'!HS25+'Проверочная  таблица'!GX25+'Проверочная  таблица'!GG25+'Проверочная  таблица'!IQ25</f>
        <v>24862064.859999999</v>
      </c>
      <c r="AU23" s="558">
        <f>'Проверочная  таблица'!VO25</f>
        <v>2746903.5100000002</v>
      </c>
      <c r="AV23" s="565">
        <f>'Проверочная  таблица'!YX25+'Проверочная  таблица'!XP25</f>
        <v>6758883.1400000015</v>
      </c>
      <c r="AW23" s="566"/>
      <c r="AX23" s="560">
        <f t="shared" si="5"/>
        <v>89809509.510000005</v>
      </c>
      <c r="AY23" s="561">
        <f t="shared" si="6"/>
        <v>55441658</v>
      </c>
      <c r="AZ23" s="560">
        <f t="shared" si="6"/>
        <v>24862064.859999999</v>
      </c>
      <c r="BA23" s="561">
        <f t="shared" si="6"/>
        <v>2746903.5100000002</v>
      </c>
      <c r="BB23" s="560">
        <f t="shared" si="6"/>
        <v>6758883.1400000015</v>
      </c>
      <c r="BC23" s="567"/>
      <c r="BD23" s="568">
        <f t="shared" si="7"/>
        <v>0</v>
      </c>
      <c r="BE23" s="560">
        <f>'Проверочная  таблица'!M25+'Проверочная  таблица'!U25+'Проверочная  таблица'!AM25</f>
        <v>0</v>
      </c>
      <c r="BF23" s="541">
        <f>'Проверочная  таблица'!BS25+'Проверочная  таблица'!CG25+'Проверочная  таблица'!BK25+'Проверочная  таблица'!VA25+'Проверочная  таблица'!NY25+'Проверочная  таблица'!KE25+'Проверочная  таблица'!PL25+'Проверочная  таблица'!FO25+'Проверочная  таблица'!DK25+'Проверочная  таблица'!QO25+'Проверочная  таблица'!UM25+'Проверочная  таблица'!MP25+'Проверочная  таблица'!LK25+'Проверочная  таблица'!RS25+'Проверочная  таблица'!IE25+'Проверочная  таблица'!HC25+'Проверочная  таблица'!GM25+'Проверочная  таблица'!IW25</f>
        <v>0</v>
      </c>
      <c r="BG23" s="569"/>
      <c r="BH23" s="570">
        <f>'Проверочная  таблица'!ZV25+'Проверочная  таблица'!XU25</f>
        <v>0</v>
      </c>
      <c r="BI23" s="562"/>
      <c r="BK23" s="1138">
        <f t="shared" si="10"/>
        <v>2008659.28476</v>
      </c>
      <c r="BL23" s="1138">
        <f t="shared" si="11"/>
        <v>1916679.4091100001</v>
      </c>
      <c r="BM23" s="1138">
        <f t="shared" si="12"/>
        <v>88305.155009999988</v>
      </c>
      <c r="BN23" s="1138">
        <f t="shared" si="13"/>
        <v>3674.72064</v>
      </c>
    </row>
    <row r="24" spans="1:66" ht="21.75" customHeight="1" x14ac:dyDescent="0.25">
      <c r="A24" s="575" t="s">
        <v>330</v>
      </c>
      <c r="B24" s="552">
        <f>'Проверочная  таблица'!B15</f>
        <v>630826662.04000008</v>
      </c>
      <c r="C24" s="553">
        <f>'Проверочная  таблица'!D15</f>
        <v>91097006</v>
      </c>
      <c r="D24" s="554">
        <f>'Проверочная  таблица'!AN15</f>
        <v>156003722.79000002</v>
      </c>
      <c r="E24" s="552">
        <f>'Проверочная  таблица'!VB15</f>
        <v>294852743.51000005</v>
      </c>
      <c r="F24" s="555">
        <f>'Проверочная  таблица'!WJ15</f>
        <v>88873189.74000001</v>
      </c>
      <c r="G24" s="555"/>
      <c r="H24" s="536">
        <f>B24-N24</f>
        <v>630747477.26000011</v>
      </c>
      <c r="I24" s="556">
        <f>C24-O24</f>
        <v>91097006</v>
      </c>
      <c r="J24" s="536">
        <f>D24-P24</f>
        <v>155991942.79000002</v>
      </c>
      <c r="K24" s="556">
        <f>E24-Q24</f>
        <v>294852743.51000005</v>
      </c>
      <c r="L24" s="556">
        <f>F24-R24</f>
        <v>88805784.960000008</v>
      </c>
      <c r="M24" s="536"/>
      <c r="N24" s="557">
        <f>SUM(O24:S24)</f>
        <v>79184.78</v>
      </c>
      <c r="O24" s="556">
        <f>'Проверочная  таблица'!P15+'Проверочная  таблица'!AD15+'Проверочная  таблица'!H15</f>
        <v>0</v>
      </c>
      <c r="P24" s="536">
        <f>'Проверочная  таблица'!BD15+'Проверочная  таблица'!BN15+'Проверочная  таблица'!CB15+'Проверочная  таблица'!NJ15+'Проверочная  таблица'!OR15+'Проверочная  таблица'!JP15+'Проверочная  таблица'!UV15+'Проверочная  таблица'!AV15+'Проверочная  таблица'!EZ15+'Проверочная  таблица'!DB15+'Проверочная  таблица'!PZ15+'Проверочная  таблица'!TD15+'Проверочная  таблица'!LV15+'Проверочная  таблица'!KR15+'Проверочная  таблица'!RD15+'Проверочная  таблица'!HP15+'Проверочная  таблица'!GV15+'Проверочная  таблица'!GD15+'Проверочная  таблица'!IN15</f>
        <v>11780</v>
      </c>
      <c r="Q24" s="557">
        <f>'Проверочная  таблица'!VN15</f>
        <v>0</v>
      </c>
      <c r="R24" s="552">
        <f>'Проверочная  таблица'!YR15+'Проверочная  таблица'!XN15</f>
        <v>67404.78</v>
      </c>
      <c r="S24" s="573"/>
      <c r="T24" s="559">
        <f>SUM(U24:Y24)</f>
        <v>-131713.75</v>
      </c>
      <c r="U24" s="559">
        <f>O24-AA24</f>
        <v>0</v>
      </c>
      <c r="V24" s="560">
        <f>P24-AB24</f>
        <v>-199118.53</v>
      </c>
      <c r="W24" s="561">
        <f>Q24-AC24</f>
        <v>0</v>
      </c>
      <c r="X24" s="560">
        <f>R24-AD24</f>
        <v>67404.78</v>
      </c>
      <c r="Y24" s="562"/>
      <c r="Z24" s="561">
        <f>SUM(AA24:AE24)</f>
        <v>210898.53</v>
      </c>
      <c r="AA24" s="559">
        <f>'Проверочная  таблица'!AL15+'Проверочная  таблица'!T15+'Проверочная  таблица'!L15</f>
        <v>0</v>
      </c>
      <c r="AB24" s="539">
        <f>'Проверочная  таблица'!BR15+'Проверочная  таблица'!CF15+'Проверочная  таблица'!BJ15+'Проверочная  таблица'!UZ15+'Проверочная  таблица'!NV15+'Проверочная  таблица'!KB15+'Проверочная  таблица'!PH15+'Проверочная  таблица'!FL15+'Проверочная  таблица'!DJ15+'Проверочная  таблица'!QL15+'Проверочная  таблица'!UF15+'Проверочная  таблица'!ML15+'Проверочная  таблица'!LH15+'Проверочная  таблица'!RP15+'Проверочная  таблица'!IB15+'Проверочная  таблица'!HB15+'Проверочная  таблица'!GL15+'Проверочная  таблица'!IV15</f>
        <v>210898.53</v>
      </c>
      <c r="AC24" s="561"/>
      <c r="AD24" s="563">
        <f>'Проверочная  таблица'!ZP15+'Проверочная  таблица'!XT15</f>
        <v>0</v>
      </c>
      <c r="AE24" s="573"/>
      <c r="AF24" s="555">
        <f>'Проверочная  таблица'!C15</f>
        <v>400167587.78000003</v>
      </c>
      <c r="AG24" s="553">
        <f>'Проверочная  таблица'!E15</f>
        <v>70428000</v>
      </c>
      <c r="AH24" s="554">
        <f>'Проверочная  таблица'!AO15</f>
        <v>68684964.069999993</v>
      </c>
      <c r="AI24" s="552">
        <f>'Проверочная  таблица'!VE15</f>
        <v>219181850.96000001</v>
      </c>
      <c r="AJ24" s="558">
        <f>'Проверочная  таблица'!WK15</f>
        <v>41872772.75</v>
      </c>
      <c r="AK24" s="555"/>
      <c r="AL24" s="536">
        <f>AF24-AR24</f>
        <v>400167587.78000003</v>
      </c>
      <c r="AM24" s="556">
        <f>AG24-AS24</f>
        <v>70428000</v>
      </c>
      <c r="AN24" s="536">
        <f>AH24-AT24</f>
        <v>68684964.069999993</v>
      </c>
      <c r="AO24" s="556">
        <f>AI24-AU24</f>
        <v>219181850.96000001</v>
      </c>
      <c r="AP24" s="556">
        <f>AJ24-AV24</f>
        <v>41872772.75</v>
      </c>
      <c r="AQ24" s="536"/>
      <c r="AR24" s="557">
        <f>SUM(AS24:AW24)</f>
        <v>0</v>
      </c>
      <c r="AS24" s="557">
        <f>'Проверочная  таблица'!Q15+'Проверочная  таблица'!AG15+'Проверочная  таблица'!I15</f>
        <v>0</v>
      </c>
      <c r="AT24" s="556">
        <f>'Проверочная  таблица'!UW15+'Проверочная  таблица'!CC15+'Проверочная  таблица'!BO15+'Проверочная  таблица'!BF15+'Проверочная  таблица'!NM15+'Проверочная  таблица'!JS15+'Проверочная  таблица'!OV15+'Проверочная  таблица'!AX15+'Проверочная  таблица'!FC15+'Проверочная  таблица'!DE15+'Проверочная  таблица'!QC15+'Проверочная  таблица'!TK15+'Проверочная  таблица'!LZ15+'Проверочная  таблица'!KW15+'Проверочная  таблица'!RG15+'Проверочная  таблица'!HS15+'Проверочная  таблица'!GX15+'Проверочная  таблица'!GG15+'Проверочная  таблица'!IQ15</f>
        <v>0</v>
      </c>
      <c r="AU24" s="558">
        <f>'Проверочная  таблица'!VO15</f>
        <v>0</v>
      </c>
      <c r="AV24" s="565">
        <f>'Проверочная  таблица'!YX15+'Проверочная  таблица'!XP15</f>
        <v>0</v>
      </c>
      <c r="AW24" s="574"/>
      <c r="AX24" s="560">
        <f>SUM(AY24:BC24)</f>
        <v>0</v>
      </c>
      <c r="AY24" s="561">
        <f>AS24-BE24</f>
        <v>0</v>
      </c>
      <c r="AZ24" s="560">
        <f>AT24-BF24</f>
        <v>0</v>
      </c>
      <c r="BA24" s="561">
        <f>AU24-BG24</f>
        <v>0</v>
      </c>
      <c r="BB24" s="560">
        <f>AV24-BH24</f>
        <v>0</v>
      </c>
      <c r="BC24" s="567"/>
      <c r="BD24" s="568">
        <f>SUM(BE24:BI24)</f>
        <v>0</v>
      </c>
      <c r="BE24" s="560">
        <f>'Проверочная  таблица'!M15+'Проверочная  таблица'!U15+'Проверочная  таблица'!AM15</f>
        <v>0</v>
      </c>
      <c r="BF24" s="541">
        <f>'Проверочная  таблица'!BS15+'Проверочная  таблица'!CG15+'Проверочная  таблица'!BK15+'Проверочная  таблица'!VA15+'Проверочная  таблица'!NY15+'Проверочная  таблица'!KE15+'Проверочная  таблица'!PL15+'Проверочная  таблица'!FO15+'Проверочная  таблица'!DK15+'Проверочная  таблица'!QO15+'Проверочная  таблица'!UM15+'Проверочная  таблица'!MP15+'Проверочная  таблица'!LK15+'Проверочная  таблица'!RS15+'Проверочная  таблица'!IE15+'Проверочная  таблица'!HC15+'Проверочная  таблица'!GM15+'Проверочная  таблица'!IW15</f>
        <v>0</v>
      </c>
      <c r="BG24" s="569"/>
      <c r="BH24" s="570">
        <f>'Проверочная  таблица'!ZV15+'Проверочная  таблица'!XU15</f>
        <v>0</v>
      </c>
      <c r="BI24" s="562"/>
      <c r="BK24" s="1138">
        <f>SUM(D24:F24)/1000</f>
        <v>539729.65604000003</v>
      </c>
      <c r="BL24" s="1138">
        <f>SUM(J24:L24)/1000</f>
        <v>539650.47126000014</v>
      </c>
      <c r="BM24" s="1138">
        <f>SUM(V24:X24)/1000</f>
        <v>-131.71375</v>
      </c>
      <c r="BN24" s="1138">
        <f>SUM(AB24:AD24)/1000</f>
        <v>210.89852999999999</v>
      </c>
    </row>
    <row r="25" spans="1:66" ht="21.75" customHeight="1" x14ac:dyDescent="0.25">
      <c r="A25" s="571" t="s">
        <v>331</v>
      </c>
      <c r="B25" s="552">
        <f>'Проверочная  таблица'!B26</f>
        <v>755407590.88999999</v>
      </c>
      <c r="C25" s="553">
        <f>'Проверочная  таблица'!D26</f>
        <v>91725904.609999999</v>
      </c>
      <c r="D25" s="554">
        <f>'Проверочная  таблица'!AN26</f>
        <v>141944415.34999999</v>
      </c>
      <c r="E25" s="552">
        <f>'Проверочная  таблица'!VB26</f>
        <v>408202790.3499999</v>
      </c>
      <c r="F25" s="555">
        <f>'Проверочная  таблица'!WJ26</f>
        <v>113534480.58</v>
      </c>
      <c r="G25" s="555"/>
      <c r="H25" s="536">
        <f t="shared" si="0"/>
        <v>681604723.39999998</v>
      </c>
      <c r="I25" s="556">
        <f t="shared" si="0"/>
        <v>37951869</v>
      </c>
      <c r="J25" s="536">
        <f t="shared" si="0"/>
        <v>131818940.73999999</v>
      </c>
      <c r="K25" s="556">
        <f t="shared" si="0"/>
        <v>406084090.3499999</v>
      </c>
      <c r="L25" s="556">
        <f t="shared" si="0"/>
        <v>105749823.31</v>
      </c>
      <c r="M25" s="536"/>
      <c r="N25" s="557">
        <f t="shared" si="8"/>
        <v>73802867.489999995</v>
      </c>
      <c r="O25" s="556">
        <f>'Проверочная  таблица'!P26+'Проверочная  таблица'!AD26+'Проверочная  таблица'!H26</f>
        <v>53774035.609999999</v>
      </c>
      <c r="P25" s="536">
        <f>'Проверочная  таблица'!BD26+'Проверочная  таблица'!BN26+'Проверочная  таблица'!CB26+'Проверочная  таблица'!NJ26+'Проверочная  таблица'!OR26+'Проверочная  таблица'!JP26+'Проверочная  таблица'!UV26+'Проверочная  таблица'!AV26+'Проверочная  таблица'!EZ26+'Проверочная  таблица'!DB26+'Проверочная  таблица'!PZ26+'Проверочная  таблица'!TD26+'Проверочная  таблица'!LV26+'Проверочная  таблица'!KR26+'Проверочная  таблица'!RD26+'Проверочная  таблица'!HP26+'Проверочная  таблица'!GV26+'Проверочная  таблица'!GD26+'Проверочная  таблица'!IN26</f>
        <v>10125474.609999999</v>
      </c>
      <c r="Q25" s="557">
        <f>'Проверочная  таблица'!VN26</f>
        <v>2118700</v>
      </c>
      <c r="R25" s="552">
        <f>'Проверочная  таблица'!YR26+'Проверочная  таблица'!XN26</f>
        <v>7784657.2699999996</v>
      </c>
      <c r="S25" s="558"/>
      <c r="T25" s="559">
        <f t="shared" si="1"/>
        <v>73506830.060000002</v>
      </c>
      <c r="U25" s="559">
        <f t="shared" si="2"/>
        <v>53774035.609999999</v>
      </c>
      <c r="V25" s="560">
        <f t="shared" si="2"/>
        <v>9829437.1799999997</v>
      </c>
      <c r="W25" s="561">
        <f t="shared" si="2"/>
        <v>2118700</v>
      </c>
      <c r="X25" s="560">
        <f t="shared" si="2"/>
        <v>7784657.2699999996</v>
      </c>
      <c r="Y25" s="562"/>
      <c r="Z25" s="561">
        <f t="shared" si="3"/>
        <v>296037.43</v>
      </c>
      <c r="AA25" s="559">
        <f>'Проверочная  таблица'!AL26+'Проверочная  таблица'!T26+'Проверочная  таблица'!L26</f>
        <v>0</v>
      </c>
      <c r="AB25" s="539">
        <f>'Проверочная  таблица'!BR26+'Проверочная  таблица'!CF26+'Проверочная  таблица'!BJ26+'Проверочная  таблица'!UZ26+'Проверочная  таблица'!NV26+'Проверочная  таблица'!KB26+'Проверочная  таблица'!PH26+'Проверочная  таблица'!FL26+'Проверочная  таблица'!DJ26+'Проверочная  таблица'!QL26+'Проверочная  таблица'!UF26+'Проверочная  таблица'!ML26+'Проверочная  таблица'!LH26+'Проверочная  таблица'!RP26+'Проверочная  таблица'!IB26+'Проверочная  таблица'!HB26+'Проверочная  таблица'!GL26+'Проверочная  таблица'!IV26</f>
        <v>296037.43</v>
      </c>
      <c r="AC25" s="561"/>
      <c r="AD25" s="563">
        <f>'Проверочная  таблица'!ZP26+'Проверочная  таблица'!XT26</f>
        <v>0</v>
      </c>
      <c r="AE25" s="564"/>
      <c r="AF25" s="555">
        <f>'Проверочная  таблица'!C26</f>
        <v>504139091.08000004</v>
      </c>
      <c r="AG25" s="553">
        <f>'Проверочная  таблица'!E26</f>
        <v>71239819.609999999</v>
      </c>
      <c r="AH25" s="554">
        <f>'Проверочная  таблица'!AO26</f>
        <v>56482161.530000001</v>
      </c>
      <c r="AI25" s="552">
        <f>'Проверочная  таблица'!VE26</f>
        <v>306715255.31</v>
      </c>
      <c r="AJ25" s="558">
        <f>'Проверочная  таблица'!WK26</f>
        <v>69701854.629999995</v>
      </c>
      <c r="AK25" s="555"/>
      <c r="AL25" s="536">
        <f t="shared" si="4"/>
        <v>450438763.75000006</v>
      </c>
      <c r="AM25" s="556">
        <f t="shared" si="4"/>
        <v>28738901</v>
      </c>
      <c r="AN25" s="536">
        <f t="shared" si="4"/>
        <v>52784179.230000004</v>
      </c>
      <c r="AO25" s="556">
        <f t="shared" si="4"/>
        <v>305292045.69999999</v>
      </c>
      <c r="AP25" s="556">
        <f t="shared" si="4"/>
        <v>63623637.819999993</v>
      </c>
      <c r="AQ25" s="536"/>
      <c r="AR25" s="557">
        <f t="shared" si="9"/>
        <v>53700327.329999998</v>
      </c>
      <c r="AS25" s="557">
        <f>'Проверочная  таблица'!Q26+'Проверочная  таблица'!AG26+'Проверочная  таблица'!I26</f>
        <v>42500918.609999999</v>
      </c>
      <c r="AT25" s="556">
        <f>'Проверочная  таблица'!UW26+'Проверочная  таблица'!CC26+'Проверочная  таблица'!BO26+'Проверочная  таблица'!BF26+'Проверочная  таблица'!NM26+'Проверочная  таблица'!JS26+'Проверочная  таблица'!OV26+'Проверочная  таблица'!AX26+'Проверочная  таблица'!FC26+'Проверочная  таблица'!DE26+'Проверочная  таблица'!QC26+'Проверочная  таблица'!TK26+'Проверочная  таблица'!LZ26+'Проверочная  таблица'!KW26+'Проверочная  таблица'!RG26+'Проверочная  таблица'!HS26+'Проверочная  таблица'!GX26+'Проверочная  таблица'!GG26+'Проверочная  таблица'!IQ26</f>
        <v>3697982.3</v>
      </c>
      <c r="AU25" s="558">
        <f>'Проверочная  таблица'!VO26</f>
        <v>1423209.6099999999</v>
      </c>
      <c r="AV25" s="565">
        <f>'Проверочная  таблица'!YX26+'Проверочная  таблица'!XP26</f>
        <v>6078216.8100000005</v>
      </c>
      <c r="AW25" s="566"/>
      <c r="AX25" s="560">
        <f t="shared" si="5"/>
        <v>53700327.329999998</v>
      </c>
      <c r="AY25" s="561">
        <f t="shared" si="6"/>
        <v>42500918.609999999</v>
      </c>
      <c r="AZ25" s="560">
        <f t="shared" si="6"/>
        <v>3697982.3</v>
      </c>
      <c r="BA25" s="561">
        <f t="shared" si="6"/>
        <v>1423209.6099999999</v>
      </c>
      <c r="BB25" s="560">
        <f t="shared" si="6"/>
        <v>6078216.8100000005</v>
      </c>
      <c r="BC25" s="567"/>
      <c r="BD25" s="568">
        <f t="shared" si="7"/>
        <v>0</v>
      </c>
      <c r="BE25" s="560">
        <f>'Проверочная  таблица'!M26+'Проверочная  таблица'!U26+'Проверочная  таблица'!AM26</f>
        <v>0</v>
      </c>
      <c r="BF25" s="541">
        <f>'Проверочная  таблица'!BS26+'Проверочная  таблица'!CG26+'Проверочная  таблица'!BK26+'Проверочная  таблица'!VA26+'Проверочная  таблица'!NY26+'Проверочная  таблица'!KE26+'Проверочная  таблица'!PL26+'Проверочная  таблица'!FO26+'Проверочная  таблица'!DK26+'Проверочная  таблица'!QO26+'Проверочная  таблица'!UM26+'Проверочная  таблица'!MP26+'Проверочная  таблица'!LK26+'Проверочная  таблица'!RS26+'Проверочная  таблица'!IE26+'Проверочная  таблица'!HC26+'Проверочная  таблица'!GM26+'Проверочная  таблица'!IW26</f>
        <v>0</v>
      </c>
      <c r="BG25" s="569"/>
      <c r="BH25" s="570">
        <f>'Проверочная  таблица'!ZV26+'Проверочная  таблица'!XU26</f>
        <v>0</v>
      </c>
      <c r="BI25" s="562"/>
      <c r="BK25" s="1138">
        <f t="shared" si="10"/>
        <v>663681.68628000002</v>
      </c>
      <c r="BL25" s="1138">
        <f t="shared" si="11"/>
        <v>643652.85439999984</v>
      </c>
      <c r="BM25" s="1138">
        <f t="shared" si="12"/>
        <v>19732.794449999998</v>
      </c>
      <c r="BN25" s="1138">
        <f t="shared" si="13"/>
        <v>296.03742999999997</v>
      </c>
    </row>
    <row r="26" spans="1:66" ht="21.75" customHeight="1" x14ac:dyDescent="0.25">
      <c r="A26" s="551" t="s">
        <v>332</v>
      </c>
      <c r="B26" s="552">
        <f>'Проверочная  таблица'!B27</f>
        <v>1597883920.78</v>
      </c>
      <c r="C26" s="553">
        <f>'Проверочная  таблица'!D27</f>
        <v>281259215.65999997</v>
      </c>
      <c r="D26" s="554">
        <f>'Проверочная  таблица'!AN27</f>
        <v>453251010.35999995</v>
      </c>
      <c r="E26" s="552">
        <f>'Проверочная  таблица'!VB27</f>
        <v>652802230.45000005</v>
      </c>
      <c r="F26" s="555">
        <f>'Проверочная  таблица'!WJ27</f>
        <v>210571464.31</v>
      </c>
      <c r="G26" s="555"/>
      <c r="H26" s="536">
        <f t="shared" si="0"/>
        <v>1149817349.9099998</v>
      </c>
      <c r="I26" s="556">
        <f t="shared" si="0"/>
        <v>96758881.99999997</v>
      </c>
      <c r="J26" s="536">
        <f t="shared" si="0"/>
        <v>283328491.04999995</v>
      </c>
      <c r="K26" s="556">
        <f t="shared" si="0"/>
        <v>648944130.45000005</v>
      </c>
      <c r="L26" s="556">
        <f t="shared" si="0"/>
        <v>120785846.41</v>
      </c>
      <c r="M26" s="536"/>
      <c r="N26" s="557">
        <f t="shared" si="8"/>
        <v>448066570.87</v>
      </c>
      <c r="O26" s="556">
        <f>'Проверочная  таблица'!P27+'Проверочная  таблица'!AD27+'Проверочная  таблица'!H27</f>
        <v>184500333.66</v>
      </c>
      <c r="P26" s="536">
        <f>'Проверочная  таблица'!BD27+'Проверочная  таблица'!BN27+'Проверочная  таблица'!CB27+'Проверочная  таблица'!NJ27+'Проверочная  таблица'!OR27+'Проверочная  таблица'!JP27+'Проверочная  таблица'!UV27+'Проверочная  таблица'!AV27+'Проверочная  таблица'!EZ27+'Проверочная  таблица'!DB27+'Проверочная  таблица'!PZ27+'Проверочная  таблица'!TD27+'Проверочная  таблица'!LV27+'Проверочная  таблица'!KR27+'Проверочная  таблица'!RD27+'Проверочная  таблица'!HP27+'Проверочная  таблица'!GV27+'Проверочная  таблица'!GD27+'Проверочная  таблица'!IN27</f>
        <v>169922519.31000003</v>
      </c>
      <c r="Q26" s="557">
        <f>'Проверочная  таблица'!VN27</f>
        <v>3858100</v>
      </c>
      <c r="R26" s="552">
        <f>'Проверочная  таблица'!YR27+'Проверочная  таблица'!XN27</f>
        <v>89785617.900000006</v>
      </c>
      <c r="S26" s="558"/>
      <c r="T26" s="576">
        <f t="shared" si="1"/>
        <v>258335778.77000001</v>
      </c>
      <c r="U26" s="576">
        <f t="shared" si="2"/>
        <v>126425155.16</v>
      </c>
      <c r="V26" s="577">
        <f t="shared" si="2"/>
        <v>48876752.24000001</v>
      </c>
      <c r="W26" s="569">
        <f t="shared" si="2"/>
        <v>3858100</v>
      </c>
      <c r="X26" s="577">
        <f t="shared" si="2"/>
        <v>79175771.370000005</v>
      </c>
      <c r="Y26" s="564"/>
      <c r="Z26" s="569">
        <f t="shared" si="3"/>
        <v>189730792.10000002</v>
      </c>
      <c r="AA26" s="576">
        <f>'Проверочная  таблица'!AL27+'Проверочная  таблица'!T27+'Проверочная  таблица'!L27</f>
        <v>58075178.5</v>
      </c>
      <c r="AB26" s="539">
        <f>'Проверочная  таблица'!BR27+'Проверочная  таблица'!CF27+'Проверочная  таблица'!BJ27+'Проверочная  таблица'!UZ27+'Проверочная  таблица'!NV27+'Проверочная  таблица'!KB27+'Проверочная  таблица'!PH27+'Проверочная  таблица'!FL27+'Проверочная  таблица'!DJ27+'Проверочная  таблица'!QL27+'Проверочная  таблица'!UF27+'Проверочная  таблица'!ML27+'Проверочная  таблица'!LH27+'Проверочная  таблица'!RP27+'Проверочная  таблица'!IB27+'Проверочная  таблица'!HB27+'Проверочная  таблица'!GL27+'Проверочная  таблица'!IV27</f>
        <v>121045767.07000002</v>
      </c>
      <c r="AC26" s="569"/>
      <c r="AD26" s="570">
        <f>'Проверочная  таблица'!ZP27+'Проверочная  таблица'!XT27</f>
        <v>10609846.529999999</v>
      </c>
      <c r="AE26" s="564"/>
      <c r="AF26" s="555">
        <f>'Проверочная  таблица'!C27</f>
        <v>1018398870.9899999</v>
      </c>
      <c r="AG26" s="553">
        <f>'Проверочная  таблица'!E27</f>
        <v>216590326.31999999</v>
      </c>
      <c r="AH26" s="554">
        <f>'Проверочная  таблица'!AO27</f>
        <v>144714040.28999999</v>
      </c>
      <c r="AI26" s="552">
        <f>'Проверочная  таблица'!VE27</f>
        <v>518175259.70999998</v>
      </c>
      <c r="AJ26" s="558">
        <f>'Проверочная  таблица'!WK27</f>
        <v>138919244.66999999</v>
      </c>
      <c r="AK26" s="555"/>
      <c r="AL26" s="536">
        <f t="shared" si="4"/>
        <v>756140900.18999994</v>
      </c>
      <c r="AM26" s="556">
        <f t="shared" si="4"/>
        <v>77109916</v>
      </c>
      <c r="AN26" s="536">
        <f t="shared" si="4"/>
        <v>85572337.069999993</v>
      </c>
      <c r="AO26" s="556">
        <f t="shared" si="4"/>
        <v>515281684.70999998</v>
      </c>
      <c r="AP26" s="556">
        <f t="shared" si="4"/>
        <v>78176962.409999996</v>
      </c>
      <c r="AQ26" s="536"/>
      <c r="AR26" s="557">
        <f t="shared" si="9"/>
        <v>262257970.79999998</v>
      </c>
      <c r="AS26" s="557">
        <f>'Проверочная  таблица'!Q27+'Проверочная  таблица'!AG27+'Проверочная  таблица'!I27</f>
        <v>139480410.31999999</v>
      </c>
      <c r="AT26" s="1267">
        <f>'Проверочная  таблица'!UW27+'Проверочная  таблица'!CC27+'Проверочная  таблица'!BO27+'Проверочная  таблица'!BF27+'Проверочная  таблица'!NM27+'Проверочная  таблица'!JS27+'Проверочная  таблица'!OV27+'Проверочная  таблица'!AX27+'Проверочная  таблица'!FC27+'Проверочная  таблица'!DE27+'Проверочная  таблица'!QC27+'Проверочная  таблица'!TK27+'Проверочная  таблица'!LZ27+'Проверочная  таблица'!KW27+'Проверочная  таблица'!RG27+'Проверочная  таблица'!HS27+'Проверочная  таблица'!GX27+'Проверочная  таблица'!GG27+'Проверочная  таблица'!IQ27</f>
        <v>59141703.219999999</v>
      </c>
      <c r="AU26" s="558">
        <f>'Проверочная  таблица'!VO27</f>
        <v>2893575</v>
      </c>
      <c r="AV26" s="565">
        <f>'Проверочная  таблица'!YX27+'Проверочная  таблица'!XP27</f>
        <v>60742282.25999999</v>
      </c>
      <c r="AW26" s="566"/>
      <c r="AX26" s="560">
        <f t="shared" si="5"/>
        <v>176100344.11999997</v>
      </c>
      <c r="AY26" s="561">
        <f t="shared" si="6"/>
        <v>97124028.319999993</v>
      </c>
      <c r="AZ26" s="560">
        <f t="shared" si="6"/>
        <v>25950305.07</v>
      </c>
      <c r="BA26" s="561">
        <f t="shared" si="6"/>
        <v>2893575</v>
      </c>
      <c r="BB26" s="560">
        <f t="shared" si="6"/>
        <v>50132435.729999989</v>
      </c>
      <c r="BC26" s="567"/>
      <c r="BD26" s="568">
        <f t="shared" si="7"/>
        <v>86157626.680000007</v>
      </c>
      <c r="BE26" s="560">
        <f>'Проверочная  таблица'!M27+'Проверочная  таблица'!U27+'Проверочная  таблица'!AM27</f>
        <v>42356382</v>
      </c>
      <c r="BF26" s="541">
        <f>'Проверочная  таблица'!BS27+'Проверочная  таблица'!CG27+'Проверочная  таблица'!BK27+'Проверочная  таблица'!VA27+'Проверочная  таблица'!NY27+'Проверочная  таблица'!KE27+'Проверочная  таблица'!PL27+'Проверочная  таблица'!FO27+'Проверочная  таблица'!DK27+'Проверочная  таблица'!QO27+'Проверочная  таблица'!UM27+'Проверочная  таблица'!MP27+'Проверочная  таблица'!LK27+'Проверочная  таблица'!RS27+'Проверочная  таблица'!IE27+'Проверочная  таблица'!HC27+'Проверочная  таблица'!GM27+'Проверочная  таблица'!IW27</f>
        <v>33191398.149999999</v>
      </c>
      <c r="BG26" s="569"/>
      <c r="BH26" s="570">
        <f>'Проверочная  таблица'!ZV27+'Проверочная  таблица'!XU27</f>
        <v>10609846.529999999</v>
      </c>
      <c r="BI26" s="564"/>
      <c r="BK26" s="1138">
        <f t="shared" si="10"/>
        <v>1316624.7051199998</v>
      </c>
      <c r="BL26" s="1138">
        <f t="shared" si="11"/>
        <v>1053058.4679099999</v>
      </c>
      <c r="BM26" s="1138">
        <f t="shared" si="12"/>
        <v>131910.62361000001</v>
      </c>
      <c r="BN26" s="1138">
        <f t="shared" si="13"/>
        <v>131655.61360000001</v>
      </c>
    </row>
    <row r="27" spans="1:66" ht="21.75" customHeight="1" x14ac:dyDescent="0.25">
      <c r="A27" s="551" t="s">
        <v>333</v>
      </c>
      <c r="B27" s="552">
        <f>'Проверочная  таблица'!B28</f>
        <v>942320322.16999984</v>
      </c>
      <c r="C27" s="553">
        <f>'Проверочная  таблица'!D28</f>
        <v>326214165.05000001</v>
      </c>
      <c r="D27" s="554">
        <f>'Проверочная  таблица'!AN28</f>
        <v>128221422.45999999</v>
      </c>
      <c r="E27" s="552">
        <f>'Проверочная  таблица'!VB28</f>
        <v>318925162.36999995</v>
      </c>
      <c r="F27" s="555">
        <f>'Проверочная  таблица'!WJ28</f>
        <v>168959572.28999999</v>
      </c>
      <c r="G27" s="555"/>
      <c r="H27" s="536">
        <f t="shared" ref="H27:L28" si="14">B27-N27</f>
        <v>846432205.0999999</v>
      </c>
      <c r="I27" s="556">
        <f t="shared" si="14"/>
        <v>245176839</v>
      </c>
      <c r="J27" s="536">
        <f t="shared" si="14"/>
        <v>119114922.53999999</v>
      </c>
      <c r="K27" s="556">
        <f t="shared" si="14"/>
        <v>317026662.36999995</v>
      </c>
      <c r="L27" s="556">
        <f t="shared" si="14"/>
        <v>165113781.19</v>
      </c>
      <c r="M27" s="536"/>
      <c r="N27" s="557">
        <f t="shared" si="8"/>
        <v>95888117.069999993</v>
      </c>
      <c r="O27" s="556">
        <f>'Проверочная  таблица'!P28+'Проверочная  таблица'!AD28+'Проверочная  таблица'!H28</f>
        <v>81037326.049999997</v>
      </c>
      <c r="P27" s="536">
        <f>'Проверочная  таблица'!BD28+'Проверочная  таблица'!BN28+'Проверочная  таблица'!CB28+'Проверочная  таблица'!NJ28+'Проверочная  таблица'!OR28+'Проверочная  таблица'!JP28+'Проверочная  таблица'!UV28+'Проверочная  таблица'!AV28+'Проверочная  таблица'!EZ28+'Проверочная  таблица'!DB28+'Проверочная  таблица'!PZ28+'Проверочная  таблица'!TD28+'Проверочная  таблица'!LV28+'Проверочная  таблица'!KR28+'Проверочная  таблица'!RD28+'Проверочная  таблица'!HP28+'Проверочная  таблица'!GV28+'Проверочная  таблица'!GD28+'Проверочная  таблица'!IN28</f>
        <v>9106499.9199999999</v>
      </c>
      <c r="Q27" s="557">
        <f>'Проверочная  таблица'!VN28</f>
        <v>1898500</v>
      </c>
      <c r="R27" s="552">
        <f>'Проверочная  таблица'!YR28+'Проверочная  таблица'!XN28</f>
        <v>3845791.1</v>
      </c>
      <c r="S27" s="558"/>
      <c r="T27" s="576">
        <f t="shared" si="1"/>
        <v>95694724.459999993</v>
      </c>
      <c r="U27" s="576">
        <f t="shared" ref="U27:X28" si="15">O27-AA27</f>
        <v>81037326.049999997</v>
      </c>
      <c r="V27" s="577">
        <f t="shared" si="15"/>
        <v>8913107.3100000005</v>
      </c>
      <c r="W27" s="569">
        <f t="shared" si="15"/>
        <v>1898500</v>
      </c>
      <c r="X27" s="577">
        <f t="shared" si="15"/>
        <v>3845791.1</v>
      </c>
      <c r="Y27" s="564"/>
      <c r="Z27" s="569">
        <f t="shared" si="3"/>
        <v>193392.61</v>
      </c>
      <c r="AA27" s="576">
        <f>'Проверочная  таблица'!AL28+'Проверочная  таблица'!T28+'Проверочная  таблица'!L28</f>
        <v>0</v>
      </c>
      <c r="AB27" s="539">
        <f>'Проверочная  таблица'!BR28+'Проверочная  таблица'!CF28+'Проверочная  таблица'!BJ28+'Проверочная  таблица'!UZ28+'Проверочная  таблица'!NV28+'Проверочная  таблица'!KB28+'Проверочная  таблица'!PH28+'Проверочная  таблица'!FL28+'Проверочная  таблица'!DJ28+'Проверочная  таблица'!QL28+'Проверочная  таблица'!UF28+'Проверочная  таблица'!ML28+'Проверочная  таблица'!LH28+'Проверочная  таблица'!RP28+'Проверочная  таблица'!IB28+'Проверочная  таблица'!HB28+'Проверочная  таблица'!GL28+'Проверочная  таблица'!IV28</f>
        <v>193392.61</v>
      </c>
      <c r="AC27" s="569"/>
      <c r="AD27" s="570">
        <f>'Проверочная  таблица'!ZP28+'Проверочная  таблица'!XT28</f>
        <v>0</v>
      </c>
      <c r="AE27" s="564"/>
      <c r="AF27" s="555">
        <f>'Проверочная  таблица'!C28</f>
        <v>651975964.28000009</v>
      </c>
      <c r="AG27" s="553">
        <f>'Проверочная  таблица'!E28</f>
        <v>253162460.16</v>
      </c>
      <c r="AH27" s="554">
        <f>'Проверочная  таблица'!AO28</f>
        <v>66636599.500000007</v>
      </c>
      <c r="AI27" s="552">
        <f>'Проверочная  таблица'!VE28</f>
        <v>258172005.65000001</v>
      </c>
      <c r="AJ27" s="558">
        <f>'Проверочная  таблица'!WK28</f>
        <v>74004898.969999999</v>
      </c>
      <c r="AK27" s="555"/>
      <c r="AL27" s="536">
        <f t="shared" ref="AL27:AP28" si="16">AF27-AR27</f>
        <v>568835166.16000009</v>
      </c>
      <c r="AM27" s="556">
        <f t="shared" si="16"/>
        <v>182767721</v>
      </c>
      <c r="AN27" s="536">
        <f t="shared" si="16"/>
        <v>58891334.930000007</v>
      </c>
      <c r="AO27" s="556">
        <f t="shared" si="16"/>
        <v>256949597.58000001</v>
      </c>
      <c r="AP27" s="556">
        <f t="shared" si="16"/>
        <v>70226512.650000006</v>
      </c>
      <c r="AQ27" s="536"/>
      <c r="AR27" s="557">
        <f t="shared" si="9"/>
        <v>83140798.119999975</v>
      </c>
      <c r="AS27" s="557">
        <f>'Проверочная  таблица'!Q28+'Проверочная  таблица'!AG28+'Проверочная  таблица'!I28</f>
        <v>70394739.159999996</v>
      </c>
      <c r="AT27" s="556">
        <f>'Проверочная  таблица'!UW28+'Проверочная  таблица'!CC28+'Проверочная  таблица'!BO28+'Проверочная  таблица'!BF28+'Проверочная  таблица'!NM28+'Проверочная  таблица'!JS28+'Проверочная  таблица'!OV28+'Проверочная  таблица'!AX28+'Проверочная  таблица'!FC28+'Проверочная  таблица'!DE28+'Проверочная  таблица'!QC28+'Проверочная  таблица'!TK28+'Проверочная  таблица'!LZ28+'Проверочная  таблица'!KW28+'Проверочная  таблица'!RG28+'Проверочная  таблица'!HS28+'Проверочная  таблица'!GX28+'Проверочная  таблица'!GG28+'Проверочная  таблица'!IQ28</f>
        <v>7745264.5700000003</v>
      </c>
      <c r="AU27" s="558">
        <f>'Проверочная  таблица'!VO28</f>
        <v>1222408.07</v>
      </c>
      <c r="AV27" s="565">
        <f>'Проверочная  таблица'!YX28+'Проверочная  таблица'!XP28</f>
        <v>3778386.3200000003</v>
      </c>
      <c r="AW27" s="566"/>
      <c r="AX27" s="560">
        <f t="shared" si="5"/>
        <v>83140798.119999975</v>
      </c>
      <c r="AY27" s="561">
        <f t="shared" ref="AY27:BB28" si="17">AS27-BE27</f>
        <v>70394739.159999996</v>
      </c>
      <c r="AZ27" s="560">
        <f t="shared" si="17"/>
        <v>7745264.5700000003</v>
      </c>
      <c r="BA27" s="561">
        <f t="shared" si="17"/>
        <v>1222408.07</v>
      </c>
      <c r="BB27" s="560">
        <f t="shared" si="17"/>
        <v>3778386.3200000003</v>
      </c>
      <c r="BC27" s="567"/>
      <c r="BD27" s="568">
        <f t="shared" si="7"/>
        <v>0</v>
      </c>
      <c r="BE27" s="560">
        <f>'Проверочная  таблица'!M28+'Проверочная  таблица'!U28+'Проверочная  таблица'!AM28</f>
        <v>0</v>
      </c>
      <c r="BF27" s="541">
        <f>'Проверочная  таблица'!BS28+'Проверочная  таблица'!CG28+'Проверочная  таблица'!BK28+'Проверочная  таблица'!VA28+'Проверочная  таблица'!NY28+'Проверочная  таблица'!KE28+'Проверочная  таблица'!PL28+'Проверочная  таблица'!FO28+'Проверочная  таблица'!DK28+'Проверочная  таблица'!QO28+'Проверочная  таблица'!UM28+'Проверочная  таблица'!MP28+'Проверочная  таблица'!LK28+'Проверочная  таблица'!RS28+'Проверочная  таблица'!IE28+'Проверочная  таблица'!HC28+'Проверочная  таблица'!GM28+'Проверочная  таблица'!IW28</f>
        <v>0</v>
      </c>
      <c r="BG27" s="569"/>
      <c r="BH27" s="570">
        <f>'Проверочная  таблица'!ZV28+'Проверочная  таблица'!XU28</f>
        <v>0</v>
      </c>
      <c r="BI27" s="564"/>
      <c r="BK27" s="1138">
        <f t="shared" si="10"/>
        <v>616106.15711999987</v>
      </c>
      <c r="BL27" s="1138">
        <f t="shared" si="11"/>
        <v>601255.36609999987</v>
      </c>
      <c r="BM27" s="1138">
        <f t="shared" si="12"/>
        <v>14657.39841</v>
      </c>
      <c r="BN27" s="1138">
        <f t="shared" si="13"/>
        <v>193.39260999999999</v>
      </c>
    </row>
    <row r="28" spans="1:66" ht="21.75" customHeight="1" thickBot="1" x14ac:dyDescent="0.3">
      <c r="A28" s="578" t="s">
        <v>334</v>
      </c>
      <c r="B28" s="579">
        <f>'Проверочная  таблица'!B29</f>
        <v>1091263322.4100001</v>
      </c>
      <c r="C28" s="580">
        <f>'Проверочная  таблица'!D29</f>
        <v>120577113.49000001</v>
      </c>
      <c r="D28" s="581">
        <f>'Проверочная  таблица'!AN29</f>
        <v>354103604.72999996</v>
      </c>
      <c r="E28" s="579">
        <f>'Проверочная  таблица'!VB29</f>
        <v>458375999.94000006</v>
      </c>
      <c r="F28" s="582">
        <f>'Проверочная  таблица'!WJ29</f>
        <v>158206604.25</v>
      </c>
      <c r="G28" s="582"/>
      <c r="H28" s="583">
        <f t="shared" si="14"/>
        <v>906253494.08000004</v>
      </c>
      <c r="I28" s="584">
        <f t="shared" si="14"/>
        <v>29478127</v>
      </c>
      <c r="J28" s="583">
        <f t="shared" si="14"/>
        <v>276149665.70999992</v>
      </c>
      <c r="K28" s="584">
        <f t="shared" si="14"/>
        <v>455182499.94000006</v>
      </c>
      <c r="L28" s="584">
        <f t="shared" si="14"/>
        <v>145443201.43000001</v>
      </c>
      <c r="M28" s="583"/>
      <c r="N28" s="585">
        <f t="shared" si="8"/>
        <v>185009828.33000001</v>
      </c>
      <c r="O28" s="584">
        <f>'Проверочная  таблица'!P29+'Проверочная  таблица'!AD29+'Проверочная  таблица'!H29</f>
        <v>91098986.49000001</v>
      </c>
      <c r="P28" s="536">
        <f>'Проверочная  таблица'!BD29+'Проверочная  таблица'!BN29+'Проверочная  таблица'!CB29+'Проверочная  таблица'!NJ29+'Проверочная  таблица'!OR29+'Проверочная  таблица'!JP29+'Проверочная  таблица'!UV29+'Проверочная  таблица'!AV29+'Проверочная  таблица'!EZ29+'Проверочная  таблица'!DB29+'Проверочная  таблица'!PZ29+'Проверочная  таблица'!TD29+'Проверочная  таблица'!LV29+'Проверочная  таблица'!KR29+'Проверочная  таблица'!RD29+'Проверочная  таблица'!HP29+'Проверочная  таблица'!GV29+'Проверочная  таблица'!GD29+'Проверочная  таблица'!IN29</f>
        <v>77953939.020000011</v>
      </c>
      <c r="Q28" s="585">
        <f>'Проверочная  таблица'!VN29</f>
        <v>3193500</v>
      </c>
      <c r="R28" s="579">
        <f>'Проверочная  таблица'!YR29+'Проверочная  таблица'!XN29</f>
        <v>12763402.82</v>
      </c>
      <c r="S28" s="586"/>
      <c r="T28" s="587">
        <f t="shared" si="1"/>
        <v>140078347.67000002</v>
      </c>
      <c r="U28" s="587">
        <f t="shared" si="15"/>
        <v>84938383.49000001</v>
      </c>
      <c r="V28" s="588">
        <f t="shared" si="15"/>
        <v>39183061.360000014</v>
      </c>
      <c r="W28" s="589">
        <f t="shared" si="15"/>
        <v>3193500</v>
      </c>
      <c r="X28" s="588">
        <f t="shared" si="15"/>
        <v>12763402.82</v>
      </c>
      <c r="Y28" s="590"/>
      <c r="Z28" s="589">
        <f t="shared" si="3"/>
        <v>44931480.659999996</v>
      </c>
      <c r="AA28" s="587">
        <f>'Проверочная  таблица'!AL29+'Проверочная  таблица'!T29+'Проверочная  таблица'!L29</f>
        <v>6160603</v>
      </c>
      <c r="AB28" s="539">
        <f>'Проверочная  таблица'!BR29+'Проверочная  таблица'!CF29+'Проверочная  таблица'!BJ29+'Проверочная  таблица'!UZ29+'Проверочная  таблица'!NV29+'Проверочная  таблица'!KB29+'Проверочная  таблица'!PH29+'Проверочная  таблица'!FL29+'Проверочная  таблица'!DJ29+'Проверочная  таблица'!QL29+'Проверочная  таблица'!UF29+'Проверочная  таблица'!ML29+'Проверочная  таблица'!LH29+'Проверочная  таблица'!RP29+'Проверочная  таблица'!IB29+'Проверочная  таблица'!HB29+'Проверочная  таблица'!GL29+'Проверочная  таблица'!IV29</f>
        <v>38770877.659999996</v>
      </c>
      <c r="AC28" s="589"/>
      <c r="AD28" s="591">
        <f>'Проверочная  таблица'!ZP29+'Проверочная  таблица'!XT29</f>
        <v>0</v>
      </c>
      <c r="AE28" s="590"/>
      <c r="AF28" s="582">
        <f>'Проверочная  таблица'!C29</f>
        <v>653446204.29999995</v>
      </c>
      <c r="AG28" s="580">
        <f>'Проверочная  таблица'!E29</f>
        <v>94427944.719999999</v>
      </c>
      <c r="AH28" s="581">
        <f>'Проверочная  таблица'!AO29</f>
        <v>167121587.43999997</v>
      </c>
      <c r="AI28" s="579">
        <f>'Проверочная  таблица'!VE29</f>
        <v>338458848.03999996</v>
      </c>
      <c r="AJ28" s="586">
        <f>'Проверочная  таблица'!WK29</f>
        <v>53437824.099999994</v>
      </c>
      <c r="AK28" s="582"/>
      <c r="AL28" s="583">
        <f t="shared" si="16"/>
        <v>513177589.77999997</v>
      </c>
      <c r="AM28" s="584">
        <f t="shared" si="16"/>
        <v>24210000</v>
      </c>
      <c r="AN28" s="583">
        <f t="shared" si="16"/>
        <v>105043105.13999997</v>
      </c>
      <c r="AO28" s="584">
        <f t="shared" si="16"/>
        <v>336472325.69999999</v>
      </c>
      <c r="AP28" s="584">
        <f t="shared" si="16"/>
        <v>47452158.939999998</v>
      </c>
      <c r="AQ28" s="583"/>
      <c r="AR28" s="585">
        <f t="shared" si="9"/>
        <v>140268614.51999998</v>
      </c>
      <c r="AS28" s="585">
        <f>'Проверочная  таблица'!Q29+'Проверочная  таблица'!AG29+'Проверочная  таблица'!I29</f>
        <v>70217944.719999999</v>
      </c>
      <c r="AT28" s="584">
        <f>'Проверочная  таблица'!UW29+'Проверочная  таблица'!CC29+'Проверочная  таблица'!BO29+'Проверочная  таблица'!BF29+'Проверочная  таблица'!NM29+'Проверочная  таблица'!JS29+'Проверочная  таблица'!OV29+'Проверочная  таблица'!AX29+'Проверочная  таблица'!FC29+'Проверочная  таблица'!DE29+'Проверочная  таблица'!QC29+'Проверочная  таблица'!TK29+'Проверочная  таблица'!LZ29+'Проверочная  таблица'!KW29+'Проверочная  таблица'!RG29+'Проверочная  таблица'!HS29+'Проверочная  таблица'!GX29+'Проверочная  таблица'!GG29+'Проверочная  таблица'!IQ29</f>
        <v>62078482.299999997</v>
      </c>
      <c r="AU28" s="586">
        <f>'Проверочная  таблица'!VO29</f>
        <v>1986522.3399999999</v>
      </c>
      <c r="AV28" s="592">
        <f>'Проверочная  таблица'!YX29+'Проверочная  таблица'!XP29</f>
        <v>5985665.1599999992</v>
      </c>
      <c r="AW28" s="593"/>
      <c r="AX28" s="594">
        <f t="shared" si="5"/>
        <v>97904700.129999995</v>
      </c>
      <c r="AY28" s="595">
        <f t="shared" si="17"/>
        <v>65447944.719999999</v>
      </c>
      <c r="AZ28" s="594">
        <f t="shared" si="17"/>
        <v>24484567.909999996</v>
      </c>
      <c r="BA28" s="595">
        <f t="shared" si="17"/>
        <v>1986522.3399999999</v>
      </c>
      <c r="BB28" s="594">
        <f t="shared" si="17"/>
        <v>5985665.1599999992</v>
      </c>
      <c r="BC28" s="596"/>
      <c r="BD28" s="597">
        <f t="shared" si="7"/>
        <v>42363914.390000001</v>
      </c>
      <c r="BE28" s="594">
        <f>'Проверочная  таблица'!M29+'Проверочная  таблица'!U29+'Проверочная  таблица'!AM29</f>
        <v>4770000</v>
      </c>
      <c r="BF28" s="541">
        <f>'Проверочная  таблица'!BS29+'Проверочная  таблица'!CG29+'Проверочная  таблица'!BK29+'Проверочная  таблица'!VA29+'Проверочная  таблица'!NY29+'Проверочная  таблица'!KE29+'Проверочная  таблица'!PL29+'Проверочная  таблица'!FO29+'Проверочная  таблица'!DK29+'Проверочная  таблица'!QO29+'Проверочная  таблица'!UM29+'Проверочная  таблица'!MP29+'Проверочная  таблица'!LK29+'Проверочная  таблица'!RS29+'Проверочная  таблица'!IE29+'Проверочная  таблица'!HC29+'Проверочная  таблица'!GM29+'Проверочная  таблица'!IW29</f>
        <v>37593914.390000001</v>
      </c>
      <c r="BG28" s="589"/>
      <c r="BH28" s="591">
        <f>'Проверочная  таблица'!ZV29+'Проверочная  таблица'!XU29</f>
        <v>0</v>
      </c>
      <c r="BI28" s="590"/>
      <c r="BK28" s="1138">
        <f t="shared" si="10"/>
        <v>970686.20892000012</v>
      </c>
      <c r="BL28" s="1138">
        <f t="shared" si="11"/>
        <v>876775.36707999988</v>
      </c>
      <c r="BM28" s="1138">
        <f t="shared" si="12"/>
        <v>55139.964180000017</v>
      </c>
      <c r="BN28" s="1138">
        <f t="shared" si="13"/>
        <v>38770.877659999998</v>
      </c>
    </row>
    <row r="29" spans="1:66" ht="21.75" customHeight="1" thickBot="1" x14ac:dyDescent="0.3">
      <c r="A29" s="1201" t="s">
        <v>335</v>
      </c>
      <c r="B29" s="598">
        <f t="shared" ref="B29:AG29" si="18">SUM(B11:B28)</f>
        <v>23981104808.909996</v>
      </c>
      <c r="C29" s="599">
        <f t="shared" si="18"/>
        <v>3791062187.5400009</v>
      </c>
      <c r="D29" s="600">
        <f t="shared" si="18"/>
        <v>9151224600.7700005</v>
      </c>
      <c r="E29" s="598">
        <f t="shared" si="18"/>
        <v>8444017080.1700001</v>
      </c>
      <c r="F29" s="598">
        <f t="shared" si="18"/>
        <v>2594800940.4300003</v>
      </c>
      <c r="G29" s="598">
        <f t="shared" si="18"/>
        <v>0</v>
      </c>
      <c r="H29" s="601">
        <f t="shared" si="18"/>
        <v>19939019931.360001</v>
      </c>
      <c r="I29" s="598">
        <f t="shared" si="18"/>
        <v>1996614965</v>
      </c>
      <c r="J29" s="599">
        <f t="shared" si="18"/>
        <v>7657642756.6699982</v>
      </c>
      <c r="K29" s="602">
        <f t="shared" si="18"/>
        <v>8407047780.1700001</v>
      </c>
      <c r="L29" s="598">
        <f t="shared" si="18"/>
        <v>1877714429.5200005</v>
      </c>
      <c r="M29" s="599">
        <f t="shared" si="18"/>
        <v>0</v>
      </c>
      <c r="N29" s="603">
        <f t="shared" si="18"/>
        <v>4042084877.5500007</v>
      </c>
      <c r="O29" s="599">
        <f t="shared" si="18"/>
        <v>1794447222.5400002</v>
      </c>
      <c r="P29" s="603">
        <f t="shared" si="18"/>
        <v>1493581844.0999999</v>
      </c>
      <c r="Q29" s="599">
        <f t="shared" si="18"/>
        <v>36969300</v>
      </c>
      <c r="R29" s="598">
        <f t="shared" si="18"/>
        <v>717086510.90999997</v>
      </c>
      <c r="S29" s="598">
        <f t="shared" si="18"/>
        <v>0</v>
      </c>
      <c r="T29" s="604">
        <f t="shared" si="18"/>
        <v>1888468271.72</v>
      </c>
      <c r="U29" s="605">
        <f t="shared" si="18"/>
        <v>1090685167.0800002</v>
      </c>
      <c r="V29" s="606">
        <f t="shared" si="18"/>
        <v>369733401.5800001</v>
      </c>
      <c r="W29" s="605">
        <f t="shared" si="18"/>
        <v>36969300</v>
      </c>
      <c r="X29" s="606">
        <f t="shared" si="18"/>
        <v>391080403.05999994</v>
      </c>
      <c r="Y29" s="607">
        <f t="shared" si="18"/>
        <v>0</v>
      </c>
      <c r="Z29" s="604">
        <f t="shared" si="18"/>
        <v>2153616605.8299999</v>
      </c>
      <c r="AA29" s="605">
        <f t="shared" si="18"/>
        <v>703762055.46000004</v>
      </c>
      <c r="AB29" s="604">
        <f t="shared" si="18"/>
        <v>1123848442.5199997</v>
      </c>
      <c r="AC29" s="605">
        <f t="shared" si="18"/>
        <v>0</v>
      </c>
      <c r="AD29" s="606">
        <f t="shared" si="18"/>
        <v>326006107.84999996</v>
      </c>
      <c r="AE29" s="607">
        <f t="shared" si="18"/>
        <v>0</v>
      </c>
      <c r="AF29" s="598">
        <f t="shared" si="18"/>
        <v>14317822460.65</v>
      </c>
      <c r="AG29" s="599">
        <f t="shared" si="18"/>
        <v>2644607982.5799994</v>
      </c>
      <c r="AH29" s="600">
        <f t="shared" ref="AH29:BI29" si="19">SUM(AH11:AH28)</f>
        <v>3939396145.7100005</v>
      </c>
      <c r="AI29" s="598">
        <f t="shared" si="19"/>
        <v>6525709302.1100006</v>
      </c>
      <c r="AJ29" s="598">
        <f t="shared" si="19"/>
        <v>1208109030.25</v>
      </c>
      <c r="AK29" s="598">
        <f t="shared" si="19"/>
        <v>0</v>
      </c>
      <c r="AL29" s="601">
        <f t="shared" si="19"/>
        <v>11751447443.5</v>
      </c>
      <c r="AM29" s="602">
        <f t="shared" si="19"/>
        <v>1381007576.99</v>
      </c>
      <c r="AN29" s="601">
        <f t="shared" si="19"/>
        <v>3048555442.9000006</v>
      </c>
      <c r="AO29" s="602">
        <f t="shared" si="19"/>
        <v>6503014127.3199997</v>
      </c>
      <c r="AP29" s="598">
        <f t="shared" si="19"/>
        <v>818870296.28999996</v>
      </c>
      <c r="AQ29" s="599">
        <f t="shared" si="19"/>
        <v>0</v>
      </c>
      <c r="AR29" s="602">
        <f t="shared" si="19"/>
        <v>2566375017.1499996</v>
      </c>
      <c r="AS29" s="601">
        <f t="shared" si="19"/>
        <v>1263600405.5900002</v>
      </c>
      <c r="AT29" s="600">
        <f t="shared" si="19"/>
        <v>890840702.80999994</v>
      </c>
      <c r="AU29" s="598">
        <f t="shared" si="19"/>
        <v>22695174.790000003</v>
      </c>
      <c r="AV29" s="598">
        <f t="shared" si="19"/>
        <v>389238733.95999998</v>
      </c>
      <c r="AW29" s="598">
        <f t="shared" si="19"/>
        <v>0</v>
      </c>
      <c r="AX29" s="606">
        <f t="shared" si="19"/>
        <v>1146660844.5599999</v>
      </c>
      <c r="AY29" s="605">
        <f t="shared" si="19"/>
        <v>762576300.59000003</v>
      </c>
      <c r="AZ29" s="606">
        <f t="shared" si="19"/>
        <v>196515153.81999999</v>
      </c>
      <c r="BA29" s="605">
        <f t="shared" si="19"/>
        <v>22695174.790000003</v>
      </c>
      <c r="BB29" s="606">
        <f t="shared" si="19"/>
        <v>164874215.35999998</v>
      </c>
      <c r="BC29" s="607">
        <f t="shared" si="19"/>
        <v>0</v>
      </c>
      <c r="BD29" s="608">
        <f t="shared" si="19"/>
        <v>1419714172.5900002</v>
      </c>
      <c r="BE29" s="606">
        <f t="shared" si="19"/>
        <v>501024105</v>
      </c>
      <c r="BF29" s="604">
        <f t="shared" si="19"/>
        <v>694325548.99000001</v>
      </c>
      <c r="BG29" s="605">
        <f t="shared" si="19"/>
        <v>0</v>
      </c>
      <c r="BH29" s="606">
        <f t="shared" si="19"/>
        <v>224364518.60000002</v>
      </c>
      <c r="BI29" s="606">
        <f t="shared" si="19"/>
        <v>0</v>
      </c>
      <c r="BK29" s="1138">
        <f t="shared" si="10"/>
        <v>20190042.621370003</v>
      </c>
      <c r="BL29" s="1138">
        <f t="shared" si="11"/>
        <v>17942404.966359999</v>
      </c>
      <c r="BM29" s="1138">
        <f t="shared" si="12"/>
        <v>797783.10464000015</v>
      </c>
      <c r="BN29" s="1138">
        <f t="shared" si="13"/>
        <v>1449854.5503699996</v>
      </c>
    </row>
    <row r="30" spans="1:66" ht="21.75" customHeight="1" x14ac:dyDescent="0.25">
      <c r="A30" s="609"/>
      <c r="B30" s="609"/>
      <c r="C30" s="610"/>
      <c r="D30" s="609"/>
      <c r="E30" s="610"/>
      <c r="F30" s="609"/>
      <c r="G30" s="609"/>
      <c r="H30" s="611"/>
      <c r="I30" s="612"/>
      <c r="J30" s="611"/>
      <c r="K30" s="612"/>
      <c r="L30" s="613"/>
      <c r="M30" s="614"/>
      <c r="N30" s="613"/>
      <c r="O30" s="615"/>
      <c r="P30" s="616"/>
      <c r="Q30" s="615"/>
      <c r="R30" s="609"/>
      <c r="S30" s="613"/>
      <c r="T30" s="617"/>
      <c r="U30" s="618"/>
      <c r="V30" s="619"/>
      <c r="W30" s="618"/>
      <c r="X30" s="620"/>
      <c r="Y30" s="617"/>
      <c r="Z30" s="617"/>
      <c r="AA30" s="618"/>
      <c r="AB30" s="619"/>
      <c r="AC30" s="618"/>
      <c r="AD30" s="620"/>
      <c r="AE30" s="617"/>
      <c r="AF30" s="609"/>
      <c r="AG30" s="610"/>
      <c r="AH30" s="571"/>
      <c r="AI30" s="609"/>
      <c r="AJ30" s="609"/>
      <c r="AK30" s="609"/>
      <c r="AL30" s="611"/>
      <c r="AM30" s="612"/>
      <c r="AN30" s="611"/>
      <c r="AO30" s="612"/>
      <c r="AP30" s="609"/>
      <c r="AQ30" s="610"/>
      <c r="AR30" s="612"/>
      <c r="AS30" s="611"/>
      <c r="AT30" s="612"/>
      <c r="AU30" s="611"/>
      <c r="AV30" s="609"/>
      <c r="AW30" s="609"/>
      <c r="AX30" s="617"/>
      <c r="AY30" s="618"/>
      <c r="AZ30" s="619"/>
      <c r="BA30" s="618"/>
      <c r="BB30" s="620"/>
      <c r="BC30" s="617"/>
      <c r="BD30" s="617"/>
      <c r="BE30" s="618"/>
      <c r="BF30" s="619"/>
      <c r="BG30" s="618"/>
      <c r="BH30" s="620"/>
      <c r="BI30" s="617"/>
      <c r="BK30" s="1138"/>
      <c r="BL30" s="1138"/>
      <c r="BM30" s="1138"/>
      <c r="BN30" s="1138"/>
    </row>
    <row r="31" spans="1:66" ht="21.75" customHeight="1" x14ac:dyDescent="0.25">
      <c r="A31" s="621" t="s">
        <v>1299</v>
      </c>
      <c r="B31" s="552">
        <f>'Проверочная  таблица'!B32</f>
        <v>3411889029.8900003</v>
      </c>
      <c r="C31" s="553">
        <f>'Проверочная  таблица'!D32</f>
        <v>788370268</v>
      </c>
      <c r="D31" s="552">
        <f>'Проверочная  таблица'!AN32</f>
        <v>752600612.93000007</v>
      </c>
      <c r="E31" s="553">
        <f>'Проверочная  таблица'!VB32</f>
        <v>1285126093.6099999</v>
      </c>
      <c r="F31" s="552">
        <f>'Проверочная  таблица'!WJ32</f>
        <v>585792055.35000014</v>
      </c>
      <c r="G31" s="552"/>
      <c r="H31" s="536">
        <f t="shared" ref="H31:M32" si="20">B31-N31</f>
        <v>3411889029.8900003</v>
      </c>
      <c r="I31" s="556">
        <f t="shared" si="20"/>
        <v>788370268</v>
      </c>
      <c r="J31" s="536">
        <f t="shared" si="20"/>
        <v>752600612.93000007</v>
      </c>
      <c r="K31" s="556">
        <f t="shared" si="20"/>
        <v>1285126093.6099999</v>
      </c>
      <c r="L31" s="556">
        <f t="shared" si="20"/>
        <v>585792055.35000014</v>
      </c>
      <c r="M31" s="536">
        <f t="shared" si="20"/>
        <v>0</v>
      </c>
      <c r="N31" s="556"/>
      <c r="O31" s="556"/>
      <c r="P31" s="536"/>
      <c r="Q31" s="557"/>
      <c r="R31" s="552"/>
      <c r="S31" s="556"/>
      <c r="T31" s="577"/>
      <c r="U31" s="569"/>
      <c r="V31" s="577"/>
      <c r="W31" s="569"/>
      <c r="X31" s="570"/>
      <c r="Y31" s="577"/>
      <c r="Z31" s="577"/>
      <c r="AA31" s="569"/>
      <c r="AB31" s="577"/>
      <c r="AC31" s="569"/>
      <c r="AD31" s="570"/>
      <c r="AE31" s="577"/>
      <c r="AF31" s="552">
        <f>'Проверочная  таблица'!C32</f>
        <v>2057638134.6099999</v>
      </c>
      <c r="AG31" s="553">
        <f>'Проверочная  таблица'!E32</f>
        <v>372092539.73000002</v>
      </c>
      <c r="AH31" s="554">
        <f>'Проверочная  таблица'!AO32</f>
        <v>538929627.11999989</v>
      </c>
      <c r="AI31" s="552">
        <f>'Проверочная  таблица'!VE32</f>
        <v>886032015.12</v>
      </c>
      <c r="AJ31" s="556">
        <f>'Проверочная  таблица'!WK32</f>
        <v>260583952.64000005</v>
      </c>
      <c r="AK31" s="552"/>
      <c r="AL31" s="536">
        <f t="shared" ref="AL31:AP32" si="21">AF31-AR31</f>
        <v>2057638134.6099999</v>
      </c>
      <c r="AM31" s="556">
        <f t="shared" si="21"/>
        <v>372092539.73000002</v>
      </c>
      <c r="AN31" s="536">
        <f t="shared" si="21"/>
        <v>538929627.11999989</v>
      </c>
      <c r="AO31" s="556">
        <f t="shared" si="21"/>
        <v>886032015.12</v>
      </c>
      <c r="AP31" s="556">
        <f t="shared" si="21"/>
        <v>260583952.64000005</v>
      </c>
      <c r="AQ31" s="536"/>
      <c r="AR31" s="556"/>
      <c r="AS31" s="536"/>
      <c r="AT31" s="556"/>
      <c r="AU31" s="536"/>
      <c r="AV31" s="556"/>
      <c r="AW31" s="552"/>
      <c r="AX31" s="577"/>
      <c r="AY31" s="569"/>
      <c r="AZ31" s="577"/>
      <c r="BA31" s="569"/>
      <c r="BB31" s="570"/>
      <c r="BC31" s="577"/>
      <c r="BD31" s="577"/>
      <c r="BE31" s="569"/>
      <c r="BF31" s="577"/>
      <c r="BG31" s="569"/>
      <c r="BH31" s="570"/>
      <c r="BI31" s="577"/>
      <c r="BK31" s="1138">
        <f t="shared" si="10"/>
        <v>2623518.7618900002</v>
      </c>
      <c r="BL31" s="1138">
        <f t="shared" si="11"/>
        <v>2623518.7618900002</v>
      </c>
      <c r="BM31" s="1138">
        <f t="shared" si="12"/>
        <v>0</v>
      </c>
      <c r="BN31" s="1138">
        <f t="shared" si="13"/>
        <v>0</v>
      </c>
    </row>
    <row r="32" spans="1:66" ht="21.75" customHeight="1" thickBot="1" x14ac:dyDescent="0.3">
      <c r="A32" s="609" t="s">
        <v>1300</v>
      </c>
      <c r="B32" s="552">
        <f>'Проверочная  таблица'!B33</f>
        <v>20276330405.049999</v>
      </c>
      <c r="C32" s="553">
        <f>'Проверочная  таблица'!D33</f>
        <v>3974840175.3000002</v>
      </c>
      <c r="D32" s="552">
        <f>'Проверочная  таблица'!AN33</f>
        <v>7960852459.9199991</v>
      </c>
      <c r="E32" s="553">
        <f>'Проверочная  таблица'!VB33</f>
        <v>7420990703.2300014</v>
      </c>
      <c r="F32" s="552">
        <f>'Проверочная  таблица'!WJ33</f>
        <v>919647066.60000014</v>
      </c>
      <c r="G32" s="552"/>
      <c r="H32" s="536">
        <f t="shared" si="20"/>
        <v>20276330405.049999</v>
      </c>
      <c r="I32" s="556">
        <f t="shared" si="20"/>
        <v>3974840175.3000002</v>
      </c>
      <c r="J32" s="536">
        <f t="shared" si="20"/>
        <v>7960852459.9199991</v>
      </c>
      <c r="K32" s="556">
        <f t="shared" si="20"/>
        <v>7420990703.2300014</v>
      </c>
      <c r="L32" s="556">
        <f t="shared" si="20"/>
        <v>919647066.60000014</v>
      </c>
      <c r="M32" s="536">
        <f t="shared" si="20"/>
        <v>0</v>
      </c>
      <c r="N32" s="556"/>
      <c r="O32" s="556"/>
      <c r="P32" s="536"/>
      <c r="Q32" s="557"/>
      <c r="R32" s="552"/>
      <c r="S32" s="556"/>
      <c r="T32" s="577"/>
      <c r="U32" s="569"/>
      <c r="V32" s="577"/>
      <c r="W32" s="569"/>
      <c r="X32" s="570"/>
      <c r="Y32" s="577"/>
      <c r="Z32" s="577"/>
      <c r="AA32" s="569"/>
      <c r="AB32" s="577"/>
      <c r="AC32" s="569"/>
      <c r="AD32" s="570"/>
      <c r="AE32" s="577"/>
      <c r="AF32" s="552">
        <f>'Проверочная  таблица'!C33</f>
        <v>13304497969.729998</v>
      </c>
      <c r="AG32" s="553">
        <f>'Проверочная  таблица'!E33</f>
        <v>2690990356</v>
      </c>
      <c r="AH32" s="554">
        <f>'Проверочная  таблица'!AO33</f>
        <v>4615268908.6699991</v>
      </c>
      <c r="AI32" s="552">
        <f>'Проверочная  таблица'!VE33</f>
        <v>5554088994.75</v>
      </c>
      <c r="AJ32" s="556">
        <f>'Проверочная  таблица'!WK33</f>
        <v>444149710.30999994</v>
      </c>
      <c r="AK32" s="552"/>
      <c r="AL32" s="536">
        <f t="shared" si="21"/>
        <v>13304497969.729998</v>
      </c>
      <c r="AM32" s="556">
        <f t="shared" si="21"/>
        <v>2690990356</v>
      </c>
      <c r="AN32" s="536">
        <f t="shared" si="21"/>
        <v>4615268908.6699991</v>
      </c>
      <c r="AO32" s="556">
        <f t="shared" si="21"/>
        <v>5554088994.75</v>
      </c>
      <c r="AP32" s="556">
        <f t="shared" si="21"/>
        <v>444149710.30999994</v>
      </c>
      <c r="AQ32" s="536"/>
      <c r="AR32" s="556"/>
      <c r="AS32" s="536"/>
      <c r="AT32" s="556"/>
      <c r="AU32" s="536"/>
      <c r="AV32" s="556"/>
      <c r="AW32" s="552"/>
      <c r="AX32" s="577"/>
      <c r="AY32" s="569"/>
      <c r="AZ32" s="577"/>
      <c r="BA32" s="569"/>
      <c r="BB32" s="570"/>
      <c r="BC32" s="577"/>
      <c r="BD32" s="577"/>
      <c r="BE32" s="569"/>
      <c r="BF32" s="577"/>
      <c r="BG32" s="569"/>
      <c r="BH32" s="570"/>
      <c r="BI32" s="577"/>
      <c r="BK32" s="1138">
        <f t="shared" si="10"/>
        <v>16301490.229750002</v>
      </c>
      <c r="BL32" s="1138">
        <f t="shared" si="11"/>
        <v>16301490.229750002</v>
      </c>
      <c r="BM32" s="1138">
        <f t="shared" si="12"/>
        <v>0</v>
      </c>
      <c r="BN32" s="1138">
        <f t="shared" si="13"/>
        <v>0</v>
      </c>
    </row>
    <row r="33" spans="1:66" ht="21.75" customHeight="1" thickBot="1" x14ac:dyDescent="0.3">
      <c r="A33" s="1201" t="s">
        <v>338</v>
      </c>
      <c r="B33" s="622">
        <f t="shared" ref="B33:BI33" si="22">SUM(B31:B32)</f>
        <v>23688219434.939999</v>
      </c>
      <c r="C33" s="623">
        <f t="shared" si="22"/>
        <v>4763210443.3000002</v>
      </c>
      <c r="D33" s="622">
        <f>SUM(D31:D32)</f>
        <v>8713453072.8499985</v>
      </c>
      <c r="E33" s="623">
        <f t="shared" si="22"/>
        <v>8706116796.8400021</v>
      </c>
      <c r="F33" s="622">
        <f t="shared" si="22"/>
        <v>1505439121.9500003</v>
      </c>
      <c r="G33" s="622">
        <f t="shared" si="22"/>
        <v>0</v>
      </c>
      <c r="H33" s="623">
        <f t="shared" si="22"/>
        <v>23688219434.939999</v>
      </c>
      <c r="I33" s="622">
        <f>SUM(I31:I32)</f>
        <v>4763210443.3000002</v>
      </c>
      <c r="J33" s="623">
        <f>SUM(J31:J32)</f>
        <v>8713453072.8499985</v>
      </c>
      <c r="K33" s="622">
        <f t="shared" si="22"/>
        <v>8706116796.8400021</v>
      </c>
      <c r="L33" s="622">
        <f t="shared" si="22"/>
        <v>1505439121.9500003</v>
      </c>
      <c r="M33" s="623">
        <f t="shared" si="22"/>
        <v>0</v>
      </c>
      <c r="N33" s="622">
        <f t="shared" si="22"/>
        <v>0</v>
      </c>
      <c r="O33" s="623">
        <f t="shared" si="22"/>
        <v>0</v>
      </c>
      <c r="P33" s="603">
        <f>SUM(P31:P32)</f>
        <v>0</v>
      </c>
      <c r="Q33" s="623">
        <f t="shared" si="22"/>
        <v>0</v>
      </c>
      <c r="R33" s="622">
        <f t="shared" si="22"/>
        <v>0</v>
      </c>
      <c r="S33" s="622">
        <f t="shared" si="22"/>
        <v>0</v>
      </c>
      <c r="T33" s="624">
        <f t="shared" si="22"/>
        <v>0</v>
      </c>
      <c r="U33" s="625">
        <f t="shared" si="22"/>
        <v>0</v>
      </c>
      <c r="V33" s="624">
        <f t="shared" si="22"/>
        <v>0</v>
      </c>
      <c r="W33" s="625">
        <f t="shared" si="22"/>
        <v>0</v>
      </c>
      <c r="X33" s="624">
        <f t="shared" si="22"/>
        <v>0</v>
      </c>
      <c r="Y33" s="624">
        <f t="shared" si="22"/>
        <v>0</v>
      </c>
      <c r="Z33" s="624">
        <f t="shared" si="22"/>
        <v>0</v>
      </c>
      <c r="AA33" s="625">
        <f t="shared" si="22"/>
        <v>0</v>
      </c>
      <c r="AB33" s="624">
        <f t="shared" si="22"/>
        <v>0</v>
      </c>
      <c r="AC33" s="625">
        <f t="shared" si="22"/>
        <v>0</v>
      </c>
      <c r="AD33" s="624">
        <f t="shared" si="22"/>
        <v>0</v>
      </c>
      <c r="AE33" s="624">
        <f t="shared" si="22"/>
        <v>0</v>
      </c>
      <c r="AF33" s="622">
        <f t="shared" si="22"/>
        <v>15362136104.339998</v>
      </c>
      <c r="AG33" s="623">
        <f t="shared" si="22"/>
        <v>3063082895.73</v>
      </c>
      <c r="AH33" s="626">
        <f>SUM(AH31:AH32)</f>
        <v>5154198535.789999</v>
      </c>
      <c r="AI33" s="603">
        <f t="shared" si="22"/>
        <v>6440121009.8699999</v>
      </c>
      <c r="AJ33" s="622">
        <f t="shared" si="22"/>
        <v>704733662.95000005</v>
      </c>
      <c r="AK33" s="622">
        <f t="shared" si="22"/>
        <v>0</v>
      </c>
      <c r="AL33" s="623">
        <f t="shared" si="22"/>
        <v>15362136104.339998</v>
      </c>
      <c r="AM33" s="622">
        <f>SUM(AM31:AM32)</f>
        <v>3063082895.73</v>
      </c>
      <c r="AN33" s="623">
        <f>SUM(AN31:AN32)</f>
        <v>5154198535.789999</v>
      </c>
      <c r="AO33" s="622">
        <f t="shared" si="22"/>
        <v>6440121009.8699999</v>
      </c>
      <c r="AP33" s="622">
        <f t="shared" si="22"/>
        <v>704733662.95000005</v>
      </c>
      <c r="AQ33" s="623">
        <f t="shared" si="22"/>
        <v>0</v>
      </c>
      <c r="AR33" s="622">
        <f t="shared" si="22"/>
        <v>0</v>
      </c>
      <c r="AS33" s="623">
        <f t="shared" si="22"/>
        <v>0</v>
      </c>
      <c r="AT33" s="622">
        <f>SUM(AT31:AT32)</f>
        <v>0</v>
      </c>
      <c r="AU33" s="623">
        <f t="shared" si="22"/>
        <v>0</v>
      </c>
      <c r="AV33" s="622">
        <f t="shared" si="22"/>
        <v>0</v>
      </c>
      <c r="AW33" s="622">
        <f t="shared" si="22"/>
        <v>0</v>
      </c>
      <c r="AX33" s="624">
        <f t="shared" si="22"/>
        <v>0</v>
      </c>
      <c r="AY33" s="625">
        <f t="shared" si="22"/>
        <v>0</v>
      </c>
      <c r="AZ33" s="624">
        <f t="shared" si="22"/>
        <v>0</v>
      </c>
      <c r="BA33" s="625">
        <f t="shared" si="22"/>
        <v>0</v>
      </c>
      <c r="BB33" s="624">
        <f t="shared" si="22"/>
        <v>0</v>
      </c>
      <c r="BC33" s="624">
        <f t="shared" si="22"/>
        <v>0</v>
      </c>
      <c r="BD33" s="624">
        <f t="shared" si="22"/>
        <v>0</v>
      </c>
      <c r="BE33" s="625">
        <f t="shared" si="22"/>
        <v>0</v>
      </c>
      <c r="BF33" s="624">
        <f t="shared" si="22"/>
        <v>0</v>
      </c>
      <c r="BG33" s="625">
        <f t="shared" si="22"/>
        <v>0</v>
      </c>
      <c r="BH33" s="624">
        <f t="shared" si="22"/>
        <v>0</v>
      </c>
      <c r="BI33" s="624">
        <f t="shared" si="22"/>
        <v>0</v>
      </c>
      <c r="BK33" s="1138">
        <f t="shared" si="10"/>
        <v>18925008.991640002</v>
      </c>
      <c r="BL33" s="1138">
        <f t="shared" si="11"/>
        <v>18925008.991640002</v>
      </c>
      <c r="BM33" s="1138">
        <f t="shared" si="12"/>
        <v>0</v>
      </c>
      <c r="BN33" s="1138">
        <f t="shared" si="13"/>
        <v>0</v>
      </c>
    </row>
    <row r="34" spans="1:66" ht="21.75" customHeight="1" thickBot="1" x14ac:dyDescent="0.3">
      <c r="A34" s="1202"/>
      <c r="B34" s="627"/>
      <c r="C34" s="628"/>
      <c r="D34" s="627"/>
      <c r="E34" s="628"/>
      <c r="F34" s="627"/>
      <c r="G34" s="627"/>
      <c r="H34" s="629"/>
      <c r="I34" s="630"/>
      <c r="J34" s="629"/>
      <c r="K34" s="630"/>
      <c r="L34" s="630"/>
      <c r="M34" s="629"/>
      <c r="N34" s="630"/>
      <c r="O34" s="629"/>
      <c r="P34" s="630"/>
      <c r="Q34" s="629"/>
      <c r="R34" s="627"/>
      <c r="S34" s="630"/>
      <c r="T34" s="631"/>
      <c r="U34" s="632"/>
      <c r="V34" s="631"/>
      <c r="W34" s="632"/>
      <c r="X34" s="633"/>
      <c r="Y34" s="631"/>
      <c r="Z34" s="631"/>
      <c r="AA34" s="632"/>
      <c r="AB34" s="631"/>
      <c r="AC34" s="632"/>
      <c r="AD34" s="633"/>
      <c r="AE34" s="631"/>
      <c r="AF34" s="627"/>
      <c r="AG34" s="628"/>
      <c r="AH34" s="627"/>
      <c r="AI34" s="628"/>
      <c r="AJ34" s="627"/>
      <c r="AK34" s="627"/>
      <c r="AL34" s="629"/>
      <c r="AM34" s="630"/>
      <c r="AN34" s="629"/>
      <c r="AO34" s="630"/>
      <c r="AP34" s="627"/>
      <c r="AQ34" s="628"/>
      <c r="AR34" s="630"/>
      <c r="AS34" s="629"/>
      <c r="AT34" s="630"/>
      <c r="AU34" s="629"/>
      <c r="AV34" s="627"/>
      <c r="AW34" s="627"/>
      <c r="AX34" s="631"/>
      <c r="AY34" s="632"/>
      <c r="AZ34" s="631"/>
      <c r="BA34" s="632"/>
      <c r="BB34" s="633"/>
      <c r="BC34" s="631"/>
      <c r="BD34" s="631"/>
      <c r="BE34" s="632"/>
      <c r="BF34" s="631"/>
      <c r="BG34" s="632"/>
      <c r="BH34" s="633"/>
      <c r="BI34" s="631"/>
      <c r="BK34" s="1138"/>
      <c r="BL34" s="1138"/>
      <c r="BM34" s="1138"/>
      <c r="BN34" s="1138"/>
    </row>
    <row r="35" spans="1:66" ht="21.75" customHeight="1" thickBot="1" x14ac:dyDescent="0.3">
      <c r="A35" s="1203"/>
      <c r="B35" s="634"/>
      <c r="C35" s="635"/>
      <c r="D35" s="1196"/>
      <c r="E35" s="1197">
        <f>SUM(D36:F36)</f>
        <v>39115051613.010002</v>
      </c>
      <c r="F35" s="1198"/>
      <c r="G35" s="634"/>
      <c r="H35" s="636"/>
      <c r="I35" s="637"/>
      <c r="J35" s="1196"/>
      <c r="K35" s="1197">
        <f>SUM(J36:L36)</f>
        <v>36867413958</v>
      </c>
      <c r="L35" s="1198"/>
      <c r="M35" s="636"/>
      <c r="N35" s="637"/>
      <c r="O35" s="636"/>
      <c r="P35" s="1196"/>
      <c r="Q35" s="1197">
        <f>SUM(P36:R36)</f>
        <v>2247637655.0099998</v>
      </c>
      <c r="R35" s="1198"/>
      <c r="S35" s="637"/>
      <c r="T35" s="638"/>
      <c r="U35" s="639"/>
      <c r="V35" s="1196"/>
      <c r="W35" s="1197">
        <f>SUM(V36:X36)</f>
        <v>797783104.6400001</v>
      </c>
      <c r="X35" s="1198"/>
      <c r="Y35" s="638"/>
      <c r="Z35" s="638"/>
      <c r="AA35" s="639"/>
      <c r="AB35" s="1196"/>
      <c r="AC35" s="1197">
        <f>SUM(AB36:AD36)</f>
        <v>1449854550.3699996</v>
      </c>
      <c r="AD35" s="1198"/>
      <c r="AE35" s="1134"/>
      <c r="AF35" s="634"/>
      <c r="AG35" s="635"/>
      <c r="AH35" s="1196"/>
      <c r="AI35" s="1197">
        <f>SUM(AH36:AJ36)</f>
        <v>23972267686.68</v>
      </c>
      <c r="AJ35" s="1198"/>
      <c r="AK35" s="634"/>
      <c r="AL35" s="636"/>
      <c r="AM35" s="637"/>
      <c r="AN35" s="1196"/>
      <c r="AO35" s="1197">
        <f>SUM(AN36:AP36)</f>
        <v>22669493075.119999</v>
      </c>
      <c r="AP35" s="1198"/>
      <c r="AQ35" s="635"/>
      <c r="AR35" s="637"/>
      <c r="AS35" s="636"/>
      <c r="AT35" s="1196"/>
      <c r="AU35" s="1197">
        <f>SUM(AT36:AV36)</f>
        <v>1302774611.5599999</v>
      </c>
      <c r="AV35" s="1198"/>
      <c r="AW35" s="634"/>
      <c r="AX35" s="638"/>
      <c r="AY35" s="639"/>
      <c r="AZ35" s="1196"/>
      <c r="BA35" s="1197">
        <f>SUM(AZ36:BB36)</f>
        <v>384084543.96999997</v>
      </c>
      <c r="BB35" s="1198"/>
      <c r="BC35" s="638"/>
      <c r="BD35" s="638"/>
      <c r="BE35" s="639"/>
      <c r="BF35" s="1196"/>
      <c r="BG35" s="1197">
        <f>SUM(BF36:BH36)</f>
        <v>918690067.59000003</v>
      </c>
      <c r="BH35" s="1198"/>
      <c r="BI35" s="638"/>
      <c r="BK35" s="1138"/>
      <c r="BL35" s="1138"/>
      <c r="BM35" s="1138"/>
      <c r="BN35" s="1138"/>
    </row>
    <row r="36" spans="1:66" ht="21.75" customHeight="1" thickBot="1" x14ac:dyDescent="0.3">
      <c r="A36" s="1201" t="s">
        <v>8</v>
      </c>
      <c r="B36" s="640">
        <f t="shared" ref="B36:BI36" si="23">B29+B33</f>
        <v>47669324243.849991</v>
      </c>
      <c r="C36" s="641">
        <f t="shared" si="23"/>
        <v>8554272630.8400011</v>
      </c>
      <c r="D36" s="640">
        <f t="shared" si="23"/>
        <v>17864677673.619999</v>
      </c>
      <c r="E36" s="641">
        <f t="shared" si="23"/>
        <v>17150133877.010002</v>
      </c>
      <c r="F36" s="640">
        <f t="shared" si="23"/>
        <v>4100240062.3800006</v>
      </c>
      <c r="G36" s="640">
        <f t="shared" si="23"/>
        <v>0</v>
      </c>
      <c r="H36" s="641">
        <f t="shared" si="23"/>
        <v>43627239366.300003</v>
      </c>
      <c r="I36" s="640">
        <f t="shared" si="23"/>
        <v>6759825408.3000002</v>
      </c>
      <c r="J36" s="641">
        <f t="shared" si="23"/>
        <v>16371095829.519997</v>
      </c>
      <c r="K36" s="640">
        <f t="shared" si="23"/>
        <v>17113164577.010002</v>
      </c>
      <c r="L36" s="640">
        <f t="shared" si="23"/>
        <v>3383153551.4700007</v>
      </c>
      <c r="M36" s="641">
        <f t="shared" si="23"/>
        <v>0</v>
      </c>
      <c r="N36" s="640">
        <f t="shared" si="23"/>
        <v>4042084877.5500007</v>
      </c>
      <c r="O36" s="641">
        <f t="shared" si="23"/>
        <v>1794447222.5400002</v>
      </c>
      <c r="P36" s="640">
        <f t="shared" si="23"/>
        <v>1493581844.0999999</v>
      </c>
      <c r="Q36" s="641">
        <f t="shared" si="23"/>
        <v>36969300</v>
      </c>
      <c r="R36" s="640">
        <f t="shared" si="23"/>
        <v>717086510.90999997</v>
      </c>
      <c r="S36" s="640">
        <f t="shared" si="23"/>
        <v>0</v>
      </c>
      <c r="T36" s="642">
        <f t="shared" si="23"/>
        <v>1888468271.72</v>
      </c>
      <c r="U36" s="643">
        <f t="shared" si="23"/>
        <v>1090685167.0800002</v>
      </c>
      <c r="V36" s="642">
        <f t="shared" si="23"/>
        <v>369733401.5800001</v>
      </c>
      <c r="W36" s="643">
        <f t="shared" si="23"/>
        <v>36969300</v>
      </c>
      <c r="X36" s="642">
        <f t="shared" si="23"/>
        <v>391080403.05999994</v>
      </c>
      <c r="Y36" s="642">
        <f t="shared" si="23"/>
        <v>0</v>
      </c>
      <c r="Z36" s="642">
        <f t="shared" si="23"/>
        <v>2153616605.8299999</v>
      </c>
      <c r="AA36" s="643">
        <f t="shared" si="23"/>
        <v>703762055.46000004</v>
      </c>
      <c r="AB36" s="1135">
        <f t="shared" si="23"/>
        <v>1123848442.5199997</v>
      </c>
      <c r="AC36" s="1136">
        <f t="shared" si="23"/>
        <v>0</v>
      </c>
      <c r="AD36" s="1135">
        <f t="shared" si="23"/>
        <v>326006107.84999996</v>
      </c>
      <c r="AE36" s="642">
        <f t="shared" si="23"/>
        <v>0</v>
      </c>
      <c r="AF36" s="640">
        <f t="shared" si="23"/>
        <v>29679958564.989998</v>
      </c>
      <c r="AG36" s="641">
        <f t="shared" si="23"/>
        <v>5707690878.3099995</v>
      </c>
      <c r="AH36" s="640">
        <f t="shared" si="23"/>
        <v>9093594681.5</v>
      </c>
      <c r="AI36" s="641">
        <f t="shared" si="23"/>
        <v>12965830311.98</v>
      </c>
      <c r="AJ36" s="640">
        <f t="shared" si="23"/>
        <v>1912842693.2</v>
      </c>
      <c r="AK36" s="640">
        <f t="shared" si="23"/>
        <v>0</v>
      </c>
      <c r="AL36" s="641">
        <f t="shared" si="23"/>
        <v>27113583547.839996</v>
      </c>
      <c r="AM36" s="640">
        <f t="shared" si="23"/>
        <v>4444090472.7200003</v>
      </c>
      <c r="AN36" s="641">
        <f t="shared" si="23"/>
        <v>8202753978.6899996</v>
      </c>
      <c r="AO36" s="640">
        <f t="shared" si="23"/>
        <v>12943135137.189999</v>
      </c>
      <c r="AP36" s="640">
        <f t="shared" si="23"/>
        <v>1523603959.24</v>
      </c>
      <c r="AQ36" s="641">
        <f t="shared" si="23"/>
        <v>0</v>
      </c>
      <c r="AR36" s="640">
        <f t="shared" si="23"/>
        <v>2566375017.1499996</v>
      </c>
      <c r="AS36" s="641">
        <f t="shared" si="23"/>
        <v>1263600405.5900002</v>
      </c>
      <c r="AT36" s="640">
        <f t="shared" si="23"/>
        <v>890840702.80999994</v>
      </c>
      <c r="AU36" s="641">
        <f t="shared" si="23"/>
        <v>22695174.790000003</v>
      </c>
      <c r="AV36" s="640">
        <f t="shared" si="23"/>
        <v>389238733.95999998</v>
      </c>
      <c r="AW36" s="640">
        <f t="shared" si="23"/>
        <v>0</v>
      </c>
      <c r="AX36" s="642">
        <f t="shared" si="23"/>
        <v>1146660844.5599999</v>
      </c>
      <c r="AY36" s="643">
        <f t="shared" si="23"/>
        <v>762576300.59000003</v>
      </c>
      <c r="AZ36" s="642">
        <f t="shared" si="23"/>
        <v>196515153.81999999</v>
      </c>
      <c r="BA36" s="643">
        <f t="shared" si="23"/>
        <v>22695174.790000003</v>
      </c>
      <c r="BB36" s="642">
        <f t="shared" si="23"/>
        <v>164874215.35999998</v>
      </c>
      <c r="BC36" s="642">
        <f t="shared" si="23"/>
        <v>0</v>
      </c>
      <c r="BD36" s="642">
        <f t="shared" si="23"/>
        <v>1419714172.5900002</v>
      </c>
      <c r="BE36" s="643">
        <f t="shared" si="23"/>
        <v>501024105</v>
      </c>
      <c r="BF36" s="642">
        <f t="shared" si="23"/>
        <v>694325548.99000001</v>
      </c>
      <c r="BG36" s="643">
        <f t="shared" si="23"/>
        <v>0</v>
      </c>
      <c r="BH36" s="642">
        <f t="shared" si="23"/>
        <v>224364518.60000002</v>
      </c>
      <c r="BI36" s="642">
        <f t="shared" si="23"/>
        <v>0</v>
      </c>
      <c r="BK36" s="1138">
        <f t="shared" si="10"/>
        <v>39115051.613010004</v>
      </c>
      <c r="BL36" s="1138">
        <f t="shared" si="11"/>
        <v>36867413.957999997</v>
      </c>
      <c r="BM36" s="1138">
        <f t="shared" si="12"/>
        <v>797783.10464000015</v>
      </c>
      <c r="BN36" s="1138">
        <f t="shared" si="13"/>
        <v>1449854.5503699996</v>
      </c>
    </row>
    <row r="37" spans="1:66" x14ac:dyDescent="0.25">
      <c r="B37" s="644">
        <f>B36-C36-E36-D36-G36-F36</f>
        <v>-1.4781951904296875E-5</v>
      </c>
      <c r="E37" s="644"/>
      <c r="H37" s="644">
        <f>H36-I36-K36-J36-M36-L36</f>
        <v>0</v>
      </c>
      <c r="K37" s="644"/>
      <c r="N37" s="644">
        <f>N36-O36-Q36-P36-S36-R36</f>
        <v>0</v>
      </c>
      <c r="Q37" s="644"/>
      <c r="Z37" s="645">
        <f>SUM(AA37:AE37)</f>
        <v>0</v>
      </c>
      <c r="AA37" s="645">
        <f>AA36-'Проверочная  таблица'!D52</f>
        <v>0</v>
      </c>
      <c r="AB37" s="645">
        <f>AB36-'Проверочная  таблица'!AN52</f>
        <v>0</v>
      </c>
      <c r="AC37" s="645">
        <f>AC36-'Проверочная  таблица'!VB52</f>
        <v>0</v>
      </c>
      <c r="AD37" s="645">
        <f>AD36-'Проверочная  таблица'!WJ52</f>
        <v>0</v>
      </c>
      <c r="AE37" s="645"/>
      <c r="AF37" s="644">
        <f>AF36-AG36-AI36-AH36-AK36-AJ36</f>
        <v>0</v>
      </c>
      <c r="AI37" s="644"/>
      <c r="AL37" s="644">
        <f>AL36-AM36-AO36-AN36-AQ36-AP36</f>
        <v>-3.0994415283203125E-6</v>
      </c>
      <c r="AO37" s="644"/>
      <c r="AR37" s="644">
        <f>AR36-AS36-AU36-AT36-AW36-AV36</f>
        <v>0</v>
      </c>
      <c r="AU37" s="644"/>
      <c r="BD37" s="645">
        <f>SUM(BE37:BI37)</f>
        <v>0</v>
      </c>
      <c r="BE37" s="645">
        <f>BE36-'Проверочная  таблица'!E52</f>
        <v>0</v>
      </c>
      <c r="BF37" s="645">
        <f>BF36-'Проверочная  таблица'!AO52</f>
        <v>0</v>
      </c>
      <c r="BG37" s="645">
        <f>BG36-'Проверочная  таблица'!VE52</f>
        <v>0</v>
      </c>
      <c r="BH37" s="645">
        <f>BH36-'Проверочная  таблица'!WK52</f>
        <v>0</v>
      </c>
      <c r="BI37" s="645"/>
    </row>
    <row r="38" spans="1:66" x14ac:dyDescent="0.25">
      <c r="B38" s="644"/>
      <c r="E38" s="646"/>
      <c r="H38" s="644">
        <f>H36-'Проверочная  таблица'!B50-'Проверочная  таблица'!B49</f>
        <v>0</v>
      </c>
      <c r="N38" s="644">
        <f>N36-'Проверочная  таблица'!B51</f>
        <v>0</v>
      </c>
      <c r="AB38" s="647">
        <f>AB36-[1]Субсидия_факт!$I$35</f>
        <v>187838454.12999976</v>
      </c>
      <c r="AF38" s="644"/>
      <c r="AL38" s="644">
        <f>AL36-'Проверочная  таблица'!C50-'Проверочная  таблица'!C49</f>
        <v>0</v>
      </c>
      <c r="AR38" s="644">
        <f>AR36-'Проверочная  таблица'!C51</f>
        <v>0</v>
      </c>
    </row>
    <row r="39" spans="1:66" x14ac:dyDescent="0.25">
      <c r="A39" s="648" t="s">
        <v>748</v>
      </c>
      <c r="B39" s="649">
        <f>B29-B40</f>
        <v>19531649817.249996</v>
      </c>
      <c r="C39" s="649">
        <f t="shared" ref="C39:BH39" si="24">C29-C40</f>
        <v>2926763435.5400009</v>
      </c>
      <c r="D39" s="649">
        <f t="shared" si="24"/>
        <v>7249401821.4400005</v>
      </c>
      <c r="E39" s="649">
        <f t="shared" si="24"/>
        <v>7160711883.21</v>
      </c>
      <c r="F39" s="649">
        <f t="shared" si="24"/>
        <v>2194772677.0600004</v>
      </c>
      <c r="G39" s="649">
        <f t="shared" si="24"/>
        <v>0</v>
      </c>
      <c r="H39" s="649">
        <f t="shared" si="24"/>
        <v>15493652373.610001</v>
      </c>
      <c r="I39" s="649">
        <f t="shared" si="24"/>
        <v>1132316213</v>
      </c>
      <c r="J39" s="649">
        <f t="shared" si="24"/>
        <v>5759502982.5399981</v>
      </c>
      <c r="K39" s="649">
        <f t="shared" si="24"/>
        <v>7123742583.21</v>
      </c>
      <c r="L39" s="649">
        <f t="shared" si="24"/>
        <v>1478090594.8600006</v>
      </c>
      <c r="M39" s="649">
        <f t="shared" si="24"/>
        <v>0</v>
      </c>
      <c r="N39" s="649">
        <f t="shared" si="24"/>
        <v>4037997443.6400008</v>
      </c>
      <c r="O39" s="649">
        <f t="shared" si="24"/>
        <v>1794447222.5400002</v>
      </c>
      <c r="P39" s="649">
        <f t="shared" si="24"/>
        <v>1489898838.8999999</v>
      </c>
      <c r="Q39" s="649">
        <f t="shared" si="24"/>
        <v>36969300</v>
      </c>
      <c r="R39" s="649">
        <f t="shared" si="24"/>
        <v>716682082.19999993</v>
      </c>
      <c r="S39" s="649">
        <f t="shared" si="24"/>
        <v>0</v>
      </c>
      <c r="T39" s="649">
        <f t="shared" si="24"/>
        <v>1890501538.99</v>
      </c>
      <c r="U39" s="649">
        <f t="shared" si="24"/>
        <v>1090685167.0800002</v>
      </c>
      <c r="V39" s="649">
        <f t="shared" si="24"/>
        <v>372171097.56000012</v>
      </c>
      <c r="W39" s="649">
        <f t="shared" si="24"/>
        <v>36969300</v>
      </c>
      <c r="X39" s="649">
        <f t="shared" si="24"/>
        <v>390675974.34999996</v>
      </c>
      <c r="Y39" s="649">
        <f t="shared" si="24"/>
        <v>0</v>
      </c>
      <c r="Z39" s="649">
        <f t="shared" si="24"/>
        <v>2147495904.6500001</v>
      </c>
      <c r="AA39" s="649">
        <f t="shared" si="24"/>
        <v>703762055.46000004</v>
      </c>
      <c r="AB39" s="649">
        <f t="shared" si="24"/>
        <v>1117727741.3399997</v>
      </c>
      <c r="AC39" s="649">
        <f t="shared" si="24"/>
        <v>0</v>
      </c>
      <c r="AD39" s="649">
        <f t="shared" si="24"/>
        <v>326006107.84999996</v>
      </c>
      <c r="AE39" s="649">
        <f t="shared" si="24"/>
        <v>0</v>
      </c>
      <c r="AF39" s="649">
        <f t="shared" si="24"/>
        <v>11554617801.73</v>
      </c>
      <c r="AG39" s="649">
        <f t="shared" si="24"/>
        <v>2081639982.5799994</v>
      </c>
      <c r="AH39" s="649">
        <f t="shared" si="24"/>
        <v>2866658913.9000006</v>
      </c>
      <c r="AI39" s="649">
        <f t="shared" si="24"/>
        <v>5563321279.6700001</v>
      </c>
      <c r="AJ39" s="649">
        <f t="shared" si="24"/>
        <v>1042997625.5799999</v>
      </c>
      <c r="AK39" s="649">
        <f t="shared" si="24"/>
        <v>0</v>
      </c>
      <c r="AL39" s="649">
        <f t="shared" si="24"/>
        <v>8988242784.5799999</v>
      </c>
      <c r="AM39" s="649">
        <f t="shared" si="24"/>
        <v>818039576.99000001</v>
      </c>
      <c r="AN39" s="649">
        <f t="shared" si="24"/>
        <v>1975818211.0900006</v>
      </c>
      <c r="AO39" s="649">
        <f t="shared" si="24"/>
        <v>5540626104.8799992</v>
      </c>
      <c r="AP39" s="649">
        <f t="shared" si="24"/>
        <v>653758891.61999989</v>
      </c>
      <c r="AQ39" s="649">
        <f t="shared" si="24"/>
        <v>0</v>
      </c>
      <c r="AR39" s="649">
        <f t="shared" si="24"/>
        <v>2566375017.1499996</v>
      </c>
      <c r="AS39" s="649">
        <f t="shared" si="24"/>
        <v>1263600405.5900002</v>
      </c>
      <c r="AT39" s="649">
        <f t="shared" si="24"/>
        <v>890840702.80999994</v>
      </c>
      <c r="AU39" s="649">
        <f t="shared" si="24"/>
        <v>22695174.790000003</v>
      </c>
      <c r="AV39" s="649">
        <f t="shared" si="24"/>
        <v>389238733.95999998</v>
      </c>
      <c r="AW39" s="649">
        <f t="shared" si="24"/>
        <v>0</v>
      </c>
      <c r="AX39" s="649">
        <f t="shared" si="24"/>
        <v>1146660844.5599999</v>
      </c>
      <c r="AY39" s="649">
        <f t="shared" si="24"/>
        <v>762576300.59000003</v>
      </c>
      <c r="AZ39" s="649">
        <f t="shared" si="24"/>
        <v>196515153.81999999</v>
      </c>
      <c r="BA39" s="649">
        <f t="shared" si="24"/>
        <v>22695174.790000003</v>
      </c>
      <c r="BB39" s="649">
        <f t="shared" si="24"/>
        <v>164874215.35999998</v>
      </c>
      <c r="BC39" s="649">
        <f t="shared" si="24"/>
        <v>0</v>
      </c>
      <c r="BD39" s="649">
        <f t="shared" si="24"/>
        <v>1419714172.5900002</v>
      </c>
      <c r="BE39" s="649">
        <f t="shared" si="24"/>
        <v>501024105</v>
      </c>
      <c r="BF39" s="649">
        <f t="shared" si="24"/>
        <v>694325548.99000001</v>
      </c>
      <c r="BG39" s="649">
        <f t="shared" si="24"/>
        <v>0</v>
      </c>
      <c r="BH39" s="649">
        <f t="shared" si="24"/>
        <v>224364518.60000002</v>
      </c>
    </row>
    <row r="40" spans="1:66" x14ac:dyDescent="0.25">
      <c r="A40" s="650" t="s">
        <v>749</v>
      </c>
      <c r="B40" s="651">
        <f t="shared" ref="B40:AG40" si="25">B11+B15+B19+B24</f>
        <v>4449454991.6600008</v>
      </c>
      <c r="C40" s="651">
        <f t="shared" si="25"/>
        <v>864298752</v>
      </c>
      <c r="D40" s="651">
        <f t="shared" si="25"/>
        <v>1901822779.3299999</v>
      </c>
      <c r="E40" s="651">
        <f t="shared" si="25"/>
        <v>1283305196.96</v>
      </c>
      <c r="F40" s="651">
        <f t="shared" si="25"/>
        <v>400028263.37</v>
      </c>
      <c r="G40" s="651">
        <f t="shared" si="25"/>
        <v>0</v>
      </c>
      <c r="H40" s="651">
        <f t="shared" si="25"/>
        <v>4445367557.750001</v>
      </c>
      <c r="I40" s="651">
        <f t="shared" si="25"/>
        <v>864298752</v>
      </c>
      <c r="J40" s="651">
        <f t="shared" si="25"/>
        <v>1898139774.1299999</v>
      </c>
      <c r="K40" s="651">
        <f t="shared" si="25"/>
        <v>1283305196.96</v>
      </c>
      <c r="L40" s="651">
        <f t="shared" si="25"/>
        <v>399623834.65999997</v>
      </c>
      <c r="M40" s="651">
        <f t="shared" si="25"/>
        <v>0</v>
      </c>
      <c r="N40" s="651">
        <f t="shared" si="25"/>
        <v>4087433.91</v>
      </c>
      <c r="O40" s="651">
        <f t="shared" si="25"/>
        <v>0</v>
      </c>
      <c r="P40" s="651">
        <f t="shared" si="25"/>
        <v>3683005.2</v>
      </c>
      <c r="Q40" s="651">
        <f t="shared" si="25"/>
        <v>0</v>
      </c>
      <c r="R40" s="651">
        <f t="shared" si="25"/>
        <v>404428.71000000008</v>
      </c>
      <c r="S40" s="651">
        <f t="shared" si="25"/>
        <v>0</v>
      </c>
      <c r="T40" s="651">
        <f t="shared" si="25"/>
        <v>-2033267.2699999998</v>
      </c>
      <c r="U40" s="651">
        <f t="shared" si="25"/>
        <v>0</v>
      </c>
      <c r="V40" s="651">
        <f t="shared" si="25"/>
        <v>-2437695.9799999995</v>
      </c>
      <c r="W40" s="651">
        <f t="shared" si="25"/>
        <v>0</v>
      </c>
      <c r="X40" s="651">
        <f t="shared" si="25"/>
        <v>404428.71000000008</v>
      </c>
      <c r="Y40" s="651">
        <f t="shared" si="25"/>
        <v>0</v>
      </c>
      <c r="Z40" s="651">
        <f t="shared" si="25"/>
        <v>6120701.1800000006</v>
      </c>
      <c r="AA40" s="651">
        <f t="shared" si="25"/>
        <v>0</v>
      </c>
      <c r="AB40" s="651">
        <f t="shared" si="25"/>
        <v>6120701.1800000006</v>
      </c>
      <c r="AC40" s="651">
        <f t="shared" si="25"/>
        <v>0</v>
      </c>
      <c r="AD40" s="651">
        <f t="shared" si="25"/>
        <v>0</v>
      </c>
      <c r="AE40" s="651">
        <f t="shared" si="25"/>
        <v>0</v>
      </c>
      <c r="AF40" s="651">
        <f t="shared" si="25"/>
        <v>2763204658.9200001</v>
      </c>
      <c r="AG40" s="651">
        <f t="shared" si="25"/>
        <v>562968000</v>
      </c>
      <c r="AH40" s="651">
        <f t="shared" ref="AH40:BH40" si="26">AH11+AH15+AH19+AH24</f>
        <v>1072737231.8099999</v>
      </c>
      <c r="AI40" s="651">
        <f t="shared" si="26"/>
        <v>962388022.44000006</v>
      </c>
      <c r="AJ40" s="651">
        <f t="shared" si="26"/>
        <v>165111404.67000002</v>
      </c>
      <c r="AK40" s="651">
        <f t="shared" si="26"/>
        <v>0</v>
      </c>
      <c r="AL40" s="651">
        <f t="shared" si="26"/>
        <v>2763204658.9200001</v>
      </c>
      <c r="AM40" s="651">
        <f t="shared" si="26"/>
        <v>562968000</v>
      </c>
      <c r="AN40" s="651">
        <f t="shared" si="26"/>
        <v>1072737231.8099999</v>
      </c>
      <c r="AO40" s="651">
        <f t="shared" si="26"/>
        <v>962388022.44000006</v>
      </c>
      <c r="AP40" s="651">
        <f t="shared" si="26"/>
        <v>165111404.67000002</v>
      </c>
      <c r="AQ40" s="651">
        <f t="shared" si="26"/>
        <v>0</v>
      </c>
      <c r="AR40" s="651">
        <f t="shared" si="26"/>
        <v>0</v>
      </c>
      <c r="AS40" s="651">
        <f t="shared" si="26"/>
        <v>0</v>
      </c>
      <c r="AT40" s="651">
        <f t="shared" si="26"/>
        <v>0</v>
      </c>
      <c r="AU40" s="651">
        <f t="shared" si="26"/>
        <v>0</v>
      </c>
      <c r="AV40" s="651">
        <f t="shared" si="26"/>
        <v>0</v>
      </c>
      <c r="AW40" s="651">
        <f t="shared" si="26"/>
        <v>0</v>
      </c>
      <c r="AX40" s="651">
        <f t="shared" si="26"/>
        <v>0</v>
      </c>
      <c r="AY40" s="651">
        <f t="shared" si="26"/>
        <v>0</v>
      </c>
      <c r="AZ40" s="651">
        <f t="shared" si="26"/>
        <v>0</v>
      </c>
      <c r="BA40" s="651">
        <f t="shared" si="26"/>
        <v>0</v>
      </c>
      <c r="BB40" s="651">
        <f t="shared" si="26"/>
        <v>0</v>
      </c>
      <c r="BC40" s="651">
        <f t="shared" si="26"/>
        <v>0</v>
      </c>
      <c r="BD40" s="651">
        <f t="shared" si="26"/>
        <v>0</v>
      </c>
      <c r="BE40" s="651">
        <f t="shared" si="26"/>
        <v>0</v>
      </c>
      <c r="BF40" s="651">
        <f t="shared" si="26"/>
        <v>0</v>
      </c>
      <c r="BG40" s="651">
        <f t="shared" si="26"/>
        <v>0</v>
      </c>
      <c r="BH40" s="651">
        <f t="shared" si="26"/>
        <v>0</v>
      </c>
    </row>
    <row r="41" spans="1:66" x14ac:dyDescent="0.25">
      <c r="A41" s="648" t="s">
        <v>750</v>
      </c>
      <c r="B41" s="652">
        <f>B33</f>
        <v>23688219434.939999</v>
      </c>
      <c r="C41" s="652">
        <f t="shared" ref="C41:BH41" si="27">C33</f>
        <v>4763210443.3000002</v>
      </c>
      <c r="D41" s="652">
        <f t="shared" si="27"/>
        <v>8713453072.8499985</v>
      </c>
      <c r="E41" s="652">
        <f t="shared" si="27"/>
        <v>8706116796.8400021</v>
      </c>
      <c r="F41" s="652">
        <f t="shared" si="27"/>
        <v>1505439121.9500003</v>
      </c>
      <c r="G41" s="652">
        <f t="shared" si="27"/>
        <v>0</v>
      </c>
      <c r="H41" s="652">
        <f t="shared" si="27"/>
        <v>23688219434.939999</v>
      </c>
      <c r="I41" s="652">
        <f t="shared" si="27"/>
        <v>4763210443.3000002</v>
      </c>
      <c r="J41" s="652">
        <f t="shared" si="27"/>
        <v>8713453072.8499985</v>
      </c>
      <c r="K41" s="652">
        <f t="shared" si="27"/>
        <v>8706116796.8400021</v>
      </c>
      <c r="L41" s="652">
        <f t="shared" si="27"/>
        <v>1505439121.9500003</v>
      </c>
      <c r="M41" s="652">
        <f t="shared" si="27"/>
        <v>0</v>
      </c>
      <c r="N41" s="652">
        <f t="shared" si="27"/>
        <v>0</v>
      </c>
      <c r="O41" s="652">
        <f t="shared" si="27"/>
        <v>0</v>
      </c>
      <c r="P41" s="652">
        <f t="shared" si="27"/>
        <v>0</v>
      </c>
      <c r="Q41" s="652">
        <f t="shared" si="27"/>
        <v>0</v>
      </c>
      <c r="R41" s="652">
        <f t="shared" si="27"/>
        <v>0</v>
      </c>
      <c r="S41" s="652">
        <f t="shared" si="27"/>
        <v>0</v>
      </c>
      <c r="T41" s="652">
        <f t="shared" si="27"/>
        <v>0</v>
      </c>
      <c r="U41" s="652">
        <f t="shared" si="27"/>
        <v>0</v>
      </c>
      <c r="V41" s="652">
        <f t="shared" si="27"/>
        <v>0</v>
      </c>
      <c r="W41" s="652">
        <f t="shared" si="27"/>
        <v>0</v>
      </c>
      <c r="X41" s="652">
        <f t="shared" si="27"/>
        <v>0</v>
      </c>
      <c r="Y41" s="652">
        <f t="shared" si="27"/>
        <v>0</v>
      </c>
      <c r="Z41" s="652">
        <f t="shared" si="27"/>
        <v>0</v>
      </c>
      <c r="AA41" s="652">
        <f t="shared" si="27"/>
        <v>0</v>
      </c>
      <c r="AB41" s="652">
        <f t="shared" si="27"/>
        <v>0</v>
      </c>
      <c r="AC41" s="652">
        <f t="shared" si="27"/>
        <v>0</v>
      </c>
      <c r="AD41" s="652">
        <f t="shared" si="27"/>
        <v>0</v>
      </c>
      <c r="AE41" s="652">
        <f t="shared" si="27"/>
        <v>0</v>
      </c>
      <c r="AF41" s="652">
        <f t="shared" si="27"/>
        <v>15362136104.339998</v>
      </c>
      <c r="AG41" s="652">
        <f t="shared" si="27"/>
        <v>3063082895.73</v>
      </c>
      <c r="AH41" s="652">
        <f t="shared" si="27"/>
        <v>5154198535.789999</v>
      </c>
      <c r="AI41" s="652">
        <f t="shared" si="27"/>
        <v>6440121009.8699999</v>
      </c>
      <c r="AJ41" s="652">
        <f t="shared" si="27"/>
        <v>704733662.95000005</v>
      </c>
      <c r="AK41" s="652">
        <f t="shared" si="27"/>
        <v>0</v>
      </c>
      <c r="AL41" s="652">
        <f t="shared" si="27"/>
        <v>15362136104.339998</v>
      </c>
      <c r="AM41" s="652">
        <f t="shared" si="27"/>
        <v>3063082895.73</v>
      </c>
      <c r="AN41" s="652">
        <f t="shared" si="27"/>
        <v>5154198535.789999</v>
      </c>
      <c r="AO41" s="652">
        <f t="shared" si="27"/>
        <v>6440121009.8699999</v>
      </c>
      <c r="AP41" s="652">
        <f t="shared" si="27"/>
        <v>704733662.95000005</v>
      </c>
      <c r="AQ41" s="652">
        <f t="shared" si="27"/>
        <v>0</v>
      </c>
      <c r="AR41" s="652">
        <f t="shared" si="27"/>
        <v>0</v>
      </c>
      <c r="AS41" s="652">
        <f t="shared" si="27"/>
        <v>0</v>
      </c>
      <c r="AT41" s="652">
        <f t="shared" si="27"/>
        <v>0</v>
      </c>
      <c r="AU41" s="652">
        <f t="shared" si="27"/>
        <v>0</v>
      </c>
      <c r="AV41" s="652">
        <f t="shared" si="27"/>
        <v>0</v>
      </c>
      <c r="AW41" s="652">
        <f t="shared" si="27"/>
        <v>0</v>
      </c>
      <c r="AX41" s="652">
        <f t="shared" si="27"/>
        <v>0</v>
      </c>
      <c r="AY41" s="652">
        <f t="shared" si="27"/>
        <v>0</v>
      </c>
      <c r="AZ41" s="652">
        <f t="shared" si="27"/>
        <v>0</v>
      </c>
      <c r="BA41" s="652">
        <f t="shared" si="27"/>
        <v>0</v>
      </c>
      <c r="BB41" s="652">
        <f t="shared" si="27"/>
        <v>0</v>
      </c>
      <c r="BC41" s="652">
        <f t="shared" si="27"/>
        <v>0</v>
      </c>
      <c r="BD41" s="652">
        <f t="shared" si="27"/>
        <v>0</v>
      </c>
      <c r="BE41" s="652">
        <f t="shared" si="27"/>
        <v>0</v>
      </c>
      <c r="BF41" s="652">
        <f t="shared" si="27"/>
        <v>0</v>
      </c>
      <c r="BG41" s="652">
        <f t="shared" si="27"/>
        <v>0</v>
      </c>
      <c r="BH41" s="652">
        <f t="shared" si="27"/>
        <v>0</v>
      </c>
    </row>
    <row r="42" spans="1:66" x14ac:dyDescent="0.25">
      <c r="B42" s="644"/>
      <c r="E42" s="646"/>
      <c r="H42" s="644"/>
      <c r="N42" s="644"/>
      <c r="AB42" s="647"/>
      <c r="AF42" s="644"/>
      <c r="AL42" s="644"/>
      <c r="AR42" s="644"/>
    </row>
    <row r="43" spans="1:66" x14ac:dyDescent="0.25">
      <c r="B43" s="644"/>
      <c r="E43" s="646"/>
      <c r="H43" s="644"/>
      <c r="N43" s="644"/>
      <c r="AB43" s="647"/>
      <c r="AF43" s="644"/>
      <c r="AL43" s="644"/>
      <c r="AR43" s="644"/>
    </row>
    <row r="44" spans="1:66" ht="21" customHeight="1" x14ac:dyDescent="0.25">
      <c r="A44" s="653" t="s">
        <v>808</v>
      </c>
      <c r="B44" s="654"/>
      <c r="C44" s="654"/>
      <c r="D44" s="654"/>
      <c r="E44" s="654"/>
      <c r="F44" s="654"/>
      <c r="G44" s="654"/>
      <c r="H44" s="654"/>
      <c r="I44" s="655"/>
      <c r="J44" s="655"/>
      <c r="K44" s="655"/>
      <c r="L44" s="655"/>
      <c r="M44" s="655"/>
      <c r="N44" s="656">
        <f>'Проверочная  таблица'!H37</f>
        <v>593090602.53999996</v>
      </c>
      <c r="O44" s="656"/>
      <c r="P44" s="656"/>
      <c r="Q44" s="656"/>
      <c r="R44" s="656"/>
      <c r="S44" s="656"/>
      <c r="T44" s="656"/>
      <c r="U44" s="656"/>
      <c r="V44" s="656"/>
      <c r="W44" s="656"/>
      <c r="X44" s="656"/>
      <c r="Y44" s="656"/>
      <c r="Z44" s="656"/>
      <c r="AA44" s="656"/>
      <c r="AB44" s="656"/>
      <c r="AC44" s="656"/>
      <c r="AD44" s="656"/>
      <c r="AE44" s="656"/>
      <c r="AF44" s="657"/>
      <c r="AG44" s="657"/>
      <c r="AH44" s="657"/>
      <c r="AI44" s="657"/>
      <c r="AJ44" s="657"/>
      <c r="AK44" s="657"/>
      <c r="AL44" s="655"/>
      <c r="AM44" s="655"/>
      <c r="AN44" s="655"/>
      <c r="AO44" s="655"/>
      <c r="AP44" s="655"/>
      <c r="AQ44" s="655"/>
      <c r="AR44" s="656">
        <f>'Проверочная  таблица'!I37</f>
        <v>453357584.58000004</v>
      </c>
      <c r="AS44" s="654"/>
      <c r="AT44" s="654"/>
      <c r="AU44" s="654"/>
      <c r="AV44" s="654"/>
      <c r="AW44" s="654"/>
      <c r="AX44" s="654"/>
      <c r="AY44" s="654"/>
      <c r="AZ44" s="654"/>
      <c r="BA44" s="654"/>
      <c r="BB44" s="654"/>
      <c r="BC44" s="654"/>
      <c r="BD44" s="654"/>
      <c r="BE44" s="654"/>
      <c r="BF44" s="654"/>
      <c r="BG44" s="654"/>
      <c r="BH44" s="654"/>
      <c r="BI44" s="654"/>
    </row>
    <row r="45" spans="1:66" ht="21" customHeight="1" x14ac:dyDescent="0.25">
      <c r="A45" s="653" t="s">
        <v>809</v>
      </c>
      <c r="B45" s="654"/>
      <c r="C45" s="654"/>
      <c r="D45" s="654"/>
      <c r="E45" s="654"/>
      <c r="F45" s="654"/>
      <c r="G45" s="654"/>
      <c r="H45" s="654"/>
      <c r="I45" s="655"/>
      <c r="J45" s="655"/>
      <c r="K45" s="655"/>
      <c r="L45" s="655"/>
      <c r="M45" s="655"/>
      <c r="N45" s="656">
        <f>'Проверочная  таблица'!P37</f>
        <v>1189856620</v>
      </c>
      <c r="O45" s="656"/>
      <c r="P45" s="656"/>
      <c r="Q45" s="656"/>
      <c r="R45" s="656"/>
      <c r="S45" s="656"/>
      <c r="T45" s="656"/>
      <c r="U45" s="656"/>
      <c r="V45" s="656"/>
      <c r="W45" s="656"/>
      <c r="X45" s="656"/>
      <c r="Y45" s="656"/>
      <c r="Z45" s="656"/>
      <c r="AA45" s="656"/>
      <c r="AB45" s="656"/>
      <c r="AC45" s="656"/>
      <c r="AD45" s="656"/>
      <c r="AE45" s="656"/>
      <c r="AF45" s="657"/>
      <c r="AG45" s="657"/>
      <c r="AH45" s="657"/>
      <c r="AI45" s="657"/>
      <c r="AJ45" s="657"/>
      <c r="AK45" s="657"/>
      <c r="AL45" s="655"/>
      <c r="AM45" s="655"/>
      <c r="AN45" s="655"/>
      <c r="AO45" s="655"/>
      <c r="AP45" s="655"/>
      <c r="AQ45" s="655"/>
      <c r="AR45" s="656">
        <f>'Проверочная  таблица'!Q37</f>
        <v>798742821.01000011</v>
      </c>
      <c r="AS45" s="654"/>
      <c r="AT45" s="654"/>
      <c r="AU45" s="658"/>
      <c r="AV45" s="658"/>
      <c r="AW45" s="658"/>
      <c r="AX45" s="658"/>
      <c r="AY45" s="658"/>
      <c r="AZ45" s="658"/>
      <c r="BA45" s="658"/>
      <c r="BB45" s="658"/>
      <c r="BC45" s="658"/>
      <c r="BD45" s="658"/>
      <c r="BE45" s="658"/>
      <c r="BF45" s="658"/>
      <c r="BG45" s="658"/>
      <c r="BH45" s="658"/>
      <c r="BI45" s="658"/>
    </row>
    <row r="46" spans="1:66" ht="21" customHeight="1" x14ac:dyDescent="0.25">
      <c r="A46" s="659" t="s">
        <v>810</v>
      </c>
      <c r="B46" s="658"/>
      <c r="C46" s="658"/>
      <c r="D46" s="658"/>
      <c r="E46" s="658"/>
      <c r="F46" s="658"/>
      <c r="G46" s="658"/>
      <c r="H46" s="658"/>
      <c r="I46" s="660"/>
      <c r="J46" s="660"/>
      <c r="K46" s="660"/>
      <c r="L46" s="660"/>
      <c r="M46" s="660"/>
      <c r="N46" s="661">
        <f>'Проверочная  таблица'!AD37</f>
        <v>11500000</v>
      </c>
      <c r="O46" s="661"/>
      <c r="P46" s="661"/>
      <c r="Q46" s="661"/>
      <c r="R46" s="661"/>
      <c r="S46" s="661"/>
      <c r="T46" s="661"/>
      <c r="U46" s="661"/>
      <c r="V46" s="661"/>
      <c r="W46" s="661"/>
      <c r="X46" s="661"/>
      <c r="Y46" s="661"/>
      <c r="Z46" s="661"/>
      <c r="AA46" s="661"/>
      <c r="AB46" s="661"/>
      <c r="AC46" s="661"/>
      <c r="AD46" s="661"/>
      <c r="AE46" s="661"/>
      <c r="AF46" s="662"/>
      <c r="AG46" s="662"/>
      <c r="AH46" s="662"/>
      <c r="AI46" s="662"/>
      <c r="AJ46" s="662"/>
      <c r="AK46" s="662"/>
      <c r="AL46" s="660"/>
      <c r="AM46" s="660"/>
      <c r="AN46" s="660"/>
      <c r="AO46" s="660"/>
      <c r="AP46" s="660"/>
      <c r="AQ46" s="660"/>
      <c r="AR46" s="661">
        <f>'Проверочная  таблица'!AG37</f>
        <v>11500000</v>
      </c>
      <c r="AS46" s="654"/>
      <c r="AT46" s="654"/>
      <c r="AU46" s="654"/>
      <c r="AV46" s="654"/>
      <c r="AW46" s="654"/>
      <c r="AX46" s="654"/>
      <c r="AY46" s="654"/>
      <c r="AZ46" s="654"/>
      <c r="BA46" s="654"/>
      <c r="BB46" s="654"/>
      <c r="BC46" s="654"/>
      <c r="BD46" s="654"/>
      <c r="BE46" s="654"/>
      <c r="BF46" s="654"/>
      <c r="BG46" s="654"/>
      <c r="BH46" s="654"/>
      <c r="BI46" s="654"/>
    </row>
    <row r="47" spans="1:66" ht="21" customHeight="1" x14ac:dyDescent="0.25">
      <c r="A47" s="659" t="s">
        <v>811</v>
      </c>
      <c r="B47" s="658"/>
      <c r="C47" s="658"/>
      <c r="D47" s="658"/>
      <c r="E47" s="658"/>
      <c r="F47" s="658"/>
      <c r="G47" s="658"/>
      <c r="H47" s="658"/>
      <c r="I47" s="660"/>
      <c r="J47" s="660"/>
      <c r="K47" s="660"/>
      <c r="L47" s="660"/>
      <c r="M47" s="660"/>
      <c r="N47" s="661">
        <f>'Проверочная  таблица'!BD37</f>
        <v>212375065.56999999</v>
      </c>
      <c r="O47" s="661"/>
      <c r="P47" s="661"/>
      <c r="Q47" s="661"/>
      <c r="R47" s="661"/>
      <c r="S47" s="661"/>
      <c r="T47" s="661"/>
      <c r="U47" s="661"/>
      <c r="V47" s="661"/>
      <c r="W47" s="661"/>
      <c r="X47" s="661"/>
      <c r="Y47" s="661"/>
      <c r="Z47" s="661"/>
      <c r="AA47" s="661"/>
      <c r="AB47" s="661"/>
      <c r="AC47" s="661"/>
      <c r="AD47" s="661"/>
      <c r="AE47" s="661"/>
      <c r="AF47" s="662"/>
      <c r="AG47" s="662"/>
      <c r="AH47" s="662"/>
      <c r="AI47" s="662"/>
      <c r="AJ47" s="662"/>
      <c r="AK47" s="662"/>
      <c r="AL47" s="660"/>
      <c r="AM47" s="660"/>
      <c r="AN47" s="660"/>
      <c r="AO47" s="660"/>
      <c r="AP47" s="660"/>
      <c r="AQ47" s="660"/>
      <c r="AR47" s="661">
        <f>'Проверочная  таблица'!BF37</f>
        <v>94677102.019999996</v>
      </c>
      <c r="AS47" s="658"/>
      <c r="AT47" s="658"/>
      <c r="AU47" s="654"/>
      <c r="AV47" s="654"/>
      <c r="AW47" s="654"/>
      <c r="AX47" s="654"/>
      <c r="AY47" s="654"/>
      <c r="AZ47" s="654"/>
      <c r="BA47" s="654"/>
      <c r="BB47" s="654"/>
      <c r="BC47" s="654"/>
      <c r="BD47" s="654"/>
      <c r="BE47" s="654"/>
      <c r="BF47" s="654"/>
      <c r="BG47" s="654"/>
      <c r="BH47" s="654"/>
      <c r="BI47" s="654"/>
    </row>
    <row r="48" spans="1:66" ht="21" customHeight="1" x14ac:dyDescent="0.25">
      <c r="A48" s="659" t="s">
        <v>812</v>
      </c>
      <c r="B48" s="658"/>
      <c r="C48" s="658"/>
      <c r="D48" s="658"/>
      <c r="E48" s="658"/>
      <c r="F48" s="658"/>
      <c r="G48" s="658"/>
      <c r="H48" s="658"/>
      <c r="I48" s="660"/>
      <c r="J48" s="660"/>
      <c r="K48" s="660"/>
      <c r="L48" s="660"/>
      <c r="M48" s="660"/>
      <c r="N48" s="661">
        <f>'Проверочная  таблица'!AV37</f>
        <v>91624576.299999997</v>
      </c>
      <c r="O48" s="661"/>
      <c r="P48" s="661"/>
      <c r="Q48" s="661"/>
      <c r="R48" s="661"/>
      <c r="S48" s="661"/>
      <c r="T48" s="661"/>
      <c r="U48" s="661"/>
      <c r="V48" s="661"/>
      <c r="W48" s="661"/>
      <c r="X48" s="661"/>
      <c r="Y48" s="661"/>
      <c r="Z48" s="661"/>
      <c r="AA48" s="661"/>
      <c r="AB48" s="661"/>
      <c r="AC48" s="661"/>
      <c r="AD48" s="661"/>
      <c r="AE48" s="661"/>
      <c r="AF48" s="662"/>
      <c r="AG48" s="662"/>
      <c r="AH48" s="662"/>
      <c r="AI48" s="662"/>
      <c r="AJ48" s="662"/>
      <c r="AK48" s="662"/>
      <c r="AL48" s="660"/>
      <c r="AM48" s="660"/>
      <c r="AN48" s="660"/>
      <c r="AO48" s="660"/>
      <c r="AP48" s="660"/>
      <c r="AQ48" s="660"/>
      <c r="AR48" s="661">
        <f>'Проверочная  таблица'!AX37</f>
        <v>0</v>
      </c>
      <c r="AS48" s="658"/>
      <c r="AT48" s="658"/>
      <c r="AU48" s="654"/>
      <c r="AV48" s="654"/>
      <c r="AW48" s="654"/>
      <c r="AX48" s="654"/>
      <c r="AY48" s="654"/>
      <c r="AZ48" s="654"/>
      <c r="BA48" s="654"/>
      <c r="BB48" s="654"/>
      <c r="BC48" s="654"/>
      <c r="BD48" s="654"/>
      <c r="BE48" s="654"/>
      <c r="BF48" s="654"/>
      <c r="BG48" s="654"/>
      <c r="BH48" s="654"/>
      <c r="BI48" s="654"/>
    </row>
    <row r="49" spans="1:61" ht="33" customHeight="1" x14ac:dyDescent="0.25">
      <c r="A49" s="1753" t="s">
        <v>813</v>
      </c>
      <c r="B49" s="1753"/>
      <c r="C49" s="1753"/>
      <c r="D49" s="1753"/>
      <c r="E49" s="1753"/>
      <c r="F49" s="1753"/>
      <c r="G49" s="1753"/>
      <c r="H49" s="1753"/>
      <c r="I49" s="1753"/>
      <c r="J49" s="1753"/>
      <c r="K49" s="1753"/>
      <c r="L49" s="660"/>
      <c r="M49" s="660"/>
      <c r="N49" s="661">
        <f>'Проверочная  таблица'!BN37</f>
        <v>0</v>
      </c>
      <c r="O49" s="661"/>
      <c r="P49" s="661"/>
      <c r="Q49" s="661"/>
      <c r="R49" s="661"/>
      <c r="S49" s="661"/>
      <c r="T49" s="661"/>
      <c r="U49" s="661"/>
      <c r="V49" s="661"/>
      <c r="W49" s="661"/>
      <c r="X49" s="661"/>
      <c r="Y49" s="661"/>
      <c r="Z49" s="661"/>
      <c r="AA49" s="661"/>
      <c r="AB49" s="661"/>
      <c r="AC49" s="661"/>
      <c r="AD49" s="661"/>
      <c r="AE49" s="661"/>
      <c r="AF49" s="662"/>
      <c r="AG49" s="662"/>
      <c r="AH49" s="662"/>
      <c r="AI49" s="662"/>
      <c r="AJ49" s="662"/>
      <c r="AK49" s="662"/>
      <c r="AL49" s="660"/>
      <c r="AM49" s="660"/>
      <c r="AN49" s="660"/>
      <c r="AO49" s="660"/>
      <c r="AP49" s="660"/>
      <c r="AQ49" s="660"/>
      <c r="AR49" s="661">
        <f>'Проверочная  таблица'!BO37</f>
        <v>0</v>
      </c>
      <c r="AS49" s="658"/>
      <c r="AT49" s="658"/>
      <c r="AU49" s="658"/>
      <c r="AV49" s="654"/>
      <c r="AW49" s="654"/>
      <c r="AX49" s="654"/>
      <c r="AY49" s="654"/>
      <c r="AZ49" s="654"/>
      <c r="BA49" s="654"/>
      <c r="BB49" s="654"/>
      <c r="BC49" s="654"/>
      <c r="BD49" s="654"/>
      <c r="BE49" s="654"/>
      <c r="BF49" s="654"/>
      <c r="BG49" s="654"/>
      <c r="BH49" s="654"/>
      <c r="BI49" s="654"/>
    </row>
    <row r="50" spans="1:61" x14ac:dyDescent="0.25">
      <c r="A50" s="663" t="s">
        <v>814</v>
      </c>
      <c r="B50" s="664"/>
      <c r="C50" s="664"/>
      <c r="D50" s="664"/>
      <c r="E50" s="664"/>
      <c r="F50" s="664"/>
      <c r="G50" s="664"/>
      <c r="H50" s="664"/>
      <c r="I50" s="664"/>
      <c r="J50" s="664"/>
      <c r="K50" s="664"/>
      <c r="L50" s="660"/>
      <c r="M50" s="660"/>
      <c r="N50" s="661">
        <f>'Проверочная  таблица'!KR37</f>
        <v>2533780</v>
      </c>
      <c r="O50" s="661"/>
      <c r="P50" s="661"/>
      <c r="Q50" s="661"/>
      <c r="R50" s="661"/>
      <c r="S50" s="661"/>
      <c r="T50" s="661"/>
      <c r="U50" s="661"/>
      <c r="V50" s="661"/>
      <c r="W50" s="661"/>
      <c r="X50" s="661"/>
      <c r="Y50" s="661"/>
      <c r="Z50" s="661"/>
      <c r="AA50" s="661"/>
      <c r="AB50" s="661"/>
      <c r="AC50" s="661"/>
      <c r="AD50" s="661"/>
      <c r="AE50" s="661"/>
      <c r="AF50" s="662"/>
      <c r="AG50" s="662"/>
      <c r="AH50" s="662"/>
      <c r="AI50" s="662"/>
      <c r="AJ50" s="662"/>
      <c r="AK50" s="662"/>
      <c r="AL50" s="660"/>
      <c r="AM50" s="660"/>
      <c r="AN50" s="660"/>
      <c r="AO50" s="660"/>
      <c r="AP50" s="660"/>
      <c r="AQ50" s="660"/>
      <c r="AR50" s="661">
        <f>'Проверочная  таблица'!KW37</f>
        <v>0</v>
      </c>
      <c r="AS50" s="658"/>
      <c r="AT50" s="658"/>
      <c r="AU50" s="658"/>
      <c r="AV50" s="654"/>
      <c r="AW50" s="658"/>
      <c r="AX50" s="658"/>
      <c r="AY50" s="658"/>
      <c r="AZ50" s="658"/>
      <c r="BA50" s="658"/>
      <c r="BB50" s="658"/>
      <c r="BC50" s="658"/>
      <c r="BD50" s="658"/>
      <c r="BE50" s="658"/>
      <c r="BF50" s="658"/>
      <c r="BG50" s="658"/>
      <c r="BH50" s="658"/>
      <c r="BI50" s="658"/>
    </row>
    <row r="51" spans="1:61" ht="21" customHeight="1" x14ac:dyDescent="0.25">
      <c r="A51" s="659" t="s">
        <v>815</v>
      </c>
      <c r="B51" s="658"/>
      <c r="C51" s="658"/>
      <c r="D51" s="658"/>
      <c r="E51" s="658"/>
      <c r="F51" s="658"/>
      <c r="G51" s="658"/>
      <c r="H51" s="658"/>
      <c r="I51" s="660"/>
      <c r="J51" s="660"/>
      <c r="K51" s="660"/>
      <c r="L51" s="660"/>
      <c r="M51" s="660"/>
      <c r="N51" s="661">
        <f>'Проверочная  таблица'!CB37</f>
        <v>0</v>
      </c>
      <c r="O51" s="661"/>
      <c r="P51" s="661"/>
      <c r="Q51" s="661"/>
      <c r="R51" s="661"/>
      <c r="S51" s="661"/>
      <c r="T51" s="661"/>
      <c r="U51" s="661"/>
      <c r="V51" s="661"/>
      <c r="W51" s="661"/>
      <c r="X51" s="661"/>
      <c r="Y51" s="661"/>
      <c r="Z51" s="661"/>
      <c r="AA51" s="661"/>
      <c r="AB51" s="661"/>
      <c r="AC51" s="661"/>
      <c r="AD51" s="661"/>
      <c r="AE51" s="661"/>
      <c r="AF51" s="662"/>
      <c r="AG51" s="662"/>
      <c r="AH51" s="662"/>
      <c r="AI51" s="662"/>
      <c r="AJ51" s="662"/>
      <c r="AK51" s="662"/>
      <c r="AL51" s="660"/>
      <c r="AM51" s="660"/>
      <c r="AN51" s="660"/>
      <c r="AO51" s="660"/>
      <c r="AP51" s="655"/>
      <c r="AQ51" s="655"/>
      <c r="AR51" s="656">
        <f>'Проверочная  таблица'!CC37</f>
        <v>0</v>
      </c>
      <c r="AS51" s="654"/>
      <c r="AT51" s="654"/>
      <c r="AU51" s="654"/>
      <c r="AV51" s="654"/>
      <c r="AW51" s="658"/>
      <c r="AX51" s="658"/>
      <c r="AY51" s="658"/>
      <c r="AZ51" s="658"/>
      <c r="BA51" s="658"/>
      <c r="BB51" s="658"/>
      <c r="BC51" s="658"/>
      <c r="BD51" s="658"/>
      <c r="BE51" s="658"/>
      <c r="BF51" s="658"/>
      <c r="BG51" s="658"/>
      <c r="BH51" s="658"/>
      <c r="BI51" s="658"/>
    </row>
    <row r="52" spans="1:61" ht="21" customHeight="1" x14ac:dyDescent="0.25">
      <c r="A52" s="659" t="s">
        <v>816</v>
      </c>
      <c r="B52" s="658"/>
      <c r="C52" s="658"/>
      <c r="D52" s="658"/>
      <c r="E52" s="658"/>
      <c r="F52" s="658"/>
      <c r="G52" s="658"/>
      <c r="H52" s="658"/>
      <c r="I52" s="660"/>
      <c r="J52" s="660"/>
      <c r="K52" s="660"/>
      <c r="L52" s="660"/>
      <c r="M52" s="660"/>
      <c r="N52" s="661">
        <f>'Проверочная  таблица'!EZ37</f>
        <v>3880682.69</v>
      </c>
      <c r="O52" s="661"/>
      <c r="P52" s="661"/>
      <c r="Q52" s="661"/>
      <c r="R52" s="661"/>
      <c r="S52" s="661"/>
      <c r="T52" s="661"/>
      <c r="U52" s="661"/>
      <c r="V52" s="661"/>
      <c r="W52" s="661"/>
      <c r="X52" s="661"/>
      <c r="Y52" s="661"/>
      <c r="Z52" s="661"/>
      <c r="AA52" s="661"/>
      <c r="AB52" s="661"/>
      <c r="AC52" s="661"/>
      <c r="AD52" s="661"/>
      <c r="AE52" s="661"/>
      <c r="AF52" s="662"/>
      <c r="AG52" s="662"/>
      <c r="AH52" s="662"/>
      <c r="AI52" s="662"/>
      <c r="AJ52" s="662"/>
      <c r="AK52" s="662"/>
      <c r="AL52" s="660"/>
      <c r="AM52" s="660"/>
      <c r="AN52" s="660"/>
      <c r="AO52" s="660"/>
      <c r="AP52" s="655"/>
      <c r="AQ52" s="655"/>
      <c r="AR52" s="656">
        <f>'Проверочная  таблица'!FC37</f>
        <v>3447329.84</v>
      </c>
      <c r="AS52" s="654"/>
      <c r="AT52" s="654"/>
      <c r="AU52" s="654"/>
      <c r="AV52" s="654"/>
      <c r="AW52" s="658"/>
      <c r="AX52" s="658"/>
      <c r="AY52" s="658"/>
      <c r="AZ52" s="658"/>
      <c r="BA52" s="658"/>
      <c r="BB52" s="658"/>
      <c r="BC52" s="658"/>
      <c r="BD52" s="658"/>
      <c r="BE52" s="658"/>
      <c r="BF52" s="658"/>
      <c r="BG52" s="658"/>
      <c r="BH52" s="658"/>
      <c r="BI52" s="658"/>
    </row>
    <row r="53" spans="1:61" ht="21" customHeight="1" x14ac:dyDescent="0.25">
      <c r="A53" s="659" t="s">
        <v>817</v>
      </c>
      <c r="B53" s="658"/>
      <c r="C53" s="658"/>
      <c r="D53" s="658"/>
      <c r="E53" s="658"/>
      <c r="F53" s="658"/>
      <c r="G53" s="658"/>
      <c r="H53" s="658"/>
      <c r="I53" s="660"/>
      <c r="J53" s="660"/>
      <c r="K53" s="660"/>
      <c r="L53" s="660"/>
      <c r="M53" s="660"/>
      <c r="N53" s="661">
        <f>'Проверочная  таблица'!LV37</f>
        <v>32277567.57</v>
      </c>
      <c r="O53" s="661"/>
      <c r="P53" s="661"/>
      <c r="Q53" s="661"/>
      <c r="R53" s="661"/>
      <c r="S53" s="661"/>
      <c r="T53" s="661"/>
      <c r="U53" s="661"/>
      <c r="V53" s="661"/>
      <c r="W53" s="661"/>
      <c r="X53" s="661"/>
      <c r="Y53" s="661"/>
      <c r="Z53" s="661"/>
      <c r="AA53" s="661"/>
      <c r="AB53" s="661"/>
      <c r="AC53" s="661"/>
      <c r="AD53" s="661"/>
      <c r="AE53" s="661"/>
      <c r="AF53" s="662"/>
      <c r="AG53" s="662"/>
      <c r="AH53" s="662"/>
      <c r="AI53" s="662"/>
      <c r="AJ53" s="662"/>
      <c r="AK53" s="662"/>
      <c r="AL53" s="660"/>
      <c r="AM53" s="660"/>
      <c r="AN53" s="660"/>
      <c r="AO53" s="660"/>
      <c r="AP53" s="655"/>
      <c r="AQ53" s="655"/>
      <c r="AR53" s="656">
        <f>'Проверочная  таблица'!LZ37</f>
        <v>25231857.170000002</v>
      </c>
      <c r="AS53" s="654"/>
      <c r="AT53" s="654"/>
      <c r="AU53" s="654"/>
      <c r="AV53" s="654"/>
      <c r="AW53" s="658"/>
      <c r="AX53" s="658"/>
      <c r="AY53" s="658"/>
      <c r="AZ53" s="658"/>
      <c r="BA53" s="658"/>
      <c r="BB53" s="658"/>
      <c r="BC53" s="658"/>
      <c r="BD53" s="658"/>
      <c r="BE53" s="658"/>
      <c r="BF53" s="658"/>
      <c r="BG53" s="658"/>
      <c r="BH53" s="658"/>
      <c r="BI53" s="658"/>
    </row>
    <row r="54" spans="1:61" ht="20.100000000000001" customHeight="1" x14ac:dyDescent="0.25">
      <c r="A54" s="1753" t="s">
        <v>818</v>
      </c>
      <c r="B54" s="1753"/>
      <c r="C54" s="1753"/>
      <c r="D54" s="1753"/>
      <c r="E54" s="1753"/>
      <c r="F54" s="1753"/>
      <c r="G54" s="1753"/>
      <c r="H54" s="1753"/>
      <c r="I54" s="1753"/>
      <c r="J54" s="1753"/>
      <c r="K54" s="1753"/>
      <c r="L54" s="1753"/>
      <c r="M54" s="660"/>
      <c r="N54" s="661">
        <f>'Проверочная  таблица'!HP37</f>
        <v>169455019.44999999</v>
      </c>
      <c r="O54" s="661"/>
      <c r="P54" s="661"/>
      <c r="Q54" s="661"/>
      <c r="R54" s="661"/>
      <c r="S54" s="661"/>
      <c r="T54" s="661"/>
      <c r="U54" s="661"/>
      <c r="V54" s="661"/>
      <c r="W54" s="661"/>
      <c r="X54" s="661"/>
      <c r="Y54" s="661"/>
      <c r="Z54" s="661"/>
      <c r="AA54" s="661"/>
      <c r="AB54" s="661"/>
      <c r="AC54" s="661"/>
      <c r="AD54" s="661"/>
      <c r="AE54" s="661"/>
      <c r="AF54" s="662"/>
      <c r="AG54" s="662"/>
      <c r="AH54" s="662"/>
      <c r="AI54" s="662"/>
      <c r="AJ54" s="662"/>
      <c r="AK54" s="662"/>
      <c r="AL54" s="660"/>
      <c r="AM54" s="660"/>
      <c r="AN54" s="660"/>
      <c r="AO54" s="660"/>
      <c r="AP54" s="655"/>
      <c r="AQ54" s="655"/>
      <c r="AR54" s="656">
        <f>'Проверочная  таблица'!HS37</f>
        <v>166170808.08999997</v>
      </c>
      <c r="AS54" s="654"/>
      <c r="AT54" s="654"/>
      <c r="AU54" s="654"/>
      <c r="AV54" s="654"/>
      <c r="AW54" s="658"/>
      <c r="AX54" s="658"/>
      <c r="AY54" s="658"/>
      <c r="AZ54" s="658"/>
      <c r="BA54" s="658"/>
      <c r="BB54" s="658"/>
      <c r="BC54" s="658"/>
      <c r="BD54" s="658"/>
      <c r="BE54" s="658"/>
      <c r="BF54" s="658"/>
      <c r="BG54" s="658"/>
      <c r="BH54" s="658"/>
      <c r="BI54" s="658"/>
    </row>
    <row r="55" spans="1:61" ht="21" customHeight="1" x14ac:dyDescent="0.25">
      <c r="A55" s="653" t="s">
        <v>819</v>
      </c>
      <c r="B55" s="654"/>
      <c r="C55" s="654"/>
      <c r="D55" s="654"/>
      <c r="E55" s="654"/>
      <c r="F55" s="654"/>
      <c r="G55" s="654"/>
      <c r="H55" s="654"/>
      <c r="I55" s="655"/>
      <c r="J55" s="655"/>
      <c r="K55" s="655"/>
      <c r="L55" s="655"/>
      <c r="M55" s="655"/>
      <c r="N55" s="656">
        <f>'Проверочная  таблица'!NJ37</f>
        <v>164579708.91999999</v>
      </c>
      <c r="O55" s="656"/>
      <c r="P55" s="656"/>
      <c r="Q55" s="656"/>
      <c r="R55" s="656"/>
      <c r="S55" s="656"/>
      <c r="T55" s="656"/>
      <c r="U55" s="656"/>
      <c r="V55" s="656"/>
      <c r="W55" s="656"/>
      <c r="X55" s="656"/>
      <c r="Y55" s="656"/>
      <c r="Z55" s="656"/>
      <c r="AA55" s="656"/>
      <c r="AB55" s="656"/>
      <c r="AC55" s="656"/>
      <c r="AD55" s="656"/>
      <c r="AE55" s="656"/>
      <c r="AF55" s="657"/>
      <c r="AG55" s="657"/>
      <c r="AH55" s="657"/>
      <c r="AI55" s="657"/>
      <c r="AJ55" s="657"/>
      <c r="AK55" s="657"/>
      <c r="AL55" s="655"/>
      <c r="AM55" s="655"/>
      <c r="AN55" s="655"/>
      <c r="AO55" s="655"/>
      <c r="AP55" s="655"/>
      <c r="AQ55" s="655"/>
      <c r="AR55" s="656">
        <f>'Проверочная  таблица'!NM37</f>
        <v>70608.919999999984</v>
      </c>
      <c r="AS55" s="654"/>
      <c r="AT55" s="654"/>
      <c r="AU55" s="654"/>
      <c r="AV55" s="654"/>
      <c r="AW55" s="654"/>
      <c r="AX55" s="654"/>
      <c r="AY55" s="654"/>
      <c r="AZ55" s="654"/>
      <c r="BA55" s="654"/>
      <c r="BB55" s="654"/>
      <c r="BC55" s="654"/>
      <c r="BD55" s="654"/>
      <c r="BE55" s="654"/>
      <c r="BF55" s="654"/>
      <c r="BG55" s="654"/>
      <c r="BH55" s="654"/>
      <c r="BI55" s="654"/>
    </row>
    <row r="56" spans="1:61" ht="21" customHeight="1" x14ac:dyDescent="0.25">
      <c r="A56" s="653" t="s">
        <v>820</v>
      </c>
      <c r="B56" s="654"/>
      <c r="C56" s="654"/>
      <c r="D56" s="654"/>
      <c r="E56" s="654"/>
      <c r="F56" s="654"/>
      <c r="G56" s="654"/>
      <c r="H56" s="654"/>
      <c r="I56" s="655"/>
      <c r="J56" s="655"/>
      <c r="K56" s="655"/>
      <c r="L56" s="655"/>
      <c r="M56" s="655"/>
      <c r="N56" s="656">
        <f>'Проверочная  таблица'!GV37</f>
        <v>123288200</v>
      </c>
      <c r="O56" s="656"/>
      <c r="P56" s="656"/>
      <c r="Q56" s="656"/>
      <c r="R56" s="656"/>
      <c r="S56" s="656"/>
      <c r="T56" s="656"/>
      <c r="U56" s="656"/>
      <c r="V56" s="656"/>
      <c r="W56" s="656"/>
      <c r="X56" s="656"/>
      <c r="Y56" s="656"/>
      <c r="Z56" s="656"/>
      <c r="AA56" s="656"/>
      <c r="AB56" s="656"/>
      <c r="AC56" s="656"/>
      <c r="AD56" s="656"/>
      <c r="AE56" s="656"/>
      <c r="AF56" s="657"/>
      <c r="AG56" s="657"/>
      <c r="AH56" s="657"/>
      <c r="AI56" s="657"/>
      <c r="AJ56" s="657"/>
      <c r="AK56" s="657"/>
      <c r="AL56" s="655"/>
      <c r="AM56" s="655"/>
      <c r="AN56" s="655"/>
      <c r="AO56" s="655"/>
      <c r="AP56" s="655"/>
      <c r="AQ56" s="655"/>
      <c r="AR56" s="656">
        <f>'Проверочная  таблица'!GX37</f>
        <v>104295970.7</v>
      </c>
      <c r="AS56" s="654"/>
      <c r="AT56" s="654"/>
      <c r="AU56" s="654"/>
      <c r="AV56" s="654"/>
      <c r="AW56" s="654"/>
      <c r="AX56" s="654"/>
      <c r="AY56" s="654"/>
      <c r="AZ56" s="654"/>
      <c r="BA56" s="654"/>
      <c r="BB56" s="654"/>
      <c r="BC56" s="654"/>
      <c r="BD56" s="654"/>
      <c r="BE56" s="654"/>
      <c r="BF56" s="654"/>
      <c r="BG56" s="654"/>
      <c r="BH56" s="654"/>
      <c r="BI56" s="654"/>
    </row>
    <row r="57" spans="1:61" ht="21" customHeight="1" x14ac:dyDescent="0.25">
      <c r="A57" s="653" t="s">
        <v>821</v>
      </c>
      <c r="B57" s="654"/>
      <c r="C57" s="654"/>
      <c r="D57" s="654"/>
      <c r="E57" s="654"/>
      <c r="F57" s="654"/>
      <c r="G57" s="654"/>
      <c r="H57" s="654"/>
      <c r="I57" s="655"/>
      <c r="J57" s="655"/>
      <c r="K57" s="655"/>
      <c r="L57" s="655"/>
      <c r="M57" s="655"/>
      <c r="N57" s="656">
        <f>'Проверочная  таблица'!OR37</f>
        <v>281107380.46999997</v>
      </c>
      <c r="O57" s="656"/>
      <c r="P57" s="656"/>
      <c r="Q57" s="656"/>
      <c r="R57" s="656"/>
      <c r="S57" s="656"/>
      <c r="T57" s="656"/>
      <c r="U57" s="656"/>
      <c r="V57" s="656"/>
      <c r="W57" s="656"/>
      <c r="X57" s="656"/>
      <c r="Y57" s="656"/>
      <c r="Z57" s="656"/>
      <c r="AA57" s="656"/>
      <c r="AB57" s="656"/>
      <c r="AC57" s="656"/>
      <c r="AD57" s="656"/>
      <c r="AE57" s="656"/>
      <c r="AF57" s="657"/>
      <c r="AG57" s="657"/>
      <c r="AH57" s="657"/>
      <c r="AI57" s="657"/>
      <c r="AJ57" s="657"/>
      <c r="AK57" s="657"/>
      <c r="AL57" s="655"/>
      <c r="AM57" s="655"/>
      <c r="AN57" s="655"/>
      <c r="AO57" s="655"/>
      <c r="AP57" s="655"/>
      <c r="AQ57" s="655"/>
      <c r="AR57" s="656">
        <f>'Проверочная  таблица'!OV37</f>
        <v>232312359.18000001</v>
      </c>
      <c r="AS57" s="654"/>
      <c r="AT57" s="654"/>
      <c r="AU57" s="654"/>
      <c r="AV57" s="654"/>
      <c r="AW57" s="654"/>
      <c r="AX57" s="654"/>
      <c r="AY57" s="654"/>
      <c r="AZ57" s="654"/>
      <c r="BA57" s="654"/>
      <c r="BB57" s="654"/>
      <c r="BC57" s="654"/>
      <c r="BD57" s="654"/>
      <c r="BE57" s="654"/>
      <c r="BF57" s="654"/>
      <c r="BG57" s="654"/>
      <c r="BH57" s="654"/>
      <c r="BI57" s="654"/>
    </row>
    <row r="58" spans="1:61" ht="21" customHeight="1" x14ac:dyDescent="0.25">
      <c r="A58" s="653" t="s">
        <v>822</v>
      </c>
      <c r="B58" s="654"/>
      <c r="C58" s="654"/>
      <c r="D58" s="654"/>
      <c r="E58" s="654"/>
      <c r="F58" s="654"/>
      <c r="G58" s="654"/>
      <c r="H58" s="654"/>
      <c r="I58" s="655"/>
      <c r="J58" s="655"/>
      <c r="K58" s="655"/>
      <c r="L58" s="655"/>
      <c r="M58" s="655"/>
      <c r="N58" s="656">
        <f>'Проверочная  таблица'!PZ37</f>
        <v>7809735.5899999999</v>
      </c>
      <c r="O58" s="656"/>
      <c r="P58" s="656"/>
      <c r="Q58" s="656"/>
      <c r="R58" s="656"/>
      <c r="S58" s="656"/>
      <c r="T58" s="656"/>
      <c r="U58" s="656"/>
      <c r="V58" s="656"/>
      <c r="W58" s="656"/>
      <c r="X58" s="656"/>
      <c r="Y58" s="656"/>
      <c r="Z58" s="656"/>
      <c r="AA58" s="656"/>
      <c r="AB58" s="656"/>
      <c r="AC58" s="656"/>
      <c r="AD58" s="656"/>
      <c r="AE58" s="656"/>
      <c r="AF58" s="657"/>
      <c r="AG58" s="657"/>
      <c r="AH58" s="657"/>
      <c r="AI58" s="657"/>
      <c r="AJ58" s="657"/>
      <c r="AK58" s="657"/>
      <c r="AL58" s="655"/>
      <c r="AM58" s="655"/>
      <c r="AN58" s="655"/>
      <c r="AO58" s="655"/>
      <c r="AP58" s="655"/>
      <c r="AQ58" s="655"/>
      <c r="AR58" s="656">
        <f>'Проверочная  таблица'!QC37</f>
        <v>6146688.2699999996</v>
      </c>
      <c r="AS58" s="654"/>
      <c r="AT58" s="654"/>
      <c r="AU58" s="654"/>
      <c r="AV58" s="654"/>
      <c r="AW58" s="654"/>
      <c r="AX58" s="654"/>
      <c r="AY58" s="654"/>
      <c r="AZ58" s="654"/>
      <c r="BA58" s="654"/>
      <c r="BB58" s="654"/>
      <c r="BC58" s="654"/>
      <c r="BD58" s="654"/>
      <c r="BE58" s="654"/>
      <c r="BF58" s="654"/>
      <c r="BG58" s="654"/>
      <c r="BH58" s="654"/>
      <c r="BI58" s="654"/>
    </row>
    <row r="59" spans="1:61" ht="21" customHeight="1" x14ac:dyDescent="0.25">
      <c r="A59" s="653" t="s">
        <v>823</v>
      </c>
      <c r="B59" s="654"/>
      <c r="C59" s="654"/>
      <c r="D59" s="654"/>
      <c r="E59" s="654"/>
      <c r="F59" s="654"/>
      <c r="G59" s="654"/>
      <c r="H59" s="654"/>
      <c r="I59" s="655"/>
      <c r="J59" s="655"/>
      <c r="K59" s="655"/>
      <c r="L59" s="655"/>
      <c r="M59" s="655"/>
      <c r="N59" s="656">
        <f>'Проверочная  таблица'!TD37</f>
        <v>102674184.42999999</v>
      </c>
      <c r="O59" s="656"/>
      <c r="P59" s="656"/>
      <c r="Q59" s="656"/>
      <c r="R59" s="656"/>
      <c r="S59" s="656"/>
      <c r="T59" s="656"/>
      <c r="U59" s="656"/>
      <c r="V59" s="656"/>
      <c r="W59" s="656"/>
      <c r="X59" s="656"/>
      <c r="Y59" s="656"/>
      <c r="Z59" s="656"/>
      <c r="AA59" s="656"/>
      <c r="AB59" s="656"/>
      <c r="AC59" s="656"/>
      <c r="AD59" s="656"/>
      <c r="AE59" s="656"/>
      <c r="AF59" s="657"/>
      <c r="AG59" s="657"/>
      <c r="AH59" s="657"/>
      <c r="AI59" s="657"/>
      <c r="AJ59" s="657"/>
      <c r="AK59" s="657"/>
      <c r="AL59" s="655"/>
      <c r="AM59" s="655"/>
      <c r="AN59" s="655"/>
      <c r="AO59" s="655"/>
      <c r="AP59" s="655"/>
      <c r="AQ59" s="655"/>
      <c r="AR59" s="656">
        <f>'Проверочная  таблица'!TK37</f>
        <v>38255913.979999997</v>
      </c>
      <c r="AS59" s="654"/>
      <c r="AT59" s="654"/>
      <c r="AU59" s="654"/>
      <c r="AV59" s="654"/>
      <c r="AW59" s="654"/>
      <c r="AX59" s="654"/>
      <c r="AY59" s="654"/>
      <c r="AZ59" s="654"/>
      <c r="BA59" s="654"/>
      <c r="BB59" s="654"/>
      <c r="BC59" s="654"/>
      <c r="BD59" s="654"/>
      <c r="BE59" s="654"/>
      <c r="BF59" s="654"/>
      <c r="BG59" s="654"/>
      <c r="BH59" s="654"/>
      <c r="BI59" s="654"/>
    </row>
    <row r="60" spans="1:61" ht="21" customHeight="1" x14ac:dyDescent="0.25">
      <c r="A60" s="1753" t="s">
        <v>824</v>
      </c>
      <c r="B60" s="1753"/>
      <c r="C60" s="1753"/>
      <c r="D60" s="1753"/>
      <c r="E60" s="1753"/>
      <c r="F60" s="1753"/>
      <c r="G60" s="1753"/>
      <c r="H60" s="1753"/>
      <c r="I60" s="1753"/>
      <c r="J60" s="1753"/>
      <c r="K60" s="1753"/>
      <c r="L60" s="1753"/>
      <c r="M60" s="655"/>
      <c r="N60" s="656">
        <f>'Проверочная  таблица'!DB37</f>
        <v>19567142.100000001</v>
      </c>
      <c r="O60" s="656"/>
      <c r="P60" s="656"/>
      <c r="Q60" s="656"/>
      <c r="R60" s="656"/>
      <c r="S60" s="656"/>
      <c r="T60" s="656"/>
      <c r="U60" s="656"/>
      <c r="V60" s="656"/>
      <c r="W60" s="656"/>
      <c r="X60" s="656"/>
      <c r="Y60" s="656"/>
      <c r="Z60" s="656"/>
      <c r="AA60" s="656"/>
      <c r="AB60" s="656"/>
      <c r="AC60" s="656"/>
      <c r="AD60" s="656"/>
      <c r="AE60" s="656"/>
      <c r="AF60" s="657"/>
      <c r="AG60" s="657"/>
      <c r="AH60" s="657"/>
      <c r="AI60" s="657"/>
      <c r="AJ60" s="657"/>
      <c r="AK60" s="657"/>
      <c r="AL60" s="655"/>
      <c r="AM60" s="655"/>
      <c r="AN60" s="655"/>
      <c r="AO60" s="655"/>
      <c r="AP60" s="655"/>
      <c r="AQ60" s="655"/>
      <c r="AR60" s="656">
        <f>'Проверочная  таблица'!DE37</f>
        <v>4587624.3599999994</v>
      </c>
      <c r="AS60" s="654"/>
      <c r="AT60" s="654"/>
      <c r="AU60" s="654"/>
      <c r="AV60" s="654"/>
      <c r="AW60" s="654"/>
      <c r="AX60" s="654"/>
      <c r="AY60" s="654"/>
      <c r="AZ60" s="654"/>
      <c r="BA60" s="654"/>
      <c r="BB60" s="654"/>
      <c r="BC60" s="654"/>
      <c r="BD60" s="654"/>
      <c r="BE60" s="654"/>
      <c r="BF60" s="654"/>
      <c r="BG60" s="654"/>
      <c r="BH60" s="654"/>
      <c r="BI60" s="654"/>
    </row>
    <row r="61" spans="1:61" ht="21" customHeight="1" x14ac:dyDescent="0.25">
      <c r="A61" s="665" t="s">
        <v>1263</v>
      </c>
      <c r="B61" s="1117"/>
      <c r="C61" s="1117"/>
      <c r="D61" s="1117"/>
      <c r="E61" s="1117"/>
      <c r="F61" s="1117"/>
      <c r="G61" s="1117"/>
      <c r="H61" s="1117"/>
      <c r="I61" s="1117"/>
      <c r="J61" s="1117"/>
      <c r="K61" s="1117"/>
      <c r="L61" s="1117"/>
      <c r="M61" s="655"/>
      <c r="N61" s="656">
        <f>'Проверочная  таблица'!GD37</f>
        <v>87446506</v>
      </c>
      <c r="O61" s="656"/>
      <c r="P61" s="656"/>
      <c r="Q61" s="656"/>
      <c r="R61" s="656"/>
      <c r="S61" s="656"/>
      <c r="T61" s="656"/>
      <c r="U61" s="656"/>
      <c r="V61" s="656"/>
      <c r="W61" s="656"/>
      <c r="X61" s="656"/>
      <c r="Y61" s="656"/>
      <c r="Z61" s="656"/>
      <c r="AA61" s="656"/>
      <c r="AB61" s="656"/>
      <c r="AC61" s="656"/>
      <c r="AD61" s="656"/>
      <c r="AE61" s="656"/>
      <c r="AF61" s="657"/>
      <c r="AG61" s="657"/>
      <c r="AH61" s="657"/>
      <c r="AI61" s="657"/>
      <c r="AJ61" s="657"/>
      <c r="AK61" s="657"/>
      <c r="AL61" s="655"/>
      <c r="AM61" s="655"/>
      <c r="AN61" s="655"/>
      <c r="AO61" s="655"/>
      <c r="AP61" s="655"/>
      <c r="AQ61" s="655"/>
      <c r="AR61" s="656">
        <f>'Проверочная  таблица'!GG37</f>
        <v>77777026.430000007</v>
      </c>
      <c r="AS61" s="654"/>
      <c r="AT61" s="654"/>
      <c r="AU61" s="654"/>
      <c r="AV61" s="654"/>
      <c r="AW61" s="654"/>
      <c r="AX61" s="654"/>
      <c r="AY61" s="654"/>
      <c r="AZ61" s="654"/>
      <c r="BA61" s="654"/>
      <c r="BB61" s="654"/>
      <c r="BC61" s="654"/>
      <c r="BD61" s="654"/>
      <c r="BE61" s="654"/>
      <c r="BF61" s="654"/>
      <c r="BG61" s="654"/>
      <c r="BH61" s="654"/>
      <c r="BI61" s="654"/>
    </row>
    <row r="62" spans="1:61" ht="21" customHeight="1" x14ac:dyDescent="0.25">
      <c r="A62" s="665" t="s">
        <v>1271</v>
      </c>
      <c r="B62" s="1150"/>
      <c r="C62" s="1150"/>
      <c r="D62" s="1150"/>
      <c r="E62" s="1150"/>
      <c r="F62" s="1150"/>
      <c r="G62" s="1150"/>
      <c r="H62" s="1150"/>
      <c r="I62" s="1150"/>
      <c r="J62" s="1150"/>
      <c r="K62" s="1150"/>
      <c r="L62" s="1150"/>
      <c r="M62" s="655"/>
      <c r="N62" s="656">
        <f>'Проверочная  таблица'!IN37</f>
        <v>2631578.9500000002</v>
      </c>
      <c r="O62" s="656"/>
      <c r="P62" s="656"/>
      <c r="Q62" s="656"/>
      <c r="R62" s="656"/>
      <c r="S62" s="656"/>
      <c r="T62" s="656"/>
      <c r="U62" s="656"/>
      <c r="V62" s="656"/>
      <c r="W62" s="656"/>
      <c r="X62" s="656"/>
      <c r="Y62" s="656"/>
      <c r="Z62" s="656"/>
      <c r="AA62" s="656"/>
      <c r="AB62" s="656"/>
      <c r="AC62" s="656"/>
      <c r="AD62" s="656"/>
      <c r="AE62" s="656"/>
      <c r="AF62" s="657"/>
      <c r="AG62" s="657"/>
      <c r="AH62" s="657"/>
      <c r="AI62" s="657"/>
      <c r="AJ62" s="657"/>
      <c r="AK62" s="657"/>
      <c r="AL62" s="655"/>
      <c r="AM62" s="655"/>
      <c r="AN62" s="655"/>
      <c r="AO62" s="655"/>
      <c r="AP62" s="655"/>
      <c r="AQ62" s="655"/>
      <c r="AR62" s="656">
        <f>'Проверочная  таблица'!IQ37</f>
        <v>2631578.9500000002</v>
      </c>
      <c r="AS62" s="654"/>
      <c r="AT62" s="654"/>
      <c r="AU62" s="654"/>
      <c r="AV62" s="654"/>
      <c r="AW62" s="654"/>
      <c r="AX62" s="654"/>
      <c r="AY62" s="654"/>
      <c r="AZ62" s="654"/>
      <c r="BA62" s="654"/>
      <c r="BB62" s="654"/>
      <c r="BC62" s="654"/>
      <c r="BD62" s="654"/>
      <c r="BE62" s="654"/>
      <c r="BF62" s="654"/>
      <c r="BG62" s="654"/>
      <c r="BH62" s="654"/>
      <c r="BI62" s="654"/>
    </row>
    <row r="63" spans="1:61" ht="33.6" customHeight="1" x14ac:dyDescent="0.25">
      <c r="A63" s="1753" t="s">
        <v>825</v>
      </c>
      <c r="B63" s="1753"/>
      <c r="C63" s="1753"/>
      <c r="D63" s="1753"/>
      <c r="E63" s="1753"/>
      <c r="F63" s="1753"/>
      <c r="G63" s="1753"/>
      <c r="H63" s="1753"/>
      <c r="I63" s="1753"/>
      <c r="J63" s="1753"/>
      <c r="K63" s="1753"/>
      <c r="L63" s="1753"/>
      <c r="M63" s="655"/>
      <c r="N63" s="656">
        <f>'Проверочная  таблица'!JP37</f>
        <v>18358.319999999985</v>
      </c>
      <c r="O63" s="656"/>
      <c r="P63" s="656"/>
      <c r="Q63" s="656"/>
      <c r="R63" s="656"/>
      <c r="S63" s="656"/>
      <c r="T63" s="656"/>
      <c r="U63" s="656"/>
      <c r="V63" s="656"/>
      <c r="W63" s="656"/>
      <c r="X63" s="656"/>
      <c r="Y63" s="656"/>
      <c r="Z63" s="656"/>
      <c r="AA63" s="656"/>
      <c r="AB63" s="656"/>
      <c r="AC63" s="656"/>
      <c r="AD63" s="656"/>
      <c r="AE63" s="656"/>
      <c r="AF63" s="657"/>
      <c r="AG63" s="657"/>
      <c r="AH63" s="657"/>
      <c r="AI63" s="657"/>
      <c r="AJ63" s="657"/>
      <c r="AK63" s="657"/>
      <c r="AL63" s="655"/>
      <c r="AM63" s="655"/>
      <c r="AN63" s="655"/>
      <c r="AO63" s="655"/>
      <c r="AP63" s="655"/>
      <c r="AQ63" s="655"/>
      <c r="AR63" s="656">
        <f>'Проверочная  таблица'!JS37</f>
        <v>0</v>
      </c>
      <c r="AS63" s="654"/>
      <c r="AT63" s="654"/>
      <c r="AU63" s="654"/>
      <c r="AV63" s="654"/>
      <c r="AW63" s="654"/>
      <c r="AX63" s="654"/>
      <c r="AY63" s="654"/>
      <c r="AZ63" s="654"/>
      <c r="BA63" s="654"/>
      <c r="BB63" s="654"/>
      <c r="BC63" s="654"/>
      <c r="BD63" s="654"/>
      <c r="BE63" s="654"/>
      <c r="BF63" s="654"/>
      <c r="BG63" s="654"/>
      <c r="BH63" s="654"/>
      <c r="BI63" s="654"/>
    </row>
    <row r="64" spans="1:61" ht="20.45" customHeight="1" x14ac:dyDescent="0.25">
      <c r="A64" s="665" t="s">
        <v>826</v>
      </c>
      <c r="B64" s="665"/>
      <c r="C64" s="665"/>
      <c r="D64" s="665"/>
      <c r="E64" s="665"/>
      <c r="F64" s="665"/>
      <c r="G64" s="665"/>
      <c r="H64" s="665"/>
      <c r="I64" s="665"/>
      <c r="J64" s="665"/>
      <c r="K64" s="665"/>
      <c r="L64" s="666"/>
      <c r="M64" s="655"/>
      <c r="N64" s="656">
        <f>'Проверочная  таблица'!RD37</f>
        <v>0</v>
      </c>
      <c r="O64" s="656"/>
      <c r="P64" s="656"/>
      <c r="Q64" s="656"/>
      <c r="R64" s="656"/>
      <c r="S64" s="656"/>
      <c r="T64" s="656"/>
      <c r="U64" s="656"/>
      <c r="V64" s="656"/>
      <c r="W64" s="656"/>
      <c r="X64" s="656"/>
      <c r="Y64" s="656"/>
      <c r="Z64" s="656"/>
      <c r="AA64" s="656"/>
      <c r="AB64" s="656"/>
      <c r="AC64" s="656"/>
      <c r="AD64" s="656"/>
      <c r="AE64" s="656"/>
      <c r="AF64" s="657"/>
      <c r="AG64" s="657"/>
      <c r="AH64" s="657"/>
      <c r="AI64" s="657"/>
      <c r="AJ64" s="657"/>
      <c r="AK64" s="657"/>
      <c r="AL64" s="655"/>
      <c r="AM64" s="655"/>
      <c r="AN64" s="655"/>
      <c r="AO64" s="655"/>
      <c r="AP64" s="655"/>
      <c r="AQ64" s="655"/>
      <c r="AR64" s="656">
        <f>'Проверочная  таблица'!RG37</f>
        <v>0</v>
      </c>
      <c r="AS64" s="654"/>
      <c r="AT64" s="654"/>
      <c r="AU64" s="654"/>
      <c r="AV64" s="654"/>
      <c r="AW64" s="654"/>
      <c r="AX64" s="654"/>
      <c r="AY64" s="654"/>
      <c r="AZ64" s="654"/>
      <c r="BA64" s="654"/>
      <c r="BB64" s="654"/>
      <c r="BC64" s="654"/>
      <c r="BD64" s="654"/>
      <c r="BE64" s="654"/>
      <c r="BF64" s="654"/>
      <c r="BG64" s="654"/>
      <c r="BH64" s="654"/>
      <c r="BI64" s="654"/>
    </row>
    <row r="65" spans="1:66" ht="21" customHeight="1" x14ac:dyDescent="0.25">
      <c r="A65" s="653" t="s">
        <v>827</v>
      </c>
      <c r="B65" s="654"/>
      <c r="C65" s="654"/>
      <c r="D65" s="654"/>
      <c r="E65" s="654"/>
      <c r="F65" s="654"/>
      <c r="G65" s="654"/>
      <c r="H65" s="654"/>
      <c r="I65" s="655"/>
      <c r="J65" s="655"/>
      <c r="K65" s="655"/>
      <c r="L65" s="655"/>
      <c r="M65" s="655"/>
      <c r="N65" s="656">
        <f>'Проверочная  таблица'!UV37</f>
        <v>192312357.73999998</v>
      </c>
      <c r="O65" s="656"/>
      <c r="P65" s="656"/>
      <c r="Q65" s="656"/>
      <c r="R65" s="656"/>
      <c r="S65" s="656"/>
      <c r="T65" s="656"/>
      <c r="U65" s="656"/>
      <c r="V65" s="656"/>
      <c r="W65" s="656"/>
      <c r="X65" s="656"/>
      <c r="Y65" s="656"/>
      <c r="Z65" s="656"/>
      <c r="AA65" s="656"/>
      <c r="AB65" s="656"/>
      <c r="AC65" s="656"/>
      <c r="AD65" s="656"/>
      <c r="AE65" s="656"/>
      <c r="AF65" s="657"/>
      <c r="AG65" s="657"/>
      <c r="AH65" s="657"/>
      <c r="AI65" s="657"/>
      <c r="AJ65" s="657"/>
      <c r="AK65" s="657"/>
      <c r="AL65" s="655"/>
      <c r="AM65" s="655"/>
      <c r="AN65" s="655"/>
      <c r="AO65" s="655"/>
      <c r="AP65" s="655"/>
      <c r="AQ65" s="655"/>
      <c r="AR65" s="656">
        <f>'Проверочная  таблица'!UW37</f>
        <v>135235834.89999998</v>
      </c>
      <c r="AS65" s="654"/>
      <c r="AT65" s="654"/>
      <c r="AU65" s="654"/>
      <c r="AV65" s="654"/>
      <c r="AW65" s="654"/>
      <c r="AX65" s="654"/>
      <c r="AY65" s="654"/>
      <c r="AZ65" s="654"/>
      <c r="BA65" s="654"/>
      <c r="BB65" s="654"/>
      <c r="BC65" s="654"/>
      <c r="BD65" s="654"/>
      <c r="BE65" s="654"/>
      <c r="BF65" s="654"/>
      <c r="BG65" s="654"/>
      <c r="BH65" s="654"/>
      <c r="BI65" s="654"/>
    </row>
    <row r="66" spans="1:66" ht="21" customHeight="1" x14ac:dyDescent="0.25">
      <c r="A66" s="653" t="s">
        <v>828</v>
      </c>
      <c r="B66" s="654"/>
      <c r="C66" s="654"/>
      <c r="D66" s="654"/>
      <c r="E66" s="654"/>
      <c r="F66" s="654"/>
      <c r="G66" s="654"/>
      <c r="H66" s="654"/>
      <c r="I66" s="655"/>
      <c r="J66" s="655"/>
      <c r="K66" s="655"/>
      <c r="L66" s="655"/>
      <c r="M66" s="655"/>
      <c r="N66" s="656">
        <f>'Проверочная  таблица'!VN37</f>
        <v>36969300</v>
      </c>
      <c r="O66" s="656"/>
      <c r="P66" s="656"/>
      <c r="Q66" s="656"/>
      <c r="R66" s="656"/>
      <c r="S66" s="656"/>
      <c r="T66" s="656"/>
      <c r="U66" s="656"/>
      <c r="V66" s="656"/>
      <c r="W66" s="656"/>
      <c r="X66" s="656"/>
      <c r="Y66" s="656"/>
      <c r="Z66" s="656"/>
      <c r="AA66" s="656"/>
      <c r="AB66" s="656"/>
      <c r="AC66" s="656"/>
      <c r="AD66" s="656"/>
      <c r="AE66" s="656"/>
      <c r="AF66" s="657"/>
      <c r="AG66" s="657"/>
      <c r="AH66" s="657"/>
      <c r="AI66" s="657"/>
      <c r="AJ66" s="657"/>
      <c r="AK66" s="657"/>
      <c r="AL66" s="655"/>
      <c r="AM66" s="655"/>
      <c r="AN66" s="655"/>
      <c r="AO66" s="655"/>
      <c r="AP66" s="655"/>
      <c r="AQ66" s="655"/>
      <c r="AR66" s="656">
        <f>'Проверочная  таблица'!VO37</f>
        <v>22695174.790000003</v>
      </c>
      <c r="AS66" s="654"/>
      <c r="AT66" s="654"/>
      <c r="AU66" s="654"/>
      <c r="AV66" s="654"/>
      <c r="AW66" s="654"/>
      <c r="AX66" s="654"/>
      <c r="AY66" s="654"/>
      <c r="AZ66" s="654"/>
      <c r="BA66" s="654"/>
      <c r="BB66" s="654"/>
      <c r="BC66" s="654"/>
      <c r="BD66" s="654"/>
      <c r="BE66" s="654"/>
      <c r="BF66" s="654"/>
      <c r="BG66" s="654"/>
      <c r="BH66" s="654"/>
      <c r="BI66" s="654"/>
    </row>
    <row r="67" spans="1:66" ht="36" customHeight="1" x14ac:dyDescent="0.25">
      <c r="A67" s="1753" t="s">
        <v>829</v>
      </c>
      <c r="B67" s="1753"/>
      <c r="C67" s="1753"/>
      <c r="D67" s="1753"/>
      <c r="E67" s="1753"/>
      <c r="F67" s="1753"/>
      <c r="G67" s="1753"/>
      <c r="H67" s="1753"/>
      <c r="I67" s="1753"/>
      <c r="J67" s="1753"/>
      <c r="K67" s="1753"/>
      <c r="L67" s="1753"/>
      <c r="M67" s="667"/>
      <c r="N67" s="668">
        <f>'Проверочная  таблица'!XN37</f>
        <v>240950249.07999998</v>
      </c>
      <c r="O67" s="668"/>
      <c r="P67" s="668"/>
      <c r="Q67" s="668"/>
      <c r="R67" s="668"/>
      <c r="S67" s="668"/>
      <c r="T67" s="668"/>
      <c r="U67" s="668"/>
      <c r="V67" s="668"/>
      <c r="W67" s="668"/>
      <c r="X67" s="668"/>
      <c r="Y67" s="668"/>
      <c r="Z67" s="668"/>
      <c r="AA67" s="668"/>
      <c r="AB67" s="668"/>
      <c r="AC67" s="668"/>
      <c r="AD67" s="668"/>
      <c r="AE67" s="668"/>
      <c r="AF67" s="669"/>
      <c r="AG67" s="669"/>
      <c r="AH67" s="669"/>
      <c r="AI67" s="669"/>
      <c r="AJ67" s="669"/>
      <c r="AK67" s="669"/>
      <c r="AL67" s="667"/>
      <c r="AM67" s="667"/>
      <c r="AN67" s="667"/>
      <c r="AO67" s="667"/>
      <c r="AP67" s="667"/>
      <c r="AQ67" s="667"/>
      <c r="AR67" s="668">
        <f>'Проверочная  таблица'!XP37</f>
        <v>160058225.89999998</v>
      </c>
      <c r="AS67" s="670"/>
      <c r="AT67" s="670"/>
      <c r="AU67" s="670"/>
      <c r="AV67" s="670"/>
      <c r="AW67" s="654"/>
      <c r="AX67" s="654"/>
      <c r="AY67" s="654"/>
      <c r="AZ67" s="654"/>
      <c r="BA67" s="654"/>
      <c r="BB67" s="654"/>
      <c r="BC67" s="654"/>
      <c r="BD67" s="654"/>
      <c r="BE67" s="654"/>
      <c r="BF67" s="654"/>
      <c r="BG67" s="654"/>
      <c r="BH67" s="654"/>
      <c r="BI67" s="654"/>
    </row>
    <row r="68" spans="1:66" ht="21" customHeight="1" x14ac:dyDescent="0.25">
      <c r="A68" s="671" t="s">
        <v>830</v>
      </c>
      <c r="B68" s="670"/>
      <c r="C68" s="670"/>
      <c r="D68" s="670"/>
      <c r="E68" s="670"/>
      <c r="F68" s="670"/>
      <c r="G68" s="670"/>
      <c r="H68" s="670"/>
      <c r="I68" s="667"/>
      <c r="J68" s="667"/>
      <c r="K68" s="667"/>
      <c r="L68" s="667"/>
      <c r="M68" s="667"/>
      <c r="N68" s="668">
        <f>'Проверочная  таблица'!YR37</f>
        <v>476136261.82999992</v>
      </c>
      <c r="O68" s="668"/>
      <c r="P68" s="668"/>
      <c r="Q68" s="668"/>
      <c r="R68" s="668"/>
      <c r="S68" s="668"/>
      <c r="T68" s="668"/>
      <c r="U68" s="668"/>
      <c r="V68" s="668"/>
      <c r="W68" s="668"/>
      <c r="X68" s="668"/>
      <c r="Y68" s="668"/>
      <c r="Z68" s="668"/>
      <c r="AA68" s="668"/>
      <c r="AB68" s="668"/>
      <c r="AC68" s="668"/>
      <c r="AD68" s="668"/>
      <c r="AE68" s="668"/>
      <c r="AF68" s="669"/>
      <c r="AG68" s="669"/>
      <c r="AH68" s="669"/>
      <c r="AI68" s="669"/>
      <c r="AJ68" s="669"/>
      <c r="AK68" s="669"/>
      <c r="AL68" s="667"/>
      <c r="AM68" s="667"/>
      <c r="AN68" s="667"/>
      <c r="AO68" s="667"/>
      <c r="AP68" s="667"/>
      <c r="AQ68" s="667"/>
      <c r="AR68" s="668">
        <f>'Проверочная  таблица'!YX37</f>
        <v>229180508.05999997</v>
      </c>
      <c r="AS68" s="670"/>
      <c r="AT68" s="670"/>
      <c r="AU68" s="670"/>
      <c r="AV68" s="670"/>
      <c r="AW68" s="654"/>
      <c r="AX68" s="654"/>
      <c r="AY68" s="654"/>
      <c r="AZ68" s="654"/>
      <c r="BA68" s="654"/>
      <c r="BB68" s="654"/>
      <c r="BC68" s="654"/>
      <c r="BD68" s="654"/>
      <c r="BE68" s="654"/>
      <c r="BF68" s="654"/>
      <c r="BG68" s="654"/>
      <c r="BH68" s="654"/>
      <c r="BI68" s="654"/>
    </row>
    <row r="69" spans="1:66" ht="21" customHeight="1" x14ac:dyDescent="0.25">
      <c r="A69" s="672" t="s">
        <v>421</v>
      </c>
      <c r="B69" s="21"/>
      <c r="C69" s="21"/>
      <c r="D69" s="21"/>
      <c r="E69" s="21"/>
      <c r="F69" s="21"/>
      <c r="G69" s="21"/>
      <c r="H69" s="21"/>
      <c r="I69" s="672"/>
      <c r="J69" s="672"/>
      <c r="K69" s="672"/>
      <c r="L69" s="672"/>
      <c r="M69" s="672"/>
      <c r="N69" s="673">
        <f>SUM(N44:N68)-N36</f>
        <v>0</v>
      </c>
      <c r="O69" s="673"/>
      <c r="P69" s="673"/>
      <c r="Q69" s="673"/>
      <c r="R69" s="673"/>
      <c r="S69" s="673"/>
      <c r="T69" s="673"/>
      <c r="U69" s="673"/>
      <c r="V69" s="673"/>
      <c r="W69" s="673"/>
      <c r="X69" s="673"/>
      <c r="Y69" s="673"/>
      <c r="Z69" s="673"/>
      <c r="AA69" s="673"/>
      <c r="AB69" s="673"/>
      <c r="AC69" s="673"/>
      <c r="AD69" s="673"/>
      <c r="AE69" s="673"/>
      <c r="AF69" s="21"/>
      <c r="AG69" s="21"/>
      <c r="AH69" s="21"/>
      <c r="AI69" s="21"/>
      <c r="AJ69" s="21"/>
      <c r="AK69" s="21"/>
      <c r="AL69" s="672"/>
      <c r="AM69" s="672"/>
      <c r="AN69" s="672"/>
      <c r="AO69" s="672"/>
      <c r="AP69" s="672"/>
      <c r="AQ69" s="672"/>
      <c r="AR69" s="673">
        <f>SUM(AR44:AR68)-AR36</f>
        <v>0</v>
      </c>
      <c r="AS69" s="21"/>
      <c r="AT69" s="21"/>
      <c r="AU69" s="21"/>
      <c r="AV69" s="21"/>
      <c r="AW69" s="21"/>
    </row>
    <row r="73" spans="1:66" s="674" customFormat="1" ht="47.25" x14ac:dyDescent="0.25">
      <c r="B73" s="675" t="s">
        <v>831</v>
      </c>
      <c r="C73" s="675" t="s">
        <v>832</v>
      </c>
      <c r="D73" s="208" t="s">
        <v>342</v>
      </c>
      <c r="E73" s="208" t="s">
        <v>343</v>
      </c>
      <c r="F73" s="208" t="s">
        <v>344</v>
      </c>
      <c r="H73" s="208" t="s">
        <v>345</v>
      </c>
      <c r="I73" s="208" t="s">
        <v>346</v>
      </c>
      <c r="J73" s="208" t="s">
        <v>347</v>
      </c>
      <c r="K73" s="208" t="s">
        <v>348</v>
      </c>
      <c r="L73" s="208" t="s">
        <v>349</v>
      </c>
      <c r="N73" s="208" t="s">
        <v>350</v>
      </c>
      <c r="O73" s="208" t="s">
        <v>351</v>
      </c>
      <c r="AF73" s="676"/>
      <c r="AR73" s="676"/>
      <c r="BK73" s="244"/>
      <c r="BL73" s="244"/>
      <c r="BM73" s="244"/>
      <c r="BN73" s="244"/>
    </row>
    <row r="74" spans="1:66" ht="15.75" x14ac:dyDescent="0.25">
      <c r="A74" s="677" t="s">
        <v>833</v>
      </c>
      <c r="B74" s="209">
        <f>D74+F74+I74+K74+N74</f>
        <v>47669324.24385</v>
      </c>
      <c r="C74" s="209">
        <f>E74+H74+J74+L74+O74</f>
        <v>29679958.564989999</v>
      </c>
      <c r="D74" s="678">
        <f>H33/1000</f>
        <v>23688219.434939999</v>
      </c>
      <c r="E74" s="678">
        <f>AL33/1000</f>
        <v>15362136.104339998</v>
      </c>
      <c r="F74" s="678">
        <f>H29/1000-N74</f>
        <v>15493652.373609997</v>
      </c>
      <c r="G74" s="679"/>
      <c r="H74" s="678">
        <f>AL29/1000-O74</f>
        <v>8988242.7845799997</v>
      </c>
      <c r="I74" s="678">
        <f>Z36/1000</f>
        <v>2153616.6058299998</v>
      </c>
      <c r="J74" s="678">
        <f>BD36/1000</f>
        <v>1419714.1725900001</v>
      </c>
      <c r="K74" s="678">
        <f>T36/1000</f>
        <v>1888468.2717200001</v>
      </c>
      <c r="L74" s="678">
        <f>AX36/1000</f>
        <v>1146660.8445599999</v>
      </c>
      <c r="N74" s="678">
        <f>(H11+H15+H19+H24)/1000</f>
        <v>4445367.5577500006</v>
      </c>
      <c r="O74" s="678">
        <f>(AL11+AL15+AL19+AL24)/1000</f>
        <v>2763204.6589200003</v>
      </c>
      <c r="P74" s="674"/>
      <c r="Q74" s="674"/>
      <c r="AF74" s="644"/>
      <c r="AR74" s="644"/>
    </row>
    <row r="75" spans="1:66" x14ac:dyDescent="0.25">
      <c r="A75" s="680"/>
      <c r="B75" s="681"/>
      <c r="C75" s="681"/>
      <c r="D75" s="682"/>
      <c r="E75" s="682"/>
      <c r="F75" s="682"/>
      <c r="G75" s="679"/>
      <c r="H75" s="682"/>
      <c r="I75" s="682"/>
      <c r="J75" s="682"/>
      <c r="K75" s="682"/>
      <c r="L75" s="682"/>
      <c r="N75" s="682"/>
      <c r="O75" s="682"/>
      <c r="P75" s="674"/>
      <c r="Q75" s="674"/>
      <c r="AF75" s="644"/>
      <c r="AR75" s="644"/>
    </row>
    <row r="76" spans="1:66" ht="15.75" x14ac:dyDescent="0.25">
      <c r="A76" s="677" t="s">
        <v>834</v>
      </c>
      <c r="B76" s="209">
        <f t="shared" ref="B76:B79" si="28">D76+F76+I76+K76+N76</f>
        <v>8554272.6308400016</v>
      </c>
      <c r="C76" s="209">
        <f>E76+H76+J76+L76+O76</f>
        <v>5707690.8783099996</v>
      </c>
      <c r="D76" s="678">
        <f>I33/1000</f>
        <v>4763210.4433000004</v>
      </c>
      <c r="E76" s="678">
        <f>AM33/1000</f>
        <v>3063082.89573</v>
      </c>
      <c r="F76" s="678">
        <f>(I29-I11-I15-I19-I24)/1000</f>
        <v>1132316.213</v>
      </c>
      <c r="G76" s="679"/>
      <c r="H76" s="678">
        <f>(AM29-AM11-AM15-AM19-AM24)/1000</f>
        <v>818039.57698999997</v>
      </c>
      <c r="I76" s="678">
        <f>AA36/1000</f>
        <v>703762.05546000006</v>
      </c>
      <c r="J76" s="678">
        <f>BE36/1000</f>
        <v>501024.10499999998</v>
      </c>
      <c r="K76" s="678">
        <f>U36/1000</f>
        <v>1090685.1670800003</v>
      </c>
      <c r="L76" s="678">
        <f>AY36/1000</f>
        <v>762576.30059</v>
      </c>
      <c r="N76" s="678">
        <f>(I11+I15+I19+I24)/1000</f>
        <v>864298.75199999998</v>
      </c>
      <c r="O76" s="678">
        <f>(AM11+AM15+AM19+AM24)/1000</f>
        <v>562968</v>
      </c>
      <c r="P76" s="674"/>
      <c r="Q76" s="674"/>
      <c r="AF76" s="644"/>
      <c r="AR76" s="644"/>
    </row>
    <row r="77" spans="1:66" ht="15.75" x14ac:dyDescent="0.25">
      <c r="A77" s="677" t="s">
        <v>835</v>
      </c>
      <c r="B77" s="209">
        <f t="shared" si="28"/>
        <v>3404309.6968399999</v>
      </c>
      <c r="C77" s="209">
        <f>E77+H77+J77+L77+O77</f>
        <v>2432032.8983100001</v>
      </c>
      <c r="D77" s="683">
        <f>'Проверочная  таблица'!F34/1000</f>
        <v>1335521.1292999999</v>
      </c>
      <c r="E77" s="683">
        <f>'Проверочная  таблица'!G34/1000</f>
        <v>871332.89572999999</v>
      </c>
      <c r="F77" s="683">
        <f>'Проверочная  таблица'!F30/1000-N77</f>
        <v>803779.21300000011</v>
      </c>
      <c r="G77" s="683"/>
      <c r="H77" s="683">
        <f>'Проверочная  таблица'!G30/1000-O77</f>
        <v>619174.41800000006</v>
      </c>
      <c r="I77" s="683">
        <f>'Проверочная  таблица'!L37/1000</f>
        <v>150186.06745999999</v>
      </c>
      <c r="J77" s="683">
        <f>'Проверочная  таблица'!M37/1000</f>
        <v>112881.314</v>
      </c>
      <c r="K77" s="683">
        <f>'Проверочная  таблица'!J37/1000</f>
        <v>442904.53508</v>
      </c>
      <c r="L77" s="683">
        <f>'Проверочная  таблица'!K37/1000</f>
        <v>340476.27058000007</v>
      </c>
      <c r="N77" s="683">
        <f>('Проверочная  таблица'!F12+'Проверочная  таблица'!F13+'Проверочная  таблица'!F14+'Проверочная  таблица'!F15)/1000</f>
        <v>671918.75199999998</v>
      </c>
      <c r="O77" s="683">
        <f>('Проверочная  таблица'!G12+'Проверочная  таблица'!G13+'Проверочная  таблица'!G14+'Проверочная  таблица'!G15)/1000</f>
        <v>488168</v>
      </c>
      <c r="P77" s="674"/>
      <c r="Q77" s="674"/>
      <c r="AF77" s="644"/>
      <c r="AR77" s="644"/>
    </row>
    <row r="78" spans="1:66" ht="15.75" x14ac:dyDescent="0.25">
      <c r="A78" s="677" t="s">
        <v>836</v>
      </c>
      <c r="B78" s="209">
        <f t="shared" si="28"/>
        <v>5119462.9340000004</v>
      </c>
      <c r="C78" s="209">
        <f>E78+H78+J78+L78+O78</f>
        <v>3247857.98</v>
      </c>
      <c r="D78" s="683">
        <f>'Проверочная  таблица'!N34/1000</f>
        <v>3424989.3140000002</v>
      </c>
      <c r="E78" s="683">
        <f>'Проверочная  таблица'!O34/1000</f>
        <v>2191750</v>
      </c>
      <c r="F78" s="683">
        <f>'Проверочная  таблица'!N30/1000-N78</f>
        <v>314937</v>
      </c>
      <c r="G78" s="683"/>
      <c r="H78" s="683">
        <f>'Проверочная  таблица'!O30/1000-O78</f>
        <v>185265.15899</v>
      </c>
      <c r="I78" s="683">
        <f>'Проверочная  таблица'!T30/1000</f>
        <v>550575.98800000001</v>
      </c>
      <c r="J78" s="683">
        <f>'Проверочная  таблица'!U30/1000</f>
        <v>385142.79100000003</v>
      </c>
      <c r="K78" s="683">
        <f>'Проверочная  таблица'!R30/1000</f>
        <v>639280.6320000001</v>
      </c>
      <c r="L78" s="683">
        <f>'Проверочная  таблица'!S30/1000</f>
        <v>413600.03000999999</v>
      </c>
      <c r="N78" s="683">
        <f>'Проверочная  таблица'!N41/1000</f>
        <v>189680</v>
      </c>
      <c r="O78" s="683">
        <f>'Проверочная  таблица'!O41/1000</f>
        <v>72100</v>
      </c>
      <c r="P78" s="674"/>
      <c r="Q78" s="674"/>
      <c r="AF78" s="644"/>
      <c r="AR78" s="644"/>
    </row>
    <row r="79" spans="1:66" ht="15.75" x14ac:dyDescent="0.25">
      <c r="A79" s="677" t="s">
        <v>837</v>
      </c>
      <c r="B79" s="209">
        <f t="shared" si="28"/>
        <v>30500.000000000116</v>
      </c>
      <c r="C79" s="209">
        <f>E79+H79+J79+L79+O79</f>
        <v>27799.999999999796</v>
      </c>
      <c r="D79" s="683">
        <f t="shared" ref="D79:L79" si="29">D76-D77-D78</f>
        <v>2700</v>
      </c>
      <c r="E79" s="683">
        <f t="shared" si="29"/>
        <v>0</v>
      </c>
      <c r="F79" s="683">
        <f t="shared" si="29"/>
        <v>13599.999999999884</v>
      </c>
      <c r="G79" s="683">
        <f t="shared" si="29"/>
        <v>0</v>
      </c>
      <c r="H79" s="683">
        <f t="shared" si="29"/>
        <v>13599.999999999913</v>
      </c>
      <c r="I79" s="683">
        <f t="shared" si="29"/>
        <v>3000.0000000001164</v>
      </c>
      <c r="J79" s="683">
        <f t="shared" si="29"/>
        <v>2999.9999999999418</v>
      </c>
      <c r="K79" s="683">
        <f t="shared" si="29"/>
        <v>8500.0000000001164</v>
      </c>
      <c r="L79" s="683">
        <f t="shared" si="29"/>
        <v>8499.9999999999418</v>
      </c>
      <c r="N79" s="683">
        <f t="shared" ref="N79" si="30">N76-N77-N78</f>
        <v>2700</v>
      </c>
      <c r="O79" s="683">
        <f>O76-O77-O78</f>
        <v>2700</v>
      </c>
      <c r="P79" s="674"/>
      <c r="Q79" s="674"/>
      <c r="AF79" s="644"/>
      <c r="AR79" s="644"/>
    </row>
    <row r="80" spans="1:66" x14ac:dyDescent="0.25">
      <c r="A80" s="680"/>
      <c r="B80" s="681"/>
      <c r="C80" s="681"/>
      <c r="D80" s="682"/>
      <c r="E80" s="682"/>
      <c r="F80" s="682"/>
      <c r="G80" s="679"/>
      <c r="H80" s="682"/>
      <c r="I80" s="682"/>
      <c r="J80" s="682"/>
      <c r="K80" s="682"/>
      <c r="L80" s="682"/>
      <c r="N80" s="682"/>
      <c r="O80" s="682"/>
      <c r="P80" s="674"/>
      <c r="Q80" s="674"/>
      <c r="AF80" s="644"/>
      <c r="AR80" s="644"/>
    </row>
    <row r="81" spans="1:44" ht="15.75" x14ac:dyDescent="0.25">
      <c r="A81" s="677" t="s">
        <v>838</v>
      </c>
      <c r="B81" s="209">
        <f>D81+F81+I81+K81+N81</f>
        <v>17864677.673619997</v>
      </c>
      <c r="C81" s="209">
        <f>E81+H81+J81+L81+O81</f>
        <v>9093594.681499999</v>
      </c>
      <c r="D81" s="678">
        <f>J33/1000</f>
        <v>8713453.0728499983</v>
      </c>
      <c r="E81" s="678">
        <f>AN33/1000</f>
        <v>5154198.5357899992</v>
      </c>
      <c r="F81" s="678">
        <f>J29/1000-N81</f>
        <v>5759502.9825399984</v>
      </c>
      <c r="G81" s="679"/>
      <c r="H81" s="678">
        <f>AN29/1000-O81</f>
        <v>1975818.2110900006</v>
      </c>
      <c r="I81" s="678">
        <f>AB36/1000</f>
        <v>1123848.4425199998</v>
      </c>
      <c r="J81" s="678">
        <f>BF36/1000</f>
        <v>694325.54899000004</v>
      </c>
      <c r="K81" s="678">
        <f>V36/1000</f>
        <v>369733.40158000012</v>
      </c>
      <c r="L81" s="678">
        <f>AZ36/1000</f>
        <v>196515.15382000001</v>
      </c>
      <c r="N81" s="678">
        <f>(J11+J15+J19+J24)/1000</f>
        <v>1898139.7741299998</v>
      </c>
      <c r="O81" s="678">
        <f>(AN11+AN15+AN19+AN24)/1000</f>
        <v>1072737.23181</v>
      </c>
      <c r="P81" s="674"/>
      <c r="Q81" s="674"/>
      <c r="AF81" s="644"/>
      <c r="AR81" s="644"/>
    </row>
    <row r="82" spans="1:44" x14ac:dyDescent="0.25">
      <c r="A82" s="680"/>
      <c r="B82" s="681"/>
      <c r="C82" s="681"/>
      <c r="D82" s="682"/>
      <c r="E82" s="682"/>
      <c r="F82" s="682"/>
      <c r="G82" s="679"/>
      <c r="H82" s="682"/>
      <c r="I82" s="682"/>
      <c r="J82" s="682"/>
      <c r="K82" s="682"/>
      <c r="L82" s="682"/>
      <c r="N82" s="682"/>
      <c r="O82" s="682"/>
      <c r="P82" s="674"/>
      <c r="Q82" s="674"/>
      <c r="AF82" s="644"/>
      <c r="AR82" s="644"/>
    </row>
    <row r="83" spans="1:44" ht="15.75" x14ac:dyDescent="0.25">
      <c r="A83" s="677" t="s">
        <v>839</v>
      </c>
      <c r="B83" s="209">
        <f>D83+F83+I83+K83+N83</f>
        <v>17150133.877010003</v>
      </c>
      <c r="C83" s="209">
        <f>E83+H83+J83+L83+O83</f>
        <v>12965830.31198</v>
      </c>
      <c r="D83" s="678">
        <f>K33/1000</f>
        <v>8706116.7968400028</v>
      </c>
      <c r="E83" s="678">
        <f>AO33/1000</f>
        <v>6440121.0098700002</v>
      </c>
      <c r="F83" s="678">
        <f>K29/1000-N83</f>
        <v>7123742.5832099989</v>
      </c>
      <c r="G83" s="679"/>
      <c r="H83" s="678">
        <f>AO29/1000-O83</f>
        <v>5540626.1048799995</v>
      </c>
      <c r="I83" s="678"/>
      <c r="J83" s="678"/>
      <c r="K83" s="678">
        <f>W36/1000</f>
        <v>36969.300000000003</v>
      </c>
      <c r="L83" s="678">
        <f>BA36/1000</f>
        <v>22695.174790000005</v>
      </c>
      <c r="N83" s="678">
        <f>(K11+K15+K19+K24)/1000</f>
        <v>1283305.1969600001</v>
      </c>
      <c r="O83" s="678">
        <f>(AO11+AO15+AO19+AO24)/1000</f>
        <v>962388.02244000009</v>
      </c>
      <c r="P83" s="674"/>
      <c r="Q83" s="674"/>
      <c r="AF83" s="644"/>
      <c r="AR83" s="644"/>
    </row>
    <row r="84" spans="1:44" x14ac:dyDescent="0.25">
      <c r="A84" s="680"/>
      <c r="B84" s="681"/>
      <c r="C84" s="681"/>
      <c r="D84" s="682"/>
      <c r="E84" s="682"/>
      <c r="F84" s="682"/>
      <c r="G84" s="679"/>
      <c r="H84" s="682"/>
      <c r="I84" s="682"/>
      <c r="J84" s="682"/>
      <c r="K84" s="682"/>
      <c r="L84" s="682"/>
      <c r="N84" s="682"/>
      <c r="O84" s="682"/>
      <c r="P84" s="674"/>
      <c r="Q84" s="674"/>
      <c r="AF84" s="644"/>
      <c r="AR84" s="644"/>
    </row>
    <row r="85" spans="1:44" ht="15.75" x14ac:dyDescent="0.25">
      <c r="A85" s="677" t="s">
        <v>840</v>
      </c>
      <c r="B85" s="209">
        <f>D85+F85+I85+K85+N85</f>
        <v>4100240.0623800009</v>
      </c>
      <c r="C85" s="209">
        <f>E85+H85+J85+L85+O85</f>
        <v>1912842.6932000001</v>
      </c>
      <c r="D85" s="678">
        <f>L33/1000</f>
        <v>1505439.1219500003</v>
      </c>
      <c r="E85" s="678">
        <f>AP33/1000</f>
        <v>704733.66295000003</v>
      </c>
      <c r="F85" s="678">
        <f>L29/1000-N85</f>
        <v>1478090.5948600005</v>
      </c>
      <c r="G85" s="679"/>
      <c r="H85" s="678">
        <f>AP29/1000-O85</f>
        <v>653758.89161999989</v>
      </c>
      <c r="I85" s="678">
        <f>AD36/1000</f>
        <v>326006.10784999997</v>
      </c>
      <c r="J85" s="678">
        <f>BH36/1000</f>
        <v>224364.51860000001</v>
      </c>
      <c r="K85" s="678">
        <f>X36/1000</f>
        <v>391080.40305999992</v>
      </c>
      <c r="L85" s="678">
        <f>BB36/1000</f>
        <v>164874.21535999997</v>
      </c>
      <c r="N85" s="678">
        <f>(L11+L15+L19+L24)/1000</f>
        <v>399623.83465999999</v>
      </c>
      <c r="O85" s="678">
        <f>(AP11+AP15+AP19+AP24)/1000</f>
        <v>165111.40467000002</v>
      </c>
      <c r="P85" s="674"/>
      <c r="Q85" s="674"/>
      <c r="AF85" s="644"/>
      <c r="AR85" s="644"/>
    </row>
    <row r="86" spans="1:44" x14ac:dyDescent="0.25">
      <c r="B86" s="684"/>
      <c r="C86" s="684"/>
      <c r="D86" s="684"/>
      <c r="E86" s="684"/>
      <c r="F86" s="684"/>
      <c r="G86" s="679"/>
      <c r="H86" s="684"/>
      <c r="I86" s="684"/>
      <c r="J86" s="684"/>
      <c r="K86" s="684"/>
      <c r="L86" s="684"/>
      <c r="N86" s="684"/>
      <c r="O86" s="684"/>
      <c r="P86" s="674"/>
      <c r="Q86" s="674"/>
      <c r="AF86" s="644"/>
      <c r="AR86" s="644"/>
    </row>
    <row r="87" spans="1:44" ht="15.75" x14ac:dyDescent="0.25">
      <c r="B87" s="685">
        <f>B74-B76-B81-B83-B85</f>
        <v>-3.7252902984619141E-9</v>
      </c>
      <c r="C87" s="685">
        <f>C74-C76-C81-C83-C85</f>
        <v>0</v>
      </c>
      <c r="D87" s="685">
        <f>D74-D76-D81-D83-D85</f>
        <v>-3.4924596548080444E-9</v>
      </c>
      <c r="E87" s="685">
        <f>E74-E76-E81-E83-E85</f>
        <v>-1.1641532182693481E-9</v>
      </c>
      <c r="F87" s="685">
        <f>F74-F76-F81-F83-F85</f>
        <v>0</v>
      </c>
      <c r="G87" s="679"/>
      <c r="H87" s="685">
        <f>H74-H76-H81-H83-H85</f>
        <v>0</v>
      </c>
      <c r="I87" s="685">
        <f>I74-I76-I81-I83-I85</f>
        <v>0</v>
      </c>
      <c r="J87" s="685">
        <f>J74-J76-J81-J83-J85</f>
        <v>0</v>
      </c>
      <c r="K87" s="685">
        <f>K74-K76-K81-K83-K85</f>
        <v>0</v>
      </c>
      <c r="L87" s="685">
        <f>L74-L76-L81-L83-L85</f>
        <v>0</v>
      </c>
      <c r="N87" s="685">
        <f>N74-N76-N81-N83-N85</f>
        <v>8.7311491370201111E-10</v>
      </c>
      <c r="O87" s="685">
        <f>O74-O76-O81-O83-O85</f>
        <v>0</v>
      </c>
      <c r="AF87" s="644"/>
      <c r="AR87" s="644"/>
    </row>
    <row r="88" spans="1:44" ht="15.75" x14ac:dyDescent="0.25">
      <c r="B88" s="686">
        <f>B74-B36/1000</f>
        <v>0</v>
      </c>
      <c r="C88" s="686">
        <f>C74-AF36/1000</f>
        <v>0</v>
      </c>
    </row>
  </sheetData>
  <mergeCells count="35">
    <mergeCell ref="A67:L67"/>
    <mergeCell ref="AY9:BC9"/>
    <mergeCell ref="A49:K49"/>
    <mergeCell ref="A54:L54"/>
    <mergeCell ref="A60:L60"/>
    <mergeCell ref="AL9:AL10"/>
    <mergeCell ref="AM9:AQ9"/>
    <mergeCell ref="AR9:AR10"/>
    <mergeCell ref="AS9:AW9"/>
    <mergeCell ref="AX9:AX10"/>
    <mergeCell ref="A6:A10"/>
    <mergeCell ref="B6:AE7"/>
    <mergeCell ref="U9:Y9"/>
    <mergeCell ref="AF6:BI7"/>
    <mergeCell ref="BD8:BI8"/>
    <mergeCell ref="H9:H10"/>
    <mergeCell ref="A63:L63"/>
    <mergeCell ref="Z9:Z10"/>
    <mergeCell ref="N9:N10"/>
    <mergeCell ref="B8:B10"/>
    <mergeCell ref="C8:G9"/>
    <mergeCell ref="H8:S8"/>
    <mergeCell ref="T8:Y8"/>
    <mergeCell ref="Z8:AE8"/>
    <mergeCell ref="I9:M9"/>
    <mergeCell ref="BK9:BN9"/>
    <mergeCell ref="BD9:BD10"/>
    <mergeCell ref="BE9:BI9"/>
    <mergeCell ref="AA9:AE9"/>
    <mergeCell ref="O9:S9"/>
    <mergeCell ref="T9:T10"/>
    <mergeCell ref="AF8:AF10"/>
    <mergeCell ref="AG8:AK9"/>
    <mergeCell ref="AL8:AW8"/>
    <mergeCell ref="AX8:BC8"/>
  </mergeCells>
  <pageMargins left="0.78740157480314965" right="0.39370078740157483" top="0.78740157480314965" bottom="0.59055118110236227" header="0.51181102362204722" footer="0.51181102362204722"/>
  <pageSetup paperSize="8" scale="78" fitToWidth="3" orientation="landscape" r:id="rId1"/>
  <headerFooter alignWithMargins="0">
    <oddFooter>&amp;L&amp;P&amp;R&amp;F&amp;A</oddFooter>
  </headerFooter>
  <colBreaks count="4" manualBreakCount="4">
    <brk id="13" max="1048575" man="1"/>
    <brk id="25" max="1048575" man="1"/>
    <brk id="37" max="1048575" man="1"/>
    <brk id="4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J45"/>
  <sheetViews>
    <sheetView topLeftCell="A2" zoomScale="40" zoomScaleNormal="40" zoomScaleSheetLayoutView="40" workbookViewId="0">
      <pane xSplit="1" ySplit="9" topLeftCell="B32" activePane="bottomRight" state="frozen"/>
      <selection activeCell="A2" sqref="A2"/>
      <selection pane="topRight" activeCell="B2" sqref="B2"/>
      <selection pane="bottomLeft" activeCell="A11" sqref="A11"/>
      <selection pane="bottomRight" activeCell="AT8" sqref="AT8:AU9"/>
    </sheetView>
  </sheetViews>
  <sheetFormatPr defaultColWidth="9.140625" defaultRowHeight="12.75" x14ac:dyDescent="0.2"/>
  <cols>
    <col min="1" max="1" width="32.140625" style="1" customWidth="1"/>
    <col min="2" max="2" width="27" style="1" customWidth="1"/>
    <col min="3" max="3" width="26.42578125" style="1" customWidth="1"/>
    <col min="4" max="4" width="26.7109375" style="1" customWidth="1"/>
    <col min="5" max="5" width="28.7109375" style="1" customWidth="1"/>
    <col min="6" max="6" width="24.5703125" style="1" customWidth="1"/>
    <col min="7" max="9" width="25.140625" style="1" customWidth="1"/>
    <col min="10" max="10" width="26.42578125" style="1" customWidth="1"/>
    <col min="11" max="11" width="27.42578125" style="1" customWidth="1"/>
    <col min="12" max="12" width="25" style="1" customWidth="1"/>
    <col min="13" max="13" width="25.85546875" style="1" customWidth="1"/>
    <col min="14" max="14" width="26.42578125" style="1" customWidth="1"/>
    <col min="15" max="15" width="25.5703125" style="1" customWidth="1"/>
    <col min="16" max="23" width="24.85546875" style="1" customWidth="1"/>
    <col min="24" max="25" width="26.85546875" style="1" customWidth="1"/>
    <col min="26" max="55" width="24.85546875" style="1" customWidth="1"/>
    <col min="56" max="57" width="26.140625" style="1" customWidth="1"/>
    <col min="58" max="61" width="24" style="1" customWidth="1"/>
    <col min="62" max="63" width="25.140625" style="1" customWidth="1"/>
    <col min="64" max="65" width="28.85546875" style="1" customWidth="1"/>
    <col min="66" max="69" width="25.5703125" style="1" customWidth="1"/>
    <col min="70" max="75" width="24.85546875" style="1" customWidth="1"/>
    <col min="76" max="79" width="25.5703125" style="1" customWidth="1"/>
    <col min="80" max="81" width="36" style="1" customWidth="1"/>
    <col min="82" max="85" width="25.5703125" style="1" customWidth="1"/>
    <col min="86" max="86" width="24.140625" style="1" customWidth="1"/>
    <col min="87" max="87" width="24.5703125" style="1" customWidth="1"/>
    <col min="88" max="88" width="22.85546875" style="1" customWidth="1"/>
    <col min="89" max="93" width="20.42578125" style="1" customWidth="1"/>
    <col min="94" max="97" width="20.5703125" style="1" customWidth="1"/>
    <col min="98" max="98" width="24.42578125" style="1" customWidth="1"/>
    <col min="99" max="99" width="23.5703125" style="1" customWidth="1"/>
    <col min="100" max="101" width="21.85546875" style="1" customWidth="1"/>
    <col min="102" max="102" width="23.5703125" style="1" customWidth="1"/>
    <col min="103" max="103" width="22.85546875" style="1" customWidth="1"/>
    <col min="104" max="105" width="23.5703125" style="1" customWidth="1"/>
    <col min="106" max="109" width="22.7109375" style="1" customWidth="1"/>
    <col min="110" max="111" width="23.85546875" style="1" customWidth="1"/>
    <col min="112" max="112" width="9.140625" style="1"/>
    <col min="113" max="114" width="16" style="1" bestFit="1" customWidth="1"/>
    <col min="115" max="16384" width="9.140625" style="1"/>
  </cols>
  <sheetData>
    <row r="2" spans="1:114" ht="19.5" x14ac:dyDescent="0.3">
      <c r="E2" s="23" t="s">
        <v>716</v>
      </c>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row>
    <row r="3" spans="1:114" ht="19.5" x14ac:dyDescent="0.3">
      <c r="F3" s="424" t="str">
        <f>'Федеральные  средства'!A3</f>
        <v>ПО  СОСТОЯНИЮ  НА  1  ОКТЯБРЯ  2024  ГОДА</v>
      </c>
    </row>
    <row r="4" spans="1:114" ht="15.75" x14ac:dyDescent="0.25">
      <c r="L4" s="425"/>
      <c r="M4" s="425"/>
    </row>
    <row r="5" spans="1:114" ht="17.25" thickBot="1" x14ac:dyDescent="0.3">
      <c r="L5" s="426" t="s">
        <v>370</v>
      </c>
    </row>
    <row r="6" spans="1:114" ht="27" customHeight="1" thickBot="1" x14ac:dyDescent="0.25">
      <c r="A6" s="1789" t="s">
        <v>261</v>
      </c>
      <c r="B6" s="1794" t="s">
        <v>8</v>
      </c>
      <c r="C6" s="1795"/>
      <c r="D6" s="1794" t="s">
        <v>717</v>
      </c>
      <c r="E6" s="1795"/>
      <c r="F6" s="1769" t="s">
        <v>718</v>
      </c>
      <c r="G6" s="1771"/>
      <c r="H6" s="1771"/>
      <c r="I6" s="1771"/>
      <c r="J6" s="1771"/>
      <c r="K6" s="1770"/>
      <c r="L6" s="1800" t="s">
        <v>719</v>
      </c>
      <c r="M6" s="1801"/>
      <c r="N6" s="427"/>
      <c r="O6" s="428"/>
      <c r="P6" s="428"/>
      <c r="Q6" s="428" t="s">
        <v>375</v>
      </c>
      <c r="R6" s="428"/>
      <c r="S6" s="428"/>
      <c r="T6" s="428"/>
      <c r="U6" s="428"/>
      <c r="V6" s="428"/>
      <c r="W6" s="428"/>
      <c r="X6" s="428"/>
      <c r="Y6" s="428"/>
      <c r="Z6" s="428"/>
      <c r="AA6" s="428"/>
      <c r="AB6" s="428"/>
      <c r="AC6" s="428"/>
      <c r="AD6" s="428"/>
      <c r="AE6" s="428"/>
      <c r="AF6" s="428"/>
      <c r="AG6" s="428"/>
      <c r="AH6" s="428"/>
      <c r="AI6" s="428"/>
      <c r="AJ6" s="428"/>
      <c r="AK6" s="428"/>
      <c r="AL6" s="428"/>
      <c r="AM6" s="428"/>
      <c r="AN6" s="428"/>
      <c r="AO6" s="428"/>
      <c r="AP6" s="428"/>
      <c r="AQ6" s="428"/>
      <c r="AR6" s="428"/>
      <c r="AS6" s="428"/>
      <c r="AT6" s="428"/>
      <c r="AU6" s="428"/>
      <c r="AV6" s="428"/>
      <c r="AW6" s="428"/>
      <c r="AX6" s="428"/>
      <c r="AY6" s="428"/>
      <c r="AZ6" s="428"/>
      <c r="BA6" s="428"/>
      <c r="BB6" s="428"/>
      <c r="BC6" s="428"/>
      <c r="BD6" s="428"/>
      <c r="BE6" s="428"/>
      <c r="BF6" s="428"/>
      <c r="BG6" s="428"/>
      <c r="BH6" s="428"/>
      <c r="BI6" s="428"/>
      <c r="BJ6" s="428"/>
      <c r="BK6" s="428"/>
      <c r="BL6" s="428"/>
      <c r="BM6" s="428"/>
      <c r="BN6" s="428"/>
      <c r="BO6" s="428"/>
      <c r="BP6" s="428"/>
      <c r="BQ6" s="428"/>
      <c r="BR6" s="428"/>
      <c r="BS6" s="428"/>
      <c r="BT6" s="428"/>
      <c r="BU6" s="428"/>
      <c r="BV6" s="428"/>
      <c r="BW6" s="428"/>
      <c r="BX6" s="428"/>
      <c r="BY6" s="428"/>
      <c r="BZ6" s="428"/>
      <c r="CA6" s="428"/>
      <c r="CB6" s="428"/>
      <c r="CC6" s="428"/>
      <c r="CD6" s="428"/>
      <c r="CE6" s="428"/>
      <c r="CF6" s="428"/>
      <c r="CG6" s="428"/>
      <c r="CH6" s="428"/>
      <c r="CI6" s="428"/>
      <c r="CJ6" s="428"/>
      <c r="CK6" s="428"/>
      <c r="CL6" s="428"/>
      <c r="CM6" s="428"/>
      <c r="CN6" s="428"/>
      <c r="CO6" s="428"/>
      <c r="CP6" s="428"/>
      <c r="CQ6" s="428"/>
      <c r="CR6" s="428"/>
      <c r="CS6" s="428"/>
      <c r="CT6" s="428"/>
      <c r="CU6" s="428"/>
      <c r="CV6" s="428"/>
      <c r="CW6" s="428"/>
      <c r="CX6" s="428"/>
      <c r="CY6" s="428"/>
      <c r="CZ6" s="428"/>
      <c r="DA6" s="428"/>
      <c r="DB6" s="428"/>
      <c r="DC6" s="428"/>
      <c r="DD6" s="428"/>
      <c r="DE6" s="428"/>
      <c r="DF6" s="428"/>
      <c r="DG6" s="429"/>
    </row>
    <row r="7" spans="1:114" ht="47.1" customHeight="1" thickBot="1" x14ac:dyDescent="0.25">
      <c r="A7" s="1790"/>
      <c r="B7" s="1796"/>
      <c r="C7" s="1797"/>
      <c r="D7" s="1796"/>
      <c r="E7" s="1797"/>
      <c r="F7" s="1807" t="s">
        <v>269</v>
      </c>
      <c r="G7" s="1808"/>
      <c r="H7" s="1826" t="s">
        <v>270</v>
      </c>
      <c r="I7" s="1827"/>
      <c r="J7" s="1827"/>
      <c r="K7" s="1828"/>
      <c r="L7" s="1802"/>
      <c r="M7" s="1803"/>
      <c r="N7" s="1813" t="s">
        <v>720</v>
      </c>
      <c r="O7" s="1814"/>
      <c r="P7" s="1814"/>
      <c r="Q7" s="1814"/>
      <c r="R7" s="1814"/>
      <c r="S7" s="1814"/>
      <c r="T7" s="1814"/>
      <c r="U7" s="1814"/>
      <c r="V7" s="1814"/>
      <c r="W7" s="1814"/>
      <c r="X7" s="1814"/>
      <c r="Y7" s="1814"/>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0"/>
      <c r="AZ7" s="430"/>
      <c r="BA7" s="430"/>
      <c r="BB7" s="430"/>
      <c r="BC7" s="430"/>
      <c r="BD7" s="430"/>
      <c r="BE7" s="430"/>
      <c r="BF7" s="430"/>
      <c r="BG7" s="430"/>
      <c r="BH7" s="430"/>
      <c r="BI7" s="430"/>
      <c r="BJ7" s="430"/>
      <c r="BK7" s="430"/>
      <c r="BL7" s="430"/>
      <c r="BM7" s="430"/>
      <c r="BN7" s="430"/>
      <c r="BO7" s="430"/>
      <c r="BP7" s="430"/>
      <c r="BQ7" s="430"/>
      <c r="BR7" s="430"/>
      <c r="BS7" s="430"/>
      <c r="BT7" s="430"/>
      <c r="BU7" s="430"/>
      <c r="BV7" s="430"/>
      <c r="BW7" s="430"/>
      <c r="BX7" s="430"/>
      <c r="BY7" s="430"/>
      <c r="BZ7" s="430"/>
      <c r="CA7" s="430"/>
      <c r="CB7" s="430"/>
      <c r="CC7" s="430"/>
      <c r="CD7" s="430"/>
      <c r="CE7" s="430"/>
      <c r="CF7" s="430"/>
      <c r="CG7" s="430"/>
      <c r="CH7" s="1835" t="s">
        <v>721</v>
      </c>
      <c r="CI7" s="1836"/>
      <c r="CJ7" s="1836"/>
      <c r="CK7" s="1836"/>
      <c r="CL7" s="1836"/>
      <c r="CM7" s="1836"/>
      <c r="CN7" s="1836"/>
      <c r="CO7" s="1836"/>
      <c r="CP7" s="1836"/>
      <c r="CQ7" s="1836"/>
      <c r="CR7" s="1836"/>
      <c r="CS7" s="1836"/>
      <c r="CT7" s="1836"/>
      <c r="CU7" s="1836"/>
      <c r="CV7" s="27"/>
      <c r="CW7" s="431"/>
      <c r="CX7" s="1817" t="s">
        <v>722</v>
      </c>
      <c r="CY7" s="1818"/>
      <c r="CZ7" s="1818"/>
      <c r="DA7" s="1818"/>
      <c r="DB7" s="1818"/>
      <c r="DC7" s="1818"/>
      <c r="DD7" s="1818"/>
      <c r="DE7" s="1818"/>
      <c r="DF7" s="1818"/>
      <c r="DG7" s="1837"/>
    </row>
    <row r="8" spans="1:114" ht="60.95" customHeight="1" thickBot="1" x14ac:dyDescent="0.25">
      <c r="A8" s="1790"/>
      <c r="B8" s="1796"/>
      <c r="C8" s="1797"/>
      <c r="D8" s="1796"/>
      <c r="E8" s="1797"/>
      <c r="F8" s="1809"/>
      <c r="G8" s="1810"/>
      <c r="H8" s="1829"/>
      <c r="I8" s="1830"/>
      <c r="J8" s="1830"/>
      <c r="K8" s="1831"/>
      <c r="L8" s="1802"/>
      <c r="M8" s="1804"/>
      <c r="N8" s="1790" t="s">
        <v>264</v>
      </c>
      <c r="O8" s="1790" t="s">
        <v>268</v>
      </c>
      <c r="P8" s="1779" t="s">
        <v>271</v>
      </c>
      <c r="Q8" s="1815"/>
      <c r="R8" s="1815"/>
      <c r="S8" s="1815"/>
      <c r="T8" s="1815"/>
      <c r="U8" s="1784"/>
      <c r="V8" s="1816" t="s">
        <v>272</v>
      </c>
      <c r="W8" s="1816"/>
      <c r="X8" s="1817" t="s">
        <v>273</v>
      </c>
      <c r="Y8" s="1818"/>
      <c r="Z8" s="1761" t="s">
        <v>274</v>
      </c>
      <c r="AA8" s="1762"/>
      <c r="AB8" s="1761" t="s">
        <v>275</v>
      </c>
      <c r="AC8" s="1762"/>
      <c r="AD8" s="1769" t="s">
        <v>276</v>
      </c>
      <c r="AE8" s="1771"/>
      <c r="AF8" s="1777" t="s">
        <v>277</v>
      </c>
      <c r="AG8" s="1778"/>
      <c r="AH8" s="1769" t="s">
        <v>278</v>
      </c>
      <c r="AI8" s="1770"/>
      <c r="AJ8" s="1769" t="s">
        <v>279</v>
      </c>
      <c r="AK8" s="1770"/>
      <c r="AL8" s="1769" t="s">
        <v>723</v>
      </c>
      <c r="AM8" s="1770"/>
      <c r="AN8" s="1769" t="s">
        <v>280</v>
      </c>
      <c r="AO8" s="1770"/>
      <c r="AP8" s="1769" t="s">
        <v>281</v>
      </c>
      <c r="AQ8" s="1770"/>
      <c r="AR8" s="1769" t="s">
        <v>282</v>
      </c>
      <c r="AS8" s="1770"/>
      <c r="AT8" s="1771" t="s">
        <v>283</v>
      </c>
      <c r="AU8" s="1770"/>
      <c r="AV8" s="1773" t="s">
        <v>284</v>
      </c>
      <c r="AW8" s="1774"/>
      <c r="AX8" s="1769" t="s">
        <v>724</v>
      </c>
      <c r="AY8" s="1771"/>
      <c r="AZ8" s="1771"/>
      <c r="BA8" s="1770"/>
      <c r="BB8" s="1769" t="s">
        <v>286</v>
      </c>
      <c r="BC8" s="1770"/>
      <c r="BD8" s="1779" t="s">
        <v>287</v>
      </c>
      <c r="BE8" s="1815"/>
      <c r="BF8" s="1815"/>
      <c r="BG8" s="1815"/>
      <c r="BH8" s="1815"/>
      <c r="BI8" s="1784"/>
      <c r="BJ8" s="1773" t="s">
        <v>288</v>
      </c>
      <c r="BK8" s="1774"/>
      <c r="BL8" s="1779" t="s">
        <v>289</v>
      </c>
      <c r="BM8" s="1780"/>
      <c r="BN8" s="1785" t="s">
        <v>290</v>
      </c>
      <c r="BO8" s="1823"/>
      <c r="BP8" s="1823"/>
      <c r="BQ8" s="1786"/>
      <c r="BR8" s="1769" t="s">
        <v>291</v>
      </c>
      <c r="BS8" s="1770"/>
      <c r="BT8" s="1777" t="s">
        <v>292</v>
      </c>
      <c r="BU8" s="1778"/>
      <c r="BV8" s="1777" t="s">
        <v>725</v>
      </c>
      <c r="BW8" s="1778"/>
      <c r="BX8" s="1785" t="s">
        <v>726</v>
      </c>
      <c r="BY8" s="1786"/>
      <c r="BZ8" s="1841" t="s">
        <v>727</v>
      </c>
      <c r="CA8" s="1842"/>
      <c r="CB8" s="1817" t="s">
        <v>296</v>
      </c>
      <c r="CC8" s="1818"/>
      <c r="CD8" s="1818"/>
      <c r="CE8" s="1818"/>
      <c r="CF8" s="1221"/>
      <c r="CG8" s="1220"/>
      <c r="CH8" s="1769" t="s">
        <v>264</v>
      </c>
      <c r="CI8" s="1789" t="s">
        <v>268</v>
      </c>
      <c r="CJ8" s="1761" t="s">
        <v>728</v>
      </c>
      <c r="CK8" s="1762"/>
      <c r="CL8" s="1761" t="s">
        <v>729</v>
      </c>
      <c r="CM8" s="1762"/>
      <c r="CN8" s="1761" t="s">
        <v>730</v>
      </c>
      <c r="CO8" s="1762"/>
      <c r="CP8" s="1761" t="s">
        <v>731</v>
      </c>
      <c r="CQ8" s="1762"/>
      <c r="CR8" s="1765" t="s">
        <v>732</v>
      </c>
      <c r="CS8" s="1766"/>
      <c r="CT8" s="1838" t="s">
        <v>733</v>
      </c>
      <c r="CU8" s="1839"/>
      <c r="CV8" s="1785" t="s">
        <v>734</v>
      </c>
      <c r="CW8" s="1786"/>
      <c r="CX8" s="1789" t="s">
        <v>264</v>
      </c>
      <c r="CY8" s="1789" t="s">
        <v>268</v>
      </c>
      <c r="CZ8" s="1819" t="s">
        <v>1361</v>
      </c>
      <c r="DA8" s="1820"/>
      <c r="DB8" s="1792" t="s">
        <v>735</v>
      </c>
      <c r="DC8" s="1793"/>
      <c r="DD8" s="1792" t="s">
        <v>736</v>
      </c>
      <c r="DE8" s="1793"/>
      <c r="DF8" s="1792" t="s">
        <v>737</v>
      </c>
      <c r="DG8" s="1793"/>
    </row>
    <row r="9" spans="1:114" ht="211.5" customHeight="1" thickBot="1" x14ac:dyDescent="0.25">
      <c r="A9" s="1790"/>
      <c r="B9" s="1798"/>
      <c r="C9" s="1799"/>
      <c r="D9" s="1798"/>
      <c r="E9" s="1799"/>
      <c r="F9" s="1811"/>
      <c r="G9" s="1812"/>
      <c r="H9" s="1832" t="s">
        <v>1278</v>
      </c>
      <c r="I9" s="1833"/>
      <c r="J9" s="1832" t="s">
        <v>1279</v>
      </c>
      <c r="K9" s="1833"/>
      <c r="L9" s="1805"/>
      <c r="M9" s="1806"/>
      <c r="N9" s="1790"/>
      <c r="O9" s="1790"/>
      <c r="P9" s="1763" t="s">
        <v>738</v>
      </c>
      <c r="Q9" s="1764"/>
      <c r="R9" s="1763" t="s">
        <v>739</v>
      </c>
      <c r="S9" s="1764"/>
      <c r="T9" s="1763" t="s">
        <v>740</v>
      </c>
      <c r="U9" s="1764"/>
      <c r="V9" s="1772"/>
      <c r="W9" s="1772"/>
      <c r="X9" s="1782" t="s">
        <v>741</v>
      </c>
      <c r="Y9" s="1783"/>
      <c r="Z9" s="1763"/>
      <c r="AA9" s="1764"/>
      <c r="AB9" s="1763"/>
      <c r="AC9" s="1764"/>
      <c r="AD9" s="1763"/>
      <c r="AE9" s="1772"/>
      <c r="AF9" s="1775"/>
      <c r="AG9" s="1776"/>
      <c r="AH9" s="1763"/>
      <c r="AI9" s="1764"/>
      <c r="AJ9" s="1763"/>
      <c r="AK9" s="1764"/>
      <c r="AL9" s="1763"/>
      <c r="AM9" s="1764"/>
      <c r="AN9" s="1763"/>
      <c r="AO9" s="1764"/>
      <c r="AP9" s="1763"/>
      <c r="AQ9" s="1764"/>
      <c r="AR9" s="1763"/>
      <c r="AS9" s="1764"/>
      <c r="AT9" s="1772"/>
      <c r="AU9" s="1764"/>
      <c r="AV9" s="1775"/>
      <c r="AW9" s="1776"/>
      <c r="AX9" s="1782" t="s">
        <v>1384</v>
      </c>
      <c r="AY9" s="1783"/>
      <c r="AZ9" s="1779" t="s">
        <v>303</v>
      </c>
      <c r="BA9" s="1784"/>
      <c r="BB9" s="1763"/>
      <c r="BC9" s="1764"/>
      <c r="BD9" s="1763" t="s">
        <v>742</v>
      </c>
      <c r="BE9" s="1764"/>
      <c r="BF9" s="1775" t="s">
        <v>743</v>
      </c>
      <c r="BG9" s="1776"/>
      <c r="BH9" s="1772" t="s">
        <v>744</v>
      </c>
      <c r="BI9" s="1764"/>
      <c r="BJ9" s="1775"/>
      <c r="BK9" s="1776"/>
      <c r="BL9" s="1779" t="s">
        <v>309</v>
      </c>
      <c r="BM9" s="1780"/>
      <c r="BN9" s="1779" t="s">
        <v>310</v>
      </c>
      <c r="BO9" s="1784"/>
      <c r="BP9" s="1824" t="s">
        <v>746</v>
      </c>
      <c r="BQ9" s="1825"/>
      <c r="BR9" s="1763"/>
      <c r="BS9" s="1764"/>
      <c r="BT9" s="1775"/>
      <c r="BU9" s="1776"/>
      <c r="BV9" s="1775"/>
      <c r="BW9" s="1776"/>
      <c r="BX9" s="1787"/>
      <c r="BY9" s="1788"/>
      <c r="BZ9" s="1843"/>
      <c r="CA9" s="1844"/>
      <c r="CB9" s="1815" t="s">
        <v>745</v>
      </c>
      <c r="CC9" s="1784"/>
      <c r="CD9" s="1824" t="s">
        <v>1366</v>
      </c>
      <c r="CE9" s="1834"/>
      <c r="CF9" s="1779" t="s">
        <v>746</v>
      </c>
      <c r="CG9" s="1784"/>
      <c r="CH9" s="1761"/>
      <c r="CI9" s="1790"/>
      <c r="CJ9" s="1763"/>
      <c r="CK9" s="1764"/>
      <c r="CL9" s="1763"/>
      <c r="CM9" s="1764"/>
      <c r="CN9" s="1763"/>
      <c r="CO9" s="1764"/>
      <c r="CP9" s="1763"/>
      <c r="CQ9" s="1764"/>
      <c r="CR9" s="1767"/>
      <c r="CS9" s="1768"/>
      <c r="CT9" s="1787"/>
      <c r="CU9" s="1840"/>
      <c r="CV9" s="1787"/>
      <c r="CW9" s="1788"/>
      <c r="CX9" s="1790"/>
      <c r="CY9" s="1790"/>
      <c r="CZ9" s="1821"/>
      <c r="DA9" s="1822"/>
      <c r="DB9" s="1767"/>
      <c r="DC9" s="1768"/>
      <c r="DD9" s="1767"/>
      <c r="DE9" s="1768"/>
      <c r="DF9" s="1767"/>
      <c r="DG9" s="1768"/>
    </row>
    <row r="10" spans="1:114" ht="21" customHeight="1" thickBot="1" x14ac:dyDescent="0.3">
      <c r="A10" s="1791"/>
      <c r="B10" s="35" t="s">
        <v>314</v>
      </c>
      <c r="C10" s="432" t="s">
        <v>316</v>
      </c>
      <c r="D10" s="35" t="s">
        <v>314</v>
      </c>
      <c r="E10" s="432" t="s">
        <v>316</v>
      </c>
      <c r="F10" s="433" t="s">
        <v>314</v>
      </c>
      <c r="G10" s="434" t="s">
        <v>316</v>
      </c>
      <c r="H10" s="433" t="s">
        <v>314</v>
      </c>
      <c r="I10" s="434" t="s">
        <v>316</v>
      </c>
      <c r="J10" s="433" t="s">
        <v>314</v>
      </c>
      <c r="K10" s="434" t="s">
        <v>316</v>
      </c>
      <c r="L10" s="435" t="s">
        <v>314</v>
      </c>
      <c r="M10" s="435" t="s">
        <v>316</v>
      </c>
      <c r="N10" s="1791"/>
      <c r="O10" s="1791"/>
      <c r="P10" s="35" t="s">
        <v>314</v>
      </c>
      <c r="Q10" s="432" t="s">
        <v>316</v>
      </c>
      <c r="R10" s="436" t="s">
        <v>314</v>
      </c>
      <c r="S10" s="432" t="s">
        <v>316</v>
      </c>
      <c r="T10" s="35" t="s">
        <v>314</v>
      </c>
      <c r="U10" s="432" t="s">
        <v>316</v>
      </c>
      <c r="V10" s="432" t="s">
        <v>314</v>
      </c>
      <c r="W10" s="35" t="s">
        <v>316</v>
      </c>
      <c r="X10" s="35" t="s">
        <v>314</v>
      </c>
      <c r="Y10" s="432" t="s">
        <v>316</v>
      </c>
      <c r="Z10" s="432" t="s">
        <v>314</v>
      </c>
      <c r="AA10" s="432" t="s">
        <v>316</v>
      </c>
      <c r="AB10" s="35" t="s">
        <v>314</v>
      </c>
      <c r="AC10" s="432" t="s">
        <v>316</v>
      </c>
      <c r="AD10" s="35" t="s">
        <v>314</v>
      </c>
      <c r="AE10" s="35" t="s">
        <v>316</v>
      </c>
      <c r="AF10" s="35" t="s">
        <v>314</v>
      </c>
      <c r="AG10" s="432" t="s">
        <v>316</v>
      </c>
      <c r="AH10" s="35" t="s">
        <v>314</v>
      </c>
      <c r="AI10" s="432" t="s">
        <v>316</v>
      </c>
      <c r="AJ10" s="35" t="s">
        <v>314</v>
      </c>
      <c r="AK10" s="432" t="s">
        <v>316</v>
      </c>
      <c r="AL10" s="35" t="s">
        <v>314</v>
      </c>
      <c r="AM10" s="432" t="s">
        <v>316</v>
      </c>
      <c r="AN10" s="35" t="s">
        <v>314</v>
      </c>
      <c r="AO10" s="432" t="s">
        <v>316</v>
      </c>
      <c r="AP10" s="35" t="s">
        <v>314</v>
      </c>
      <c r="AQ10" s="432" t="s">
        <v>316</v>
      </c>
      <c r="AR10" s="38" t="s">
        <v>314</v>
      </c>
      <c r="AS10" s="432" t="s">
        <v>316</v>
      </c>
      <c r="AT10" s="38" t="s">
        <v>314</v>
      </c>
      <c r="AU10" s="432" t="s">
        <v>316</v>
      </c>
      <c r="AV10" s="35" t="s">
        <v>314</v>
      </c>
      <c r="AW10" s="432" t="s">
        <v>316</v>
      </c>
      <c r="AX10" s="35" t="s">
        <v>314</v>
      </c>
      <c r="AY10" s="432" t="s">
        <v>316</v>
      </c>
      <c r="AZ10" s="35" t="s">
        <v>314</v>
      </c>
      <c r="BA10" s="432" t="s">
        <v>316</v>
      </c>
      <c r="BB10" s="35" t="s">
        <v>314</v>
      </c>
      <c r="BC10" s="432" t="s">
        <v>316</v>
      </c>
      <c r="BD10" s="35" t="s">
        <v>314</v>
      </c>
      <c r="BE10" s="432" t="s">
        <v>316</v>
      </c>
      <c r="BF10" s="35" t="s">
        <v>314</v>
      </c>
      <c r="BG10" s="432" t="s">
        <v>316</v>
      </c>
      <c r="BH10" s="38" t="s">
        <v>314</v>
      </c>
      <c r="BI10" s="35" t="s">
        <v>316</v>
      </c>
      <c r="BJ10" s="432" t="s">
        <v>314</v>
      </c>
      <c r="BK10" s="432" t="s">
        <v>316</v>
      </c>
      <c r="BL10" s="38" t="s">
        <v>314</v>
      </c>
      <c r="BM10" s="432" t="s">
        <v>316</v>
      </c>
      <c r="BN10" s="35" t="s">
        <v>314</v>
      </c>
      <c r="BO10" s="432" t="s">
        <v>316</v>
      </c>
      <c r="BP10" s="35" t="s">
        <v>314</v>
      </c>
      <c r="BQ10" s="432" t="s">
        <v>316</v>
      </c>
      <c r="BR10" s="35" t="s">
        <v>314</v>
      </c>
      <c r="BS10" s="432" t="s">
        <v>316</v>
      </c>
      <c r="BT10" s="35" t="s">
        <v>314</v>
      </c>
      <c r="BU10" s="432" t="s">
        <v>316</v>
      </c>
      <c r="BV10" s="35" t="s">
        <v>314</v>
      </c>
      <c r="BW10" s="432" t="s">
        <v>316</v>
      </c>
      <c r="BX10" s="35" t="s">
        <v>314</v>
      </c>
      <c r="BY10" s="432" t="s">
        <v>316</v>
      </c>
      <c r="BZ10" s="35" t="s">
        <v>314</v>
      </c>
      <c r="CA10" s="432" t="s">
        <v>316</v>
      </c>
      <c r="CB10" s="436" t="s">
        <v>314</v>
      </c>
      <c r="CC10" s="432" t="s">
        <v>316</v>
      </c>
      <c r="CD10" s="35" t="s">
        <v>314</v>
      </c>
      <c r="CE10" s="35" t="s">
        <v>316</v>
      </c>
      <c r="CF10" s="35" t="s">
        <v>314</v>
      </c>
      <c r="CG10" s="432" t="s">
        <v>316</v>
      </c>
      <c r="CH10" s="1761"/>
      <c r="CI10" s="1761"/>
      <c r="CJ10" s="436" t="s">
        <v>314</v>
      </c>
      <c r="CK10" s="436" t="s">
        <v>316</v>
      </c>
      <c r="CL10" s="437" t="s">
        <v>314</v>
      </c>
      <c r="CM10" s="436" t="s">
        <v>316</v>
      </c>
      <c r="CN10" s="35" t="s">
        <v>314</v>
      </c>
      <c r="CO10" s="432" t="s">
        <v>316</v>
      </c>
      <c r="CP10" s="38" t="s">
        <v>314</v>
      </c>
      <c r="CQ10" s="432" t="s">
        <v>316</v>
      </c>
      <c r="CR10" s="38" t="s">
        <v>314</v>
      </c>
      <c r="CS10" s="432" t="s">
        <v>316</v>
      </c>
      <c r="CT10" s="35" t="s">
        <v>314</v>
      </c>
      <c r="CU10" s="35" t="s">
        <v>316</v>
      </c>
      <c r="CV10" s="35" t="s">
        <v>314</v>
      </c>
      <c r="CW10" s="432" t="s">
        <v>316</v>
      </c>
      <c r="CX10" s="1791"/>
      <c r="CY10" s="1790"/>
      <c r="CZ10" s="35" t="s">
        <v>314</v>
      </c>
      <c r="DA10" s="432" t="s">
        <v>316</v>
      </c>
      <c r="DB10" s="35" t="s">
        <v>314</v>
      </c>
      <c r="DC10" s="432" t="s">
        <v>316</v>
      </c>
      <c r="DD10" s="35" t="s">
        <v>314</v>
      </c>
      <c r="DE10" s="432" t="s">
        <v>316</v>
      </c>
      <c r="DF10" s="35" t="s">
        <v>314</v>
      </c>
      <c r="DG10" s="432" t="s">
        <v>316</v>
      </c>
      <c r="DI10" s="1781" t="s">
        <v>747</v>
      </c>
      <c r="DJ10" s="1781"/>
    </row>
    <row r="11" spans="1:114" ht="25.5" customHeight="1" x14ac:dyDescent="0.25">
      <c r="A11" s="438" t="s">
        <v>317</v>
      </c>
      <c r="B11" s="439">
        <f t="shared" ref="B11:B28" si="0">D11+L11</f>
        <v>79488543.439999998</v>
      </c>
      <c r="C11" s="440">
        <f t="shared" ref="C11:C28" si="1">E11+M11</f>
        <v>19898088.400000002</v>
      </c>
      <c r="D11" s="1146">
        <f>F11+J11+H11</f>
        <v>48465625.600000001</v>
      </c>
      <c r="E11" s="1147">
        <f>G11+K11+I11</f>
        <v>1961000</v>
      </c>
      <c r="F11" s="441">
        <f>'Проверочная  таблица'!BL12+'Проверочная  таблица'!BN12</f>
        <v>0</v>
      </c>
      <c r="G11" s="442">
        <f>'Проверочная  таблица'!BM12+'Проверочная  таблица'!BO12</f>
        <v>0</v>
      </c>
      <c r="H11" s="442">
        <f>'Проверочная  таблица'!BU12</f>
        <v>43666625.600000001</v>
      </c>
      <c r="I11" s="443">
        <f>'Проверочная  таблица'!BX12</f>
        <v>0</v>
      </c>
      <c r="J11" s="442">
        <f>'Проверочная  таблица'!BV12</f>
        <v>4799000</v>
      </c>
      <c r="K11" s="443">
        <f>'Проверочная  таблица'!BY12</f>
        <v>1961000</v>
      </c>
      <c r="L11" s="444">
        <f t="shared" ref="L11:L28" si="2">N11+CH11+CX11</f>
        <v>31022917.84</v>
      </c>
      <c r="M11" s="445">
        <f t="shared" ref="M11:M28" si="3">O11+CI11+CY11</f>
        <v>17937088.400000002</v>
      </c>
      <c r="N11" s="69">
        <f>V11+BH11+AV11+BL11+BJ11+AT11+X11+BB11+AD11+P11+BN11+CB11+CF11+Z11+BD11+BF11+AB11+CD11+R11+BZ11+AJ11+BT11+BV11+AX11+T11+BX11+BR11+AZ11+AL11+AH11+AN11+AF11+AP11+AR11+BP11</f>
        <v>13601726.700000001</v>
      </c>
      <c r="O11" s="69">
        <f>W11+BI11+AW11+BM11+BK11+AU11+Y11+BC11+AE11+Q11+BO11+CC11+CG11+AA11+BE11+BG11+AC11+CE11+S11+CA11+AK11+BU11+BW11+AY11+U11+BY11+BS11+BA11+AM11+AI11+AO11+AG11+AQ11+AS11+BQ11</f>
        <v>4201277.45</v>
      </c>
      <c r="P11" s="445">
        <f>'Проверочная  таблица'!CP12</f>
        <v>0</v>
      </c>
      <c r="Q11" s="445">
        <f>'Проверочная  таблица'!CW12</f>
        <v>0</v>
      </c>
      <c r="R11" s="445">
        <f>'Проверочная  таблица'!CR12+'Проверочная  таблица'!DD12</f>
        <v>0</v>
      </c>
      <c r="S11" s="66">
        <f>'Проверочная  таблица'!CY12+'Проверочная  таблица'!DG12</f>
        <v>0</v>
      </c>
      <c r="T11" s="444">
        <f>'Проверочная  таблица'!CT12</f>
        <v>0</v>
      </c>
      <c r="U11" s="66">
        <f>'Проверочная  таблица'!DA12</f>
        <v>0</v>
      </c>
      <c r="V11" s="446">
        <f>'Проверочная  таблица'!DV12</f>
        <v>0</v>
      </c>
      <c r="W11" s="445">
        <f>'Проверочная  таблица'!DY12</f>
        <v>0</v>
      </c>
      <c r="X11" s="445">
        <f>'Проверочная  таблица'!EB12</f>
        <v>0</v>
      </c>
      <c r="Y11" s="66">
        <f>'Проверочная  таблица'!EE12</f>
        <v>0</v>
      </c>
      <c r="Z11" s="66">
        <f>'Проверочная  таблица'!EI12</f>
        <v>0</v>
      </c>
      <c r="AA11" s="66">
        <f>'Проверочная  таблица'!EM12</f>
        <v>0</v>
      </c>
      <c r="AB11" s="445">
        <f>'Проверочная  таблица'!EP12</f>
        <v>0</v>
      </c>
      <c r="AC11" s="66">
        <f>'Проверочная  таблица'!ES12</f>
        <v>0</v>
      </c>
      <c r="AD11" s="444">
        <f>'Проверочная  таблица'!EV12+'Проверочная  таблица'!FB12</f>
        <v>0</v>
      </c>
      <c r="AE11" s="445">
        <f>'Проверочная  таблица'!EY12+'Проверочная  таблица'!FE12</f>
        <v>0</v>
      </c>
      <c r="AF11" s="445">
        <f>'Проверочная  таблица'!FT12</f>
        <v>0</v>
      </c>
      <c r="AG11" s="445">
        <f>'Проверочная  таблица'!FW12</f>
        <v>0</v>
      </c>
      <c r="AH11" s="445">
        <f>'Проверочная  таблица'!FZ12+'Проверочная  таблица'!GF12</f>
        <v>0</v>
      </c>
      <c r="AI11" s="66">
        <f>'Проверочная  таблица'!GC12+'Проверочная  таблица'!GI12</f>
        <v>0</v>
      </c>
      <c r="AJ11" s="446">
        <f>'Проверочная  таблица'!GP12</f>
        <v>0</v>
      </c>
      <c r="AK11" s="445">
        <f>'Проверочная  таблица'!GT12</f>
        <v>0</v>
      </c>
      <c r="AL11" s="445">
        <f>'Проверочная  таблица'!HF12</f>
        <v>0</v>
      </c>
      <c r="AM11" s="445">
        <f>'Проверочная  таблица'!HI12</f>
        <v>0</v>
      </c>
      <c r="AN11" s="445">
        <f>'Проверочная  таблица'!HL12+'Проверочная  таблица'!HR12</f>
        <v>0</v>
      </c>
      <c r="AO11" s="445">
        <f>'Проверочная  таблица'!HO12+'Проверочная  таблица'!HU12</f>
        <v>0</v>
      </c>
      <c r="AP11" s="445">
        <f>'Проверочная  таблица'!IJ12+'Проверочная  таблица'!IP12</f>
        <v>0</v>
      </c>
      <c r="AQ11" s="66">
        <f>'Проверочная  таблица'!IM12+'Проверочная  таблица'!IS12</f>
        <v>0</v>
      </c>
      <c r="AR11" s="444">
        <f>'Проверочная  таблица'!IZ12</f>
        <v>0</v>
      </c>
      <c r="AS11" s="66">
        <f>'Проверочная  таблица'!JC12</f>
        <v>0</v>
      </c>
      <c r="AT11" s="444">
        <f>'Проверочная  таблица'!JF12</f>
        <v>0</v>
      </c>
      <c r="AU11" s="66">
        <f>'Проверочная  таблица'!JI12</f>
        <v>0</v>
      </c>
      <c r="AV11" s="444">
        <f>'Проверочная  таблица'!JL12+'Проверочная  таблица'!JR12</f>
        <v>0</v>
      </c>
      <c r="AW11" s="445">
        <f>'Проверочная  таблица'!JO12+'Проверочная  таблица'!JU12</f>
        <v>0</v>
      </c>
      <c r="AX11" s="445">
        <f>'Проверочная  таблица'!KJ12+'Проверочная  таблица'!KT12</f>
        <v>691479.65</v>
      </c>
      <c r="AY11" s="66">
        <f>'Проверочная  таблица'!KY12+'Проверочная  таблица'!KO12</f>
        <v>0</v>
      </c>
      <c r="AZ11" s="445">
        <f>'Проверочная  таблица'!KL12+'Проверочная  таблица'!KV12</f>
        <v>102723.4</v>
      </c>
      <c r="BA11" s="66">
        <f>'Проверочная  таблица'!LA12+'Проверочная  таблица'!KQ12</f>
        <v>30817.02</v>
      </c>
      <c r="BB11" s="444">
        <f>'Проверочная  таблица'!LQ12+'Проверочная  таблица'!LY12</f>
        <v>5900400</v>
      </c>
      <c r="BC11" s="66">
        <f>'Проверочная  таблица'!MC12+'Проверочная  таблица'!LU12</f>
        <v>0</v>
      </c>
      <c r="BD11" s="445">
        <f>'Проверочная  таблица'!MX12</f>
        <v>0</v>
      </c>
      <c r="BE11" s="66">
        <f>'Проверочная  таблица'!NF12</f>
        <v>0</v>
      </c>
      <c r="BF11" s="445">
        <f>'Проверочная  таблица'!MV12</f>
        <v>0</v>
      </c>
      <c r="BG11" s="66">
        <f>'Проверочная  таблица'!ND12</f>
        <v>0</v>
      </c>
      <c r="BH11" s="444">
        <f>'Проверочная  таблица'!NA12+'Проверочная  таблица'!NL12</f>
        <v>118506.83</v>
      </c>
      <c r="BI11" s="445">
        <f>'Проверочная  таблица'!NO12+'Проверочная  таблица'!NI12</f>
        <v>118506.83</v>
      </c>
      <c r="BJ11" s="66">
        <f>'Проверочная  таблица'!OD12</f>
        <v>0</v>
      </c>
      <c r="BK11" s="66">
        <f>'Проверочная  таблица'!OH12</f>
        <v>0</v>
      </c>
      <c r="BL11" s="444">
        <f>'Проверочная  таблица'!OL12+'Проверочная  таблица'!OT12</f>
        <v>0</v>
      </c>
      <c r="BM11" s="445">
        <f>'Проверочная  таблица'!OP12+'Проверочная  таблица'!OX12</f>
        <v>0</v>
      </c>
      <c r="BN11" s="445">
        <f>'Проверочная  таблица'!QB12+'Проверочная  таблица'!PR12</f>
        <v>0</v>
      </c>
      <c r="BO11" s="66">
        <f>'Проверочная  таблица'!QE12+'Проверочная  таблица'!PW12</f>
        <v>0</v>
      </c>
      <c r="BP11" s="445"/>
      <c r="BQ11" s="66"/>
      <c r="BR11" s="444">
        <f>'Проверочная  таблица'!QT12</f>
        <v>0</v>
      </c>
      <c r="BS11" s="66">
        <f>'Проверочная  таблица'!QW12</f>
        <v>0</v>
      </c>
      <c r="BT11" s="444">
        <f>'Проверочная  таблица'!QZ12+'Проверочная  таблица'!RF12</f>
        <v>0</v>
      </c>
      <c r="BU11" s="66">
        <f>'Проверочная  таблица'!RC12+'Проверочная  таблица'!RI12</f>
        <v>0</v>
      </c>
      <c r="BV11" s="444">
        <f>'Проверочная  таблица'!RX12</f>
        <v>0</v>
      </c>
      <c r="BW11" s="445">
        <f>'Проверочная  таблица'!SA12</f>
        <v>0</v>
      </c>
      <c r="BX11" s="445">
        <f>'Проверочная  таблица'!SE12</f>
        <v>0</v>
      </c>
      <c r="BY11" s="66">
        <f>'Проверочная  таблица'!SI12</f>
        <v>0</v>
      </c>
      <c r="BZ11" s="444">
        <f>'Проверочная  таблица'!SL12</f>
        <v>0</v>
      </c>
      <c r="CA11" s="445">
        <f>'Проверочная  таблица'!SO12</f>
        <v>0</v>
      </c>
      <c r="CB11" s="445">
        <f>'Проверочная  таблица'!TF12+'Проверочная  таблица'!SR12</f>
        <v>6788616.8200000003</v>
      </c>
      <c r="CC11" s="66">
        <f>'Проверочная  таблица'!TM12+'Проверочная  таблица'!SY12</f>
        <v>4051953.6</v>
      </c>
      <c r="CD11" s="444">
        <f>'Проверочная  таблица'!ST12+'Проверочная  таблица'!TH12</f>
        <v>0</v>
      </c>
      <c r="CE11" s="445">
        <f>'Проверочная  таблица'!TO12+'Проверочная  таблица'!TA12</f>
        <v>0</v>
      </c>
      <c r="CF11" s="445">
        <f>'Проверочная  таблица'!TJ12+'Проверочная  таблица'!SV12</f>
        <v>0</v>
      </c>
      <c r="CG11" s="66">
        <f>'Проверочная  таблица'!TQ12+'Проверочная  таблица'!TC12</f>
        <v>0</v>
      </c>
      <c r="CH11" s="445">
        <f>CV11+CJ11+CP11+CL11+CN11+CR11+CT11</f>
        <v>6357731.4100000001</v>
      </c>
      <c r="CI11" s="445">
        <f>CW11+CK11+CQ11+CM11+CO11+CS11+CU11</f>
        <v>2912598.74</v>
      </c>
      <c r="CJ11" s="69">
        <f>'Проверочная  таблица'!VN12+'Проверочная  таблица'!VL12</f>
        <v>2362800</v>
      </c>
      <c r="CK11" s="69">
        <f>'Проверочная  таблица'!VO12+'Проверочная  таблица'!VM12</f>
        <v>408936.11</v>
      </c>
      <c r="CL11" s="77">
        <f>'Проверочная  таблица'!VP12</f>
        <v>0</v>
      </c>
      <c r="CM11" s="77">
        <f>'Проверочная  таблица'!VQ12</f>
        <v>0</v>
      </c>
      <c r="CN11" s="447">
        <f>'Проверочная  таблица'!VR12</f>
        <v>0</v>
      </c>
      <c r="CO11" s="448">
        <f>'Проверочная  таблица'!VS12</f>
        <v>0</v>
      </c>
      <c r="CP11" s="449">
        <f>'Проверочная  таблица'!VT12</f>
        <v>0</v>
      </c>
      <c r="CQ11" s="448">
        <f>'Проверочная  таблица'!VU12</f>
        <v>0</v>
      </c>
      <c r="CR11" s="449">
        <f>'Проверочная  таблица'!VV12</f>
        <v>0</v>
      </c>
      <c r="CS11" s="447">
        <f>'Проверочная  таблица'!VW12</f>
        <v>0</v>
      </c>
      <c r="CT11" s="445">
        <f>'Проверочная  таблица'!VZ12</f>
        <v>3144931.41</v>
      </c>
      <c r="CU11" s="445">
        <f>'Проверочная  таблица'!WC12</f>
        <v>1684156</v>
      </c>
      <c r="CV11" s="445">
        <f>'Проверочная  таблица'!WF12</f>
        <v>850000</v>
      </c>
      <c r="CW11" s="445">
        <f>'Проверочная  таблица'!WI12</f>
        <v>819506.63</v>
      </c>
      <c r="CX11" s="445">
        <f>DF11+DD11+DB11+CZ11</f>
        <v>11063459.73</v>
      </c>
      <c r="CY11" s="66">
        <f>DG11+DE11+DC11+DA11</f>
        <v>10823212.210000001</v>
      </c>
      <c r="CZ11" s="444">
        <f>'Проверочная  таблица'!WN12</f>
        <v>0</v>
      </c>
      <c r="DA11" s="66">
        <f>'Проверочная  таблица'!WQ12</f>
        <v>0</v>
      </c>
      <c r="DB11" s="450">
        <f>'Проверочная  таблица'!WT12</f>
        <v>0</v>
      </c>
      <c r="DC11" s="451">
        <f>'Проверочная  таблица'!WW12</f>
        <v>0</v>
      </c>
      <c r="DD11" s="445">
        <f>'Проверочная  таблица'!WZ12</f>
        <v>1024552.7300000001</v>
      </c>
      <c r="DE11" s="66">
        <f>'Проверочная  таблица'!XC12</f>
        <v>784305.21</v>
      </c>
      <c r="DF11" s="444">
        <f>'Проверочная  таблица'!XF12</f>
        <v>10038907</v>
      </c>
      <c r="DG11" s="66">
        <f>'Проверочная  таблица'!XI12</f>
        <v>10038907</v>
      </c>
      <c r="DI11" s="452">
        <f t="shared" ref="DI11:DI36" si="4">(CH11-CJ11)/1000</f>
        <v>3994.9314100000001</v>
      </c>
      <c r="DJ11" s="452">
        <f t="shared" ref="DJ11:DJ36" si="5">(CI11-CK11)/1000</f>
        <v>2503.6626300000003</v>
      </c>
    </row>
    <row r="12" spans="1:114" ht="25.5" customHeight="1" x14ac:dyDescent="0.25">
      <c r="A12" s="68" t="s">
        <v>318</v>
      </c>
      <c r="B12" s="453">
        <f t="shared" si="0"/>
        <v>473458026.06</v>
      </c>
      <c r="C12" s="454">
        <f t="shared" si="1"/>
        <v>186196773.16</v>
      </c>
      <c r="D12" s="1144">
        <f t="shared" ref="D12:D28" si="6">F12+J12+H12</f>
        <v>56538000</v>
      </c>
      <c r="E12" s="1145">
        <f t="shared" ref="E12:E28" si="7">G12+K12+I12</f>
        <v>0</v>
      </c>
      <c r="F12" s="441">
        <f>'Проверочная  таблица'!BL16+'Проверочная  таблица'!BN16</f>
        <v>0</v>
      </c>
      <c r="G12" s="442">
        <f>'Проверочная  таблица'!BM16+'Проверочная  таблица'!BO16</f>
        <v>0</v>
      </c>
      <c r="H12" s="442">
        <f>'Проверочная  таблица'!BU16</f>
        <v>49290000</v>
      </c>
      <c r="I12" s="443">
        <f>'Проверочная  таблица'!BX16</f>
        <v>0</v>
      </c>
      <c r="J12" s="442">
        <f>'Проверочная  таблица'!BV16</f>
        <v>7248000</v>
      </c>
      <c r="K12" s="443">
        <f>'Проверочная  таблица'!BY16</f>
        <v>0</v>
      </c>
      <c r="L12" s="75">
        <f t="shared" si="2"/>
        <v>416920026.06</v>
      </c>
      <c r="M12" s="76">
        <f t="shared" si="3"/>
        <v>186196773.16</v>
      </c>
      <c r="N12" s="69">
        <f t="shared" ref="N12:N28" si="8">V12+BH12+AV12+BL12+BJ12+AT12+X12+BB12+AD12+P12+BN12+CB12+CF12+Z12+BD12+BF12+AB12+CD12+R12+BZ12+AJ12+BT12+BV12+AX12+T12+BX12+BR12+AZ12+AL12+AH12+AN12+AF12+AP12+AR12+BP12</f>
        <v>340107704.50999999</v>
      </c>
      <c r="O12" s="69">
        <f t="shared" ref="O12:O28" si="9">W12+BI12+AW12+BM12+BK12+AU12+Y12+BC12+AE12+Q12+BO12+CC12+CG12+AA12+BE12+BG12+AC12+CE12+S12+CA12+AK12+BU12+BW12+AY12+U12+BY12+BS12+BA12+AM12+AI12+AO12+AG12+AQ12+AS12+BQ12</f>
        <v>121734592.48</v>
      </c>
      <c r="P12" s="76">
        <f>'Проверочная  таблица'!CP16</f>
        <v>0</v>
      </c>
      <c r="Q12" s="76">
        <f>'Проверочная  таблица'!CW16</f>
        <v>0</v>
      </c>
      <c r="R12" s="76">
        <f>'Проверочная  таблица'!CR16+'Проверочная  таблица'!DD16</f>
        <v>0</v>
      </c>
      <c r="S12" s="71">
        <f>'Проверочная  таблица'!CY16+'Проверочная  таблица'!DG16</f>
        <v>0</v>
      </c>
      <c r="T12" s="75">
        <f>'Проверочная  таблица'!CT16</f>
        <v>0</v>
      </c>
      <c r="U12" s="71">
        <f>'Проверочная  таблица'!DA16</f>
        <v>0</v>
      </c>
      <c r="V12" s="77">
        <f>'Проверочная  таблица'!DV16</f>
        <v>2991400</v>
      </c>
      <c r="W12" s="76">
        <f>'Проверочная  таблица'!DY16</f>
        <v>2148193.0099999998</v>
      </c>
      <c r="X12" s="76">
        <f>'Проверочная  таблица'!EB16</f>
        <v>0</v>
      </c>
      <c r="Y12" s="71">
        <f>'Проверочная  таблица'!EE16</f>
        <v>0</v>
      </c>
      <c r="Z12" s="71">
        <f>'Проверочная  таблица'!EI16</f>
        <v>0</v>
      </c>
      <c r="AA12" s="71">
        <f>'Проверочная  таблица'!EM16</f>
        <v>0</v>
      </c>
      <c r="AB12" s="76">
        <f>'Проверочная  таблица'!EP16</f>
        <v>0</v>
      </c>
      <c r="AC12" s="71">
        <f>'Проверочная  таблица'!ES16</f>
        <v>0</v>
      </c>
      <c r="AD12" s="75">
        <f>'Проверочная  таблица'!EV16+'Проверочная  таблица'!FB16</f>
        <v>0</v>
      </c>
      <c r="AE12" s="76">
        <f>'Проверочная  таблица'!EY16+'Проверочная  таблица'!FE16</f>
        <v>0</v>
      </c>
      <c r="AF12" s="76">
        <f>'Проверочная  таблица'!FT16</f>
        <v>0</v>
      </c>
      <c r="AG12" s="76">
        <f>'Проверочная  таблица'!FW16</f>
        <v>0</v>
      </c>
      <c r="AH12" s="76">
        <f>'Проверочная  таблица'!FZ16+'Проверочная  таблица'!GF16</f>
        <v>0</v>
      </c>
      <c r="AI12" s="71">
        <f>'Проверочная  таблица'!GC16+'Проверочная  таблица'!GI16</f>
        <v>0</v>
      </c>
      <c r="AJ12" s="77">
        <f>'Проверочная  таблица'!GP16</f>
        <v>0</v>
      </c>
      <c r="AK12" s="76">
        <f>'Проверочная  таблица'!GT16</f>
        <v>0</v>
      </c>
      <c r="AL12" s="76">
        <f>'Проверочная  таблица'!HF16</f>
        <v>0</v>
      </c>
      <c r="AM12" s="76">
        <f>'Проверочная  таблица'!HI16</f>
        <v>0</v>
      </c>
      <c r="AN12" s="76">
        <f>'Проверочная  таблица'!HL16+'Проверочная  таблица'!HR16</f>
        <v>92125100</v>
      </c>
      <c r="AO12" s="76">
        <f>'Проверочная  таблица'!HO16+'Проверочная  таблица'!HU16</f>
        <v>92125100</v>
      </c>
      <c r="AP12" s="76">
        <f>'Проверочная  таблица'!IJ16+'Проверочная  таблица'!IP16</f>
        <v>0</v>
      </c>
      <c r="AQ12" s="71">
        <f>'Проверочная  таблица'!IM16+'Проверочная  таблица'!IS16</f>
        <v>0</v>
      </c>
      <c r="AR12" s="75">
        <f>'Проверочная  таблица'!IZ16</f>
        <v>0</v>
      </c>
      <c r="AS12" s="71">
        <f>'Проверочная  таблица'!JC16</f>
        <v>0</v>
      </c>
      <c r="AT12" s="75">
        <f>'Проверочная  таблица'!JF16</f>
        <v>0</v>
      </c>
      <c r="AU12" s="71">
        <f>'Проверочная  таблица'!JI16</f>
        <v>0</v>
      </c>
      <c r="AV12" s="75">
        <f>'Проверочная  таблица'!JL16+'Проверочная  таблица'!JR16</f>
        <v>0</v>
      </c>
      <c r="AW12" s="76">
        <f>'Проверочная  таблица'!JO16+'Проверочная  таблица'!JU16</f>
        <v>0</v>
      </c>
      <c r="AX12" s="76">
        <f>'Проверочная  таблица'!KJ16+'Проверочная  таблица'!KT16</f>
        <v>462418.86</v>
      </c>
      <c r="AY12" s="71">
        <f>'Проверочная  таблица'!KY16+'Проверочная  таблица'!KO16</f>
        <v>0</v>
      </c>
      <c r="AZ12" s="76">
        <f>'Проверочная  таблица'!KL16+'Проверочная  таблица'!KV16</f>
        <v>1645916.6</v>
      </c>
      <c r="BA12" s="71">
        <f>'Проверочная  таблица'!LA16+'Проверочная  таблица'!KQ16</f>
        <v>0</v>
      </c>
      <c r="BB12" s="75">
        <f>'Проверочная  таблица'!LQ16+'Проверочная  таблица'!LY16</f>
        <v>0</v>
      </c>
      <c r="BC12" s="71">
        <f>'Проверочная  таблица'!MC16+'Проверочная  таблица'!LU16</f>
        <v>0</v>
      </c>
      <c r="BD12" s="76">
        <f>'Проверочная  таблица'!MX16</f>
        <v>0</v>
      </c>
      <c r="BE12" s="71">
        <f>'Проверочная  таблица'!NF16</f>
        <v>0</v>
      </c>
      <c r="BF12" s="76">
        <f>'Проверочная  таблица'!MV16</f>
        <v>0</v>
      </c>
      <c r="BG12" s="71">
        <f>'Проверочная  таблица'!ND16</f>
        <v>0</v>
      </c>
      <c r="BH12" s="75">
        <f>'Проверочная  таблица'!NA16+'Проверочная  таблица'!NL16</f>
        <v>92304142.409999996</v>
      </c>
      <c r="BI12" s="76">
        <f>'Проверочная  таблица'!NO16+'Проверочная  таблица'!NI16</f>
        <v>179042.4</v>
      </c>
      <c r="BJ12" s="71">
        <f>'Проверочная  таблица'!OD16</f>
        <v>0</v>
      </c>
      <c r="BK12" s="71">
        <f>'Проверочная  таблица'!OH16</f>
        <v>0</v>
      </c>
      <c r="BL12" s="75">
        <f>'Проверочная  таблица'!OL16+'Проверочная  таблица'!OT16</f>
        <v>26000000</v>
      </c>
      <c r="BM12" s="76">
        <f>'Проверочная  таблица'!OP16+'Проверочная  таблица'!OX16</f>
        <v>26000000</v>
      </c>
      <c r="BN12" s="76">
        <f>'Проверочная  таблица'!QB16+'Проверочная  таблица'!PR16</f>
        <v>1290526.6400000001</v>
      </c>
      <c r="BO12" s="71">
        <f>'Проверочная  таблица'!QE16+'Проверочная  таблица'!PW16</f>
        <v>1282257.07</v>
      </c>
      <c r="BP12" s="76"/>
      <c r="BQ12" s="71"/>
      <c r="BR12" s="75">
        <f>'Проверочная  таблица'!QT16</f>
        <v>0</v>
      </c>
      <c r="BS12" s="71">
        <f>'Проверочная  таблица'!QW16</f>
        <v>0</v>
      </c>
      <c r="BT12" s="75">
        <f>'Проверочная  таблица'!QZ16+'Проверочная  таблица'!RF16</f>
        <v>0</v>
      </c>
      <c r="BU12" s="71">
        <f>'Проверочная  таблица'!RC16+'Проверочная  таблица'!RI16</f>
        <v>0</v>
      </c>
      <c r="BV12" s="75">
        <f>'Проверочная  таблица'!RX16</f>
        <v>0</v>
      </c>
      <c r="BW12" s="76">
        <f>'Проверочная  таблица'!SA16</f>
        <v>0</v>
      </c>
      <c r="BX12" s="76">
        <f>'Проверочная  таблица'!SE16</f>
        <v>0</v>
      </c>
      <c r="BY12" s="71">
        <f>'Проверочная  таблица'!SI16</f>
        <v>0</v>
      </c>
      <c r="BZ12" s="75">
        <f>'Проверочная  таблица'!SL16</f>
        <v>0</v>
      </c>
      <c r="CA12" s="76">
        <f>'Проверочная  таблица'!SO16</f>
        <v>0</v>
      </c>
      <c r="CB12" s="76">
        <f>'Проверочная  таблица'!TF16+'Проверочная  таблица'!SR16</f>
        <v>0</v>
      </c>
      <c r="CC12" s="71">
        <f>'Проверочная  таблица'!TM16+'Проверочная  таблица'!SY16</f>
        <v>0</v>
      </c>
      <c r="CD12" s="75">
        <f>'Проверочная  таблица'!ST16+'Проверочная  таблица'!TH16</f>
        <v>0</v>
      </c>
      <c r="CE12" s="76">
        <f>'Проверочная  таблица'!TO16+'Проверочная  таблица'!TA16</f>
        <v>0</v>
      </c>
      <c r="CF12" s="76">
        <f>'Проверочная  таблица'!TJ16+'Проверочная  таблица'!SV16</f>
        <v>123288200</v>
      </c>
      <c r="CG12" s="71">
        <f>'Проверочная  таблица'!TQ16+'Проверочная  таблица'!TC16</f>
        <v>0</v>
      </c>
      <c r="CH12" s="76">
        <f t="shared" ref="CH12:CI28" si="10">CV12+CJ12+CP12+CL12+CN12+CR12+CT12</f>
        <v>33391672.73</v>
      </c>
      <c r="CI12" s="76">
        <f t="shared" si="10"/>
        <v>22419031.859999999</v>
      </c>
      <c r="CJ12" s="71">
        <f>'Проверочная  таблица'!VN16+'Проверочная  таблица'!VL16</f>
        <v>3142100</v>
      </c>
      <c r="CK12" s="71">
        <f>'Проверочная  таблица'!VO16+'Проверочная  таблица'!VM16</f>
        <v>1943794.7000000002</v>
      </c>
      <c r="CL12" s="77">
        <f>'Проверочная  таблица'!VP16</f>
        <v>0</v>
      </c>
      <c r="CM12" s="77">
        <f>'Проверочная  таблица'!VQ16</f>
        <v>0</v>
      </c>
      <c r="CN12" s="457">
        <f>'Проверочная  таблица'!VR16</f>
        <v>0</v>
      </c>
      <c r="CO12" s="458">
        <f>'Проверочная  таблица'!VS16</f>
        <v>0</v>
      </c>
      <c r="CP12" s="459">
        <f>'Проверочная  таблица'!VT16</f>
        <v>0</v>
      </c>
      <c r="CQ12" s="458">
        <f>'Проверочная  таблица'!VU16</f>
        <v>0</v>
      </c>
      <c r="CR12" s="459">
        <f>'Проверочная  таблица'!VV16</f>
        <v>0</v>
      </c>
      <c r="CS12" s="457">
        <f>'Проверочная  таблица'!VW16</f>
        <v>0</v>
      </c>
      <c r="CT12" s="76">
        <f>'Проверочная  таблица'!VZ16</f>
        <v>29129572.73</v>
      </c>
      <c r="CU12" s="76">
        <f>'Проверочная  таблица'!WC16</f>
        <v>19418000</v>
      </c>
      <c r="CV12" s="76">
        <f>'Проверочная  таблица'!WF16</f>
        <v>1120000</v>
      </c>
      <c r="CW12" s="76">
        <f>'Проверочная  таблица'!WI16</f>
        <v>1057237.1599999999</v>
      </c>
      <c r="CX12" s="76">
        <f t="shared" ref="CX12:CX28" si="11">DF12+DD12+DB12+CZ12</f>
        <v>43420648.82</v>
      </c>
      <c r="CY12" s="71">
        <f t="shared" ref="CY12:CY28" si="12">DG12+DE12+DC12+DA12</f>
        <v>42043148.82</v>
      </c>
      <c r="CZ12" s="75">
        <f>'Проверочная  таблица'!WN13</f>
        <v>0</v>
      </c>
      <c r="DA12" s="71">
        <f>'Проверочная  таблица'!WQ13</f>
        <v>0</v>
      </c>
      <c r="DB12" s="75">
        <f>'Проверочная  таблица'!WT16</f>
        <v>0</v>
      </c>
      <c r="DC12" s="71">
        <f>'Проверочная  таблица'!WW16</f>
        <v>0</v>
      </c>
      <c r="DD12" s="75">
        <f>'Проверочная  таблица'!WZ16</f>
        <v>5378901.8200000003</v>
      </c>
      <c r="DE12" s="71">
        <f>'Проверочная  таблица'!XC16</f>
        <v>4001401.82</v>
      </c>
      <c r="DF12" s="75">
        <f>'Проверочная  таблица'!XF16</f>
        <v>38041747</v>
      </c>
      <c r="DG12" s="71">
        <f>'Проверочная  таблица'!XI16</f>
        <v>38041747</v>
      </c>
      <c r="DI12" s="452">
        <f t="shared" si="4"/>
        <v>30249.57273</v>
      </c>
      <c r="DJ12" s="452">
        <f t="shared" si="5"/>
        <v>20475.237160000001</v>
      </c>
    </row>
    <row r="13" spans="1:114" ht="25.5" customHeight="1" x14ac:dyDescent="0.25">
      <c r="A13" s="52" t="s">
        <v>319</v>
      </c>
      <c r="B13" s="453">
        <f t="shared" si="0"/>
        <v>339928263.89999998</v>
      </c>
      <c r="C13" s="454">
        <f t="shared" si="1"/>
        <v>127240484.19999999</v>
      </c>
      <c r="D13" s="1144">
        <f t="shared" si="6"/>
        <v>62224778</v>
      </c>
      <c r="E13" s="1145">
        <f t="shared" si="7"/>
        <v>1576000</v>
      </c>
      <c r="F13" s="441">
        <f>'Проверочная  таблица'!BL17+'Проверочная  таблица'!BN17</f>
        <v>0</v>
      </c>
      <c r="G13" s="442">
        <f>'Проверочная  таблица'!BM17+'Проверочная  таблица'!BO17</f>
        <v>0</v>
      </c>
      <c r="H13" s="442">
        <f>'Проверочная  таблица'!BU17</f>
        <v>36031778</v>
      </c>
      <c r="I13" s="443">
        <f>'Проверочная  таблица'!BX17</f>
        <v>0</v>
      </c>
      <c r="J13" s="442">
        <f>'Проверочная  таблица'!BV17</f>
        <v>26193000</v>
      </c>
      <c r="K13" s="443">
        <f>'Проверочная  таблица'!BY17</f>
        <v>1576000</v>
      </c>
      <c r="L13" s="75">
        <f t="shared" si="2"/>
        <v>277703485.89999998</v>
      </c>
      <c r="M13" s="76">
        <f t="shared" si="3"/>
        <v>125664484.19999999</v>
      </c>
      <c r="N13" s="69">
        <f t="shared" si="8"/>
        <v>239886036.28999999</v>
      </c>
      <c r="O13" s="69">
        <f t="shared" si="9"/>
        <v>94792299.450000003</v>
      </c>
      <c r="P13" s="76">
        <f>'Проверочная  таблица'!CP17</f>
        <v>0</v>
      </c>
      <c r="Q13" s="76">
        <f>'Проверочная  таблица'!CW17</f>
        <v>0</v>
      </c>
      <c r="R13" s="76">
        <f>'Проверочная  таблица'!CR17+'Проверочная  таблица'!DD17</f>
        <v>0</v>
      </c>
      <c r="S13" s="71">
        <f>'Проверочная  таблица'!CY17+'Проверочная  таблица'!DG17</f>
        <v>0</v>
      </c>
      <c r="T13" s="75">
        <f>'Проверочная  таблица'!CT17</f>
        <v>0</v>
      </c>
      <c r="U13" s="71">
        <f>'Проверочная  таблица'!DA17</f>
        <v>0</v>
      </c>
      <c r="V13" s="77">
        <f>'Проверочная  таблица'!DV17</f>
        <v>0</v>
      </c>
      <c r="W13" s="76">
        <f>'Проверочная  таблица'!DY17</f>
        <v>0</v>
      </c>
      <c r="X13" s="76">
        <f>'Проверочная  таблица'!EB17</f>
        <v>0</v>
      </c>
      <c r="Y13" s="71">
        <f>'Проверочная  таблица'!EE17</f>
        <v>0</v>
      </c>
      <c r="Z13" s="71">
        <f>'Проверочная  таблица'!EI17</f>
        <v>0</v>
      </c>
      <c r="AA13" s="71">
        <f>'Проверочная  таблица'!EM17</f>
        <v>0</v>
      </c>
      <c r="AB13" s="76">
        <f>'Проверочная  таблица'!EP17</f>
        <v>0</v>
      </c>
      <c r="AC13" s="71">
        <f>'Проверочная  таблица'!ES17</f>
        <v>0</v>
      </c>
      <c r="AD13" s="75">
        <f>'Проверочная  таблица'!EV17+'Проверочная  таблица'!FB17</f>
        <v>0</v>
      </c>
      <c r="AE13" s="76">
        <f>'Проверочная  таблица'!EY17+'Проверочная  таблица'!FE17</f>
        <v>0</v>
      </c>
      <c r="AF13" s="76">
        <f>'Проверочная  таблица'!FT17</f>
        <v>0</v>
      </c>
      <c r="AG13" s="76">
        <f>'Проверочная  таблица'!FW17</f>
        <v>0</v>
      </c>
      <c r="AH13" s="76">
        <f>'Проверочная  таблица'!FZ17+'Проверочная  таблица'!GF17</f>
        <v>0</v>
      </c>
      <c r="AI13" s="71">
        <f>'Проверочная  таблица'!GC17+'Проверочная  таблица'!GI17</f>
        <v>0</v>
      </c>
      <c r="AJ13" s="77">
        <f>'Проверочная  таблица'!GP17</f>
        <v>47088003.100000001</v>
      </c>
      <c r="AK13" s="76">
        <f>'Проверочная  таблица'!GT17</f>
        <v>0</v>
      </c>
      <c r="AL13" s="76">
        <f>'Проверочная  таблица'!HF17</f>
        <v>0</v>
      </c>
      <c r="AM13" s="76">
        <f>'Проверочная  таблица'!HI17</f>
        <v>0</v>
      </c>
      <c r="AN13" s="76">
        <f>'Проверочная  таблица'!HL17+'Проверочная  таблица'!HR17</f>
        <v>72384000</v>
      </c>
      <c r="AO13" s="76">
        <f>'Проверочная  таблица'!HO17+'Проверочная  таблица'!HU17</f>
        <v>72384000</v>
      </c>
      <c r="AP13" s="76">
        <f>'Проверочная  таблица'!IJ17+'Проверочная  таблица'!IP17</f>
        <v>0</v>
      </c>
      <c r="AQ13" s="71">
        <f>'Проверочная  таблица'!IM17+'Проверочная  таблица'!IS17</f>
        <v>0</v>
      </c>
      <c r="AR13" s="75">
        <f>'Проверочная  таблица'!IZ17</f>
        <v>0</v>
      </c>
      <c r="AS13" s="71">
        <f>'Проверочная  таблица'!JC17</f>
        <v>0</v>
      </c>
      <c r="AT13" s="75">
        <f>'Проверочная  таблица'!JF17</f>
        <v>0</v>
      </c>
      <c r="AU13" s="71">
        <f>'Проверочная  таблица'!JI17</f>
        <v>0</v>
      </c>
      <c r="AV13" s="75">
        <f>'Проверочная  таблица'!JL17+'Проверочная  таблица'!JR17</f>
        <v>0</v>
      </c>
      <c r="AW13" s="76">
        <f>'Проверочная  таблица'!JO17+'Проверочная  таблица'!JU17</f>
        <v>0</v>
      </c>
      <c r="AX13" s="76">
        <f>'Проверочная  таблица'!KJ17+'Проверочная  таблица'!KT17</f>
        <v>461551.64</v>
      </c>
      <c r="AY13" s="71">
        <f>'Проверочная  таблица'!KY17+'Проверочная  таблица'!KO17</f>
        <v>0</v>
      </c>
      <c r="AZ13" s="76">
        <f>'Проверочная  таблица'!KL17+'Проверочная  таблица'!KV17</f>
        <v>38899.97</v>
      </c>
      <c r="BA13" s="71">
        <f>'Проверочная  таблица'!LA17+'Проверочная  таблица'!KQ17</f>
        <v>0</v>
      </c>
      <c r="BB13" s="75">
        <f>'Проверочная  таблица'!LQ17+'Проверочная  таблица'!LY17</f>
        <v>0</v>
      </c>
      <c r="BC13" s="71">
        <f>'Проверочная  таблица'!MC17+'Проверочная  таблица'!LU17</f>
        <v>0</v>
      </c>
      <c r="BD13" s="76">
        <f>'Проверочная  таблица'!MX17</f>
        <v>0</v>
      </c>
      <c r="BE13" s="71">
        <f>'Проверочная  таблица'!NF17</f>
        <v>0</v>
      </c>
      <c r="BF13" s="76">
        <f>'Проверочная  таблица'!MV17</f>
        <v>0</v>
      </c>
      <c r="BG13" s="71">
        <f>'Проверочная  таблица'!ND17</f>
        <v>0</v>
      </c>
      <c r="BH13" s="75">
        <f>'Проверочная  таблица'!NA17+'Проверочная  таблица'!NL17</f>
        <v>72600139.530000001</v>
      </c>
      <c r="BI13" s="76">
        <f>'Проверочная  таблица'!NO17+'Проверочная  таблица'!NI17</f>
        <v>216139.53</v>
      </c>
      <c r="BJ13" s="71">
        <f>'Проверочная  таблица'!OD17</f>
        <v>0</v>
      </c>
      <c r="BK13" s="71">
        <f>'Проверочная  таблица'!OH17</f>
        <v>0</v>
      </c>
      <c r="BL13" s="75">
        <f>'Проверочная  таблица'!OL17+'Проверочная  таблица'!OT17</f>
        <v>26736045.079999998</v>
      </c>
      <c r="BM13" s="76">
        <f>'Проверочная  таблица'!OP17+'Проверочная  таблица'!OX17</f>
        <v>14281886.689999999</v>
      </c>
      <c r="BN13" s="76">
        <f>'Проверочная  таблица'!QB17+'Проверочная  таблица'!PR17</f>
        <v>1615705.51</v>
      </c>
      <c r="BO13" s="71">
        <f>'Проверочная  таблица'!QE17+'Проверочная  таблица'!PW17</f>
        <v>1615705.51</v>
      </c>
      <c r="BP13" s="76"/>
      <c r="BQ13" s="71"/>
      <c r="BR13" s="75">
        <f>'Проверочная  таблица'!QT17</f>
        <v>0</v>
      </c>
      <c r="BS13" s="71">
        <f>'Проверочная  таблица'!QW17</f>
        <v>0</v>
      </c>
      <c r="BT13" s="75">
        <f>'Проверочная  таблица'!QZ17+'Проверочная  таблица'!RF17</f>
        <v>0</v>
      </c>
      <c r="BU13" s="71">
        <f>'Проверочная  таблица'!RC17+'Проверочная  таблица'!RI17</f>
        <v>0</v>
      </c>
      <c r="BV13" s="75">
        <f>'Проверочная  таблица'!RX17</f>
        <v>0</v>
      </c>
      <c r="BW13" s="76">
        <f>'Проверочная  таблица'!SA17</f>
        <v>0</v>
      </c>
      <c r="BX13" s="76">
        <f>'Проверочная  таблица'!SE17</f>
        <v>0</v>
      </c>
      <c r="BY13" s="71">
        <f>'Проверочная  таблица'!SI17</f>
        <v>0</v>
      </c>
      <c r="BZ13" s="75">
        <f>'Проверочная  таблица'!SL17</f>
        <v>0</v>
      </c>
      <c r="CA13" s="76">
        <f>'Проверочная  таблица'!SO17</f>
        <v>0</v>
      </c>
      <c r="CB13" s="76">
        <f>'Проверочная  таблица'!TF17+'Проверочная  таблица'!SR17</f>
        <v>18961691.460000001</v>
      </c>
      <c r="CC13" s="71">
        <f>'Проверочная  таблица'!TM17+'Проверочная  таблица'!SY17</f>
        <v>6294567.7199999997</v>
      </c>
      <c r="CD13" s="75">
        <f>'Проверочная  таблица'!ST17+'Проверочная  таблица'!TH17</f>
        <v>0</v>
      </c>
      <c r="CE13" s="76">
        <f>'Проверочная  таблица'!TO17+'Проверочная  таблица'!TA17</f>
        <v>0</v>
      </c>
      <c r="CF13" s="76">
        <f>'Проверочная  таблица'!TJ17+'Проверочная  таблица'!SV17</f>
        <v>0</v>
      </c>
      <c r="CG13" s="71">
        <f>'Проверочная  таблица'!TQ17+'Проверочная  таблица'!TC17</f>
        <v>0</v>
      </c>
      <c r="CH13" s="76">
        <f t="shared" si="10"/>
        <v>15316035.4</v>
      </c>
      <c r="CI13" s="76">
        <f t="shared" si="10"/>
        <v>11450336.18</v>
      </c>
      <c r="CJ13" s="71">
        <f>'Проверочная  таблица'!VN17+'Проверочная  таблица'!VL17</f>
        <v>2100700</v>
      </c>
      <c r="CK13" s="71">
        <f>'Проверочная  таблица'!VO17+'Проверочная  таблица'!VM17</f>
        <v>1118343.45</v>
      </c>
      <c r="CL13" s="77">
        <f>'Проверочная  таблица'!VP17</f>
        <v>0</v>
      </c>
      <c r="CM13" s="77">
        <f>'Проверочная  таблица'!VQ17</f>
        <v>0</v>
      </c>
      <c r="CN13" s="457">
        <f>'Проверочная  таблица'!VR17</f>
        <v>0</v>
      </c>
      <c r="CO13" s="458">
        <f>'Проверочная  таблица'!VS17</f>
        <v>0</v>
      </c>
      <c r="CP13" s="459">
        <f>'Проверочная  таблица'!VT17</f>
        <v>1553000</v>
      </c>
      <c r="CQ13" s="458">
        <f>'Проверочная  таблица'!VU17</f>
        <v>1553000</v>
      </c>
      <c r="CR13" s="459">
        <f>'Проверочная  таблица'!VV17</f>
        <v>0</v>
      </c>
      <c r="CS13" s="457">
        <f>'Проверочная  таблица'!VW17</f>
        <v>0</v>
      </c>
      <c r="CT13" s="76">
        <f>'Проверочная  таблица'!VZ17</f>
        <v>10507335.4</v>
      </c>
      <c r="CU13" s="76">
        <f>'Проверочная  таблица'!WC17</f>
        <v>7844358.8499999996</v>
      </c>
      <c r="CV13" s="76">
        <f>'Проверочная  таблица'!WF17</f>
        <v>1155000</v>
      </c>
      <c r="CW13" s="76">
        <f>'Проверочная  таблица'!WI17</f>
        <v>934633.88</v>
      </c>
      <c r="CX13" s="76">
        <f t="shared" si="11"/>
        <v>22501414.210000001</v>
      </c>
      <c r="CY13" s="71">
        <f t="shared" si="12"/>
        <v>19421848.57</v>
      </c>
      <c r="CZ13" s="75">
        <f>'Проверочная  таблица'!WN14</f>
        <v>0</v>
      </c>
      <c r="DA13" s="71">
        <f>'Проверочная  таблица'!WQ14</f>
        <v>0</v>
      </c>
      <c r="DB13" s="75">
        <f>'Проверочная  таблица'!WT17</f>
        <v>2754775.3</v>
      </c>
      <c r="DC13" s="71">
        <f>'Проверочная  таблица'!WW17</f>
        <v>0</v>
      </c>
      <c r="DD13" s="75">
        <f>'Проверочная  таблица'!WZ17</f>
        <v>1280690.9099999999</v>
      </c>
      <c r="DE13" s="71">
        <f>'Проверочная  таблица'!XC17</f>
        <v>955900.57</v>
      </c>
      <c r="DF13" s="75">
        <f>'Проверочная  таблица'!XF17</f>
        <v>18465948</v>
      </c>
      <c r="DG13" s="71">
        <f>'Проверочная  таблица'!XI17</f>
        <v>18465948</v>
      </c>
      <c r="DI13" s="452">
        <f t="shared" si="4"/>
        <v>13215.3354</v>
      </c>
      <c r="DJ13" s="452">
        <f t="shared" si="5"/>
        <v>10331.99273</v>
      </c>
    </row>
    <row r="14" spans="1:114" ht="25.5" customHeight="1" x14ac:dyDescent="0.25">
      <c r="A14" s="68" t="s">
        <v>320</v>
      </c>
      <c r="B14" s="453">
        <f t="shared" si="0"/>
        <v>159818483.15000001</v>
      </c>
      <c r="C14" s="454">
        <f t="shared" si="1"/>
        <v>39864901.469999999</v>
      </c>
      <c r="D14" s="1144">
        <f t="shared" si="6"/>
        <v>93843900</v>
      </c>
      <c r="E14" s="1145">
        <f t="shared" si="7"/>
        <v>5707849.9400000004</v>
      </c>
      <c r="F14" s="441">
        <f>'Проверочная  таблица'!BL18+'Проверочная  таблица'!BN18</f>
        <v>0</v>
      </c>
      <c r="G14" s="442">
        <f>'Проверочная  таблица'!BM18+'Проверочная  таблица'!BO18</f>
        <v>0</v>
      </c>
      <c r="H14" s="442">
        <f>'Проверочная  таблица'!BU18</f>
        <v>53236900</v>
      </c>
      <c r="I14" s="443">
        <f>'Проверочная  таблица'!BX18</f>
        <v>0</v>
      </c>
      <c r="J14" s="442">
        <f>'Проверочная  таблица'!BV18</f>
        <v>40607000</v>
      </c>
      <c r="K14" s="443">
        <f>'Проверочная  таблица'!BY18</f>
        <v>5707849.9400000004</v>
      </c>
      <c r="L14" s="75">
        <f t="shared" si="2"/>
        <v>65974583.150000006</v>
      </c>
      <c r="M14" s="76">
        <f t="shared" si="3"/>
        <v>34157051.530000001</v>
      </c>
      <c r="N14" s="69">
        <f t="shared" si="8"/>
        <v>34125859.700000003</v>
      </c>
      <c r="O14" s="69">
        <f t="shared" si="9"/>
        <v>8272668.7400000002</v>
      </c>
      <c r="P14" s="76">
        <f>'Проверочная  таблица'!CP18</f>
        <v>0</v>
      </c>
      <c r="Q14" s="76">
        <f>'Проверочная  таблица'!CW18</f>
        <v>0</v>
      </c>
      <c r="R14" s="76">
        <f>'Проверочная  таблица'!CR18+'Проверочная  таблица'!DD18</f>
        <v>0</v>
      </c>
      <c r="S14" s="71">
        <f>'Проверочная  таблица'!CY18+'Проверочная  таблица'!DG18</f>
        <v>0</v>
      </c>
      <c r="T14" s="75">
        <f>'Проверочная  таблица'!CT18</f>
        <v>0</v>
      </c>
      <c r="U14" s="71">
        <f>'Проверочная  таблица'!DA18</f>
        <v>0</v>
      </c>
      <c r="V14" s="77">
        <f>'Проверочная  таблица'!DV18</f>
        <v>0</v>
      </c>
      <c r="W14" s="76">
        <f>'Проверочная  таблица'!DY18</f>
        <v>0</v>
      </c>
      <c r="X14" s="76">
        <f>'Проверочная  таблица'!EB18</f>
        <v>0</v>
      </c>
      <c r="Y14" s="71">
        <f>'Проверочная  таблица'!EE18</f>
        <v>0</v>
      </c>
      <c r="Z14" s="71">
        <f>'Проверочная  таблица'!EI18</f>
        <v>0</v>
      </c>
      <c r="AA14" s="71">
        <f>'Проверочная  таблица'!EM18</f>
        <v>0</v>
      </c>
      <c r="AB14" s="76">
        <f>'Проверочная  таблица'!EP18</f>
        <v>0</v>
      </c>
      <c r="AC14" s="71">
        <f>'Проверочная  таблица'!ES18</f>
        <v>0</v>
      </c>
      <c r="AD14" s="75">
        <f>'Проверочная  таблица'!EV18+'Проверочная  таблица'!FB18</f>
        <v>0</v>
      </c>
      <c r="AE14" s="76">
        <f>'Проверочная  таблица'!EY18+'Проверочная  таблица'!FE18</f>
        <v>0</v>
      </c>
      <c r="AF14" s="76">
        <f>'Проверочная  таблица'!FT18</f>
        <v>0</v>
      </c>
      <c r="AG14" s="76">
        <f>'Проверочная  таблица'!FW18</f>
        <v>0</v>
      </c>
      <c r="AH14" s="76">
        <f>'Проверочная  таблица'!FZ18+'Проверочная  таблица'!GF18</f>
        <v>0</v>
      </c>
      <c r="AI14" s="71">
        <f>'Проверочная  таблица'!GC18+'Проверочная  таблица'!GI18</f>
        <v>0</v>
      </c>
      <c r="AJ14" s="77">
        <f>'Проверочная  таблица'!GP18</f>
        <v>0</v>
      </c>
      <c r="AK14" s="76">
        <f>'Проверочная  таблица'!GT18</f>
        <v>0</v>
      </c>
      <c r="AL14" s="76">
        <f>'Проверочная  таблица'!HF18</f>
        <v>0</v>
      </c>
      <c r="AM14" s="76">
        <f>'Проверочная  таблица'!HI18</f>
        <v>0</v>
      </c>
      <c r="AN14" s="76">
        <f>'Проверочная  таблица'!HL18+'Проверочная  таблица'!HR18</f>
        <v>0</v>
      </c>
      <c r="AO14" s="76">
        <f>'Проверочная  таблица'!HO18+'Проверочная  таблица'!HU18</f>
        <v>0</v>
      </c>
      <c r="AP14" s="76">
        <f>'Проверочная  таблица'!IJ18+'Проверочная  таблица'!IP18</f>
        <v>0</v>
      </c>
      <c r="AQ14" s="71">
        <f>'Проверочная  таблица'!IM18+'Проверочная  таблица'!IS18</f>
        <v>0</v>
      </c>
      <c r="AR14" s="75">
        <f>'Проверочная  таблица'!IZ18</f>
        <v>0</v>
      </c>
      <c r="AS14" s="71">
        <f>'Проверочная  таблица'!JC18</f>
        <v>0</v>
      </c>
      <c r="AT14" s="75">
        <f>'Проверочная  таблица'!JF18</f>
        <v>0</v>
      </c>
      <c r="AU14" s="71">
        <f>'Проверочная  таблица'!JI18</f>
        <v>0</v>
      </c>
      <c r="AV14" s="75">
        <f>'Проверочная  таблица'!JL18+'Проверочная  таблица'!JR18</f>
        <v>0</v>
      </c>
      <c r="AW14" s="76">
        <f>'Проверочная  таблица'!JO18+'Проверочная  таблица'!JU18</f>
        <v>0</v>
      </c>
      <c r="AX14" s="76">
        <f>'Проверочная  таблица'!KJ18+'Проверочная  таблица'!KT18</f>
        <v>353490.17</v>
      </c>
      <c r="AY14" s="71">
        <f>'Проверочная  таблица'!KY18+'Проверочная  таблица'!KO18</f>
        <v>0</v>
      </c>
      <c r="AZ14" s="76">
        <f>'Проверочная  таблица'!KL18+'Проверочная  таблица'!KV18</f>
        <v>29130.42</v>
      </c>
      <c r="BA14" s="71">
        <f>'Проверочная  таблица'!LA18+'Проверочная  таблица'!KQ18</f>
        <v>0</v>
      </c>
      <c r="BB14" s="75">
        <f>'Проверочная  таблица'!LQ18+'Проверочная  таблица'!LY18</f>
        <v>0</v>
      </c>
      <c r="BC14" s="71">
        <f>'Проверочная  таблица'!MC18+'Проверочная  таблица'!LU18</f>
        <v>0</v>
      </c>
      <c r="BD14" s="76">
        <f>'Проверочная  таблица'!MX18</f>
        <v>4757600</v>
      </c>
      <c r="BE14" s="71">
        <f>'Проверочная  таблица'!NF18</f>
        <v>484797.61</v>
      </c>
      <c r="BF14" s="76">
        <f>'Проверочная  таблица'!MV18</f>
        <v>0</v>
      </c>
      <c r="BG14" s="71">
        <f>'Проверочная  таблица'!ND18</f>
        <v>0</v>
      </c>
      <c r="BH14" s="75">
        <f>'Проверочная  таблица'!NA18+'Проверочная  таблица'!NL18</f>
        <v>186550.13</v>
      </c>
      <c r="BI14" s="76">
        <f>'Проверочная  таблица'!NO18+'Проверочная  таблица'!NI18</f>
        <v>186550.13</v>
      </c>
      <c r="BJ14" s="71">
        <f>'Проверочная  таблица'!OD18</f>
        <v>0</v>
      </c>
      <c r="BK14" s="71">
        <f>'Проверочная  таблица'!OH18</f>
        <v>0</v>
      </c>
      <c r="BL14" s="75">
        <f>'Проверочная  таблица'!OL18+'Проверочная  таблица'!OT18</f>
        <v>17630865.18</v>
      </c>
      <c r="BM14" s="76">
        <f>'Проверочная  таблица'!OP18+'Проверочная  таблица'!OX18</f>
        <v>0</v>
      </c>
      <c r="BN14" s="76">
        <f>'Проверочная  таблица'!QB18+'Проверочная  таблица'!PR18</f>
        <v>0</v>
      </c>
      <c r="BO14" s="71">
        <f>'Проверочная  таблица'!QE18+'Проверочная  таблица'!PW18</f>
        <v>0</v>
      </c>
      <c r="BP14" s="76"/>
      <c r="BQ14" s="71"/>
      <c r="BR14" s="75">
        <f>'Проверочная  таблица'!QT18</f>
        <v>0</v>
      </c>
      <c r="BS14" s="71">
        <f>'Проверочная  таблица'!QW18</f>
        <v>0</v>
      </c>
      <c r="BT14" s="75">
        <f>'Проверочная  таблица'!QZ18+'Проверочная  таблица'!RF18</f>
        <v>0</v>
      </c>
      <c r="BU14" s="71">
        <f>'Проверочная  таблица'!RC18+'Проверочная  таблица'!RI18</f>
        <v>0</v>
      </c>
      <c r="BV14" s="75">
        <f>'Проверочная  таблица'!RX18</f>
        <v>0</v>
      </c>
      <c r="BW14" s="76">
        <f>'Проверочная  таблица'!SA18</f>
        <v>0</v>
      </c>
      <c r="BX14" s="76">
        <f>'Проверочная  таблица'!SE18</f>
        <v>0</v>
      </c>
      <c r="BY14" s="71">
        <f>'Проверочная  таблица'!SI18</f>
        <v>0</v>
      </c>
      <c r="BZ14" s="75">
        <f>'Проверочная  таблица'!SL18</f>
        <v>0</v>
      </c>
      <c r="CA14" s="76">
        <f>'Проверочная  таблица'!SO18</f>
        <v>0</v>
      </c>
      <c r="CB14" s="76">
        <f>'Проверочная  таблица'!TF18+'Проверочная  таблица'!SR18</f>
        <v>11168223.800000001</v>
      </c>
      <c r="CC14" s="71">
        <f>'Проверочная  таблица'!TM18+'Проверочная  таблица'!SY18</f>
        <v>7601321</v>
      </c>
      <c r="CD14" s="75">
        <f>'Проверочная  таблица'!ST18+'Проверочная  таблица'!TH18</f>
        <v>0</v>
      </c>
      <c r="CE14" s="76">
        <f>'Проверочная  таблица'!TO18+'Проверочная  таблица'!TA18</f>
        <v>0</v>
      </c>
      <c r="CF14" s="76">
        <f>'Проверочная  таблица'!TJ18+'Проверочная  таблица'!SV18</f>
        <v>0</v>
      </c>
      <c r="CG14" s="71">
        <f>'Проверочная  таблица'!TQ18+'Проверочная  таблица'!TC18</f>
        <v>0</v>
      </c>
      <c r="CH14" s="76">
        <f t="shared" si="10"/>
        <v>12255951.699999999</v>
      </c>
      <c r="CI14" s="76">
        <f t="shared" si="10"/>
        <v>8445713.629999999</v>
      </c>
      <c r="CJ14" s="71">
        <f>'Проверочная  таблица'!VN18+'Проверочная  таблица'!VL18</f>
        <v>2944300</v>
      </c>
      <c r="CK14" s="71">
        <f>'Проверочная  таблица'!VO18+'Проверочная  таблица'!VM18</f>
        <v>1802896.5099999998</v>
      </c>
      <c r="CL14" s="77">
        <f>'Проверочная  таблица'!VP18</f>
        <v>0</v>
      </c>
      <c r="CM14" s="77">
        <f>'Проверочная  таблица'!VQ18</f>
        <v>0</v>
      </c>
      <c r="CN14" s="457">
        <f>'Проверочная  таблица'!VR18</f>
        <v>0</v>
      </c>
      <c r="CO14" s="458">
        <f>'Проверочная  таблица'!VS18</f>
        <v>0</v>
      </c>
      <c r="CP14" s="459">
        <f>'Проверочная  таблица'!VT18</f>
        <v>0</v>
      </c>
      <c r="CQ14" s="458">
        <f>'Проверочная  таблица'!VU18</f>
        <v>0</v>
      </c>
      <c r="CR14" s="459">
        <f>'Проверочная  таблица'!VV18</f>
        <v>0</v>
      </c>
      <c r="CS14" s="457">
        <f>'Проверочная  таблица'!VW18</f>
        <v>0</v>
      </c>
      <c r="CT14" s="76">
        <f>'Проверочная  таблица'!VZ18</f>
        <v>8516651.6999999993</v>
      </c>
      <c r="CU14" s="76">
        <f>'Проверочная  таблица'!WC18</f>
        <v>6002707</v>
      </c>
      <c r="CV14" s="76">
        <f>'Проверочная  таблица'!WF18</f>
        <v>795000</v>
      </c>
      <c r="CW14" s="76">
        <f>'Проверочная  таблица'!WI18</f>
        <v>640110.12</v>
      </c>
      <c r="CX14" s="76">
        <f t="shared" si="11"/>
        <v>19592771.75</v>
      </c>
      <c r="CY14" s="71">
        <f t="shared" si="12"/>
        <v>17438669.16</v>
      </c>
      <c r="CZ14" s="75">
        <f>'Проверочная  таблица'!WN15</f>
        <v>0</v>
      </c>
      <c r="DA14" s="71">
        <f>'Проверочная  таблица'!WQ15</f>
        <v>0</v>
      </c>
      <c r="DB14" s="75">
        <f>'Проверочная  таблица'!WT18</f>
        <v>1968929.84</v>
      </c>
      <c r="DC14" s="71">
        <f>'Проверочная  таблица'!WW18</f>
        <v>0</v>
      </c>
      <c r="DD14" s="75">
        <f>'Проверочная  таблица'!WZ18</f>
        <v>1280690.9099999999</v>
      </c>
      <c r="DE14" s="71">
        <f>'Проверочная  таблица'!XC18</f>
        <v>1095518.1599999999</v>
      </c>
      <c r="DF14" s="75">
        <f>'Проверочная  таблица'!XF18</f>
        <v>16343151</v>
      </c>
      <c r="DG14" s="71">
        <f>'Проверочная  таблица'!XI18</f>
        <v>16343151</v>
      </c>
      <c r="DI14" s="452">
        <f t="shared" si="4"/>
        <v>9311.6516999999985</v>
      </c>
      <c r="DJ14" s="452">
        <f t="shared" si="5"/>
        <v>6642.8171199999988</v>
      </c>
    </row>
    <row r="15" spans="1:114" ht="25.5" customHeight="1" x14ac:dyDescent="0.25">
      <c r="A15" s="460" t="s">
        <v>321</v>
      </c>
      <c r="B15" s="461">
        <f t="shared" si="0"/>
        <v>1028361736.1300001</v>
      </c>
      <c r="C15" s="462">
        <f t="shared" si="1"/>
        <v>744208417.3499999</v>
      </c>
      <c r="D15" s="1144">
        <f t="shared" si="6"/>
        <v>104308088.5</v>
      </c>
      <c r="E15" s="1145">
        <f t="shared" si="7"/>
        <v>7349000</v>
      </c>
      <c r="F15" s="441">
        <f>'Проверочная  таблица'!BL13+'Проверочная  таблица'!BN13</f>
        <v>0</v>
      </c>
      <c r="G15" s="442">
        <f>'Проверочная  таблица'!BM13+'Проверочная  таблица'!BO13</f>
        <v>0</v>
      </c>
      <c r="H15" s="442">
        <f>'Проверочная  таблица'!BU13</f>
        <v>51003088.5</v>
      </c>
      <c r="I15" s="443">
        <f>'Проверочная  таблица'!BX13</f>
        <v>0</v>
      </c>
      <c r="J15" s="442">
        <f>'Проверочная  таблица'!BV13</f>
        <v>53305000</v>
      </c>
      <c r="K15" s="443">
        <f>'Проверочная  таблица'!BY13</f>
        <v>7349000</v>
      </c>
      <c r="L15" s="75">
        <f t="shared" si="2"/>
        <v>924053647.63000011</v>
      </c>
      <c r="M15" s="76">
        <f t="shared" si="3"/>
        <v>736859417.3499999</v>
      </c>
      <c r="N15" s="69">
        <f t="shared" si="8"/>
        <v>891000933.9000001</v>
      </c>
      <c r="O15" s="69">
        <f t="shared" si="9"/>
        <v>707715764.31999993</v>
      </c>
      <c r="P15" s="76">
        <f>'Проверочная  таблица'!CP13</f>
        <v>0</v>
      </c>
      <c r="Q15" s="76">
        <f>'Проверочная  таблица'!CW13</f>
        <v>0</v>
      </c>
      <c r="R15" s="76">
        <f>'Проверочная  таблица'!CR13+'Проверочная  таблица'!DD13</f>
        <v>0</v>
      </c>
      <c r="S15" s="71">
        <f>'Проверочная  таблица'!CY13+'Проверочная  таблица'!DG13</f>
        <v>0</v>
      </c>
      <c r="T15" s="75">
        <f>'Проверочная  таблица'!CT13</f>
        <v>0</v>
      </c>
      <c r="U15" s="71">
        <f>'Проверочная  таблица'!DA13</f>
        <v>0</v>
      </c>
      <c r="V15" s="77">
        <f>'Проверочная  таблица'!DV13</f>
        <v>0</v>
      </c>
      <c r="W15" s="76">
        <f>'Проверочная  таблица'!DY13</f>
        <v>0</v>
      </c>
      <c r="X15" s="76">
        <f>'Проверочная  таблица'!EB13</f>
        <v>0</v>
      </c>
      <c r="Y15" s="71">
        <f>'Проверочная  таблица'!EE13</f>
        <v>0</v>
      </c>
      <c r="Z15" s="71">
        <f>'Проверочная  таблица'!EI13</f>
        <v>0</v>
      </c>
      <c r="AA15" s="71">
        <f>'Проверочная  таблица'!EM13</f>
        <v>0</v>
      </c>
      <c r="AB15" s="76">
        <f>'Проверочная  таблица'!EP13</f>
        <v>0</v>
      </c>
      <c r="AC15" s="71">
        <f>'Проверочная  таблица'!ES13</f>
        <v>0</v>
      </c>
      <c r="AD15" s="75">
        <f>'Проверочная  таблица'!EV13+'Проверочная  таблица'!FB13</f>
        <v>0</v>
      </c>
      <c r="AE15" s="76">
        <f>'Проверочная  таблица'!EY13+'Проверочная  таблица'!FE13</f>
        <v>0</v>
      </c>
      <c r="AF15" s="76">
        <f>'Проверочная  таблица'!FT13</f>
        <v>0</v>
      </c>
      <c r="AG15" s="76">
        <f>'Проверочная  таблица'!FW13</f>
        <v>0</v>
      </c>
      <c r="AH15" s="76">
        <f>'Проверочная  таблица'!FZ13+'Проверочная  таблица'!GF13</f>
        <v>157087380.22999999</v>
      </c>
      <c r="AI15" s="71">
        <f>'Проверочная  таблица'!GC13+'Проверочная  таблица'!GI13</f>
        <v>157087380.22</v>
      </c>
      <c r="AJ15" s="77">
        <f>'Проверочная  таблица'!GP13</f>
        <v>0</v>
      </c>
      <c r="AK15" s="76">
        <f>'Проверочная  таблица'!GT13</f>
        <v>0</v>
      </c>
      <c r="AL15" s="76">
        <f>'Проверочная  таблица'!HF13</f>
        <v>0</v>
      </c>
      <c r="AM15" s="76">
        <f>'Проверочная  таблица'!HI13</f>
        <v>0</v>
      </c>
      <c r="AN15" s="76">
        <f>'Проверочная  таблица'!HL13+'Проверочная  таблица'!HR13</f>
        <v>0</v>
      </c>
      <c r="AO15" s="76">
        <f>'Проверочная  таблица'!HO13+'Проверочная  таблица'!HU13</f>
        <v>0</v>
      </c>
      <c r="AP15" s="76">
        <f>'Проверочная  таблица'!IJ13+'Проверочная  таблица'!IP13</f>
        <v>0</v>
      </c>
      <c r="AQ15" s="71">
        <f>'Проверочная  таблица'!IM13+'Проверочная  таблица'!IS13</f>
        <v>0</v>
      </c>
      <c r="AR15" s="75">
        <f>'Проверочная  таблица'!IZ13</f>
        <v>0</v>
      </c>
      <c r="AS15" s="71">
        <f>'Проверочная  таблица'!JC13</f>
        <v>0</v>
      </c>
      <c r="AT15" s="75">
        <f>'Проверочная  таблица'!JF13</f>
        <v>0</v>
      </c>
      <c r="AU15" s="71">
        <f>'Проверочная  таблица'!JI13</f>
        <v>0</v>
      </c>
      <c r="AV15" s="75">
        <f>'Проверочная  таблица'!JL13+'Проверочная  таблица'!JR13</f>
        <v>0</v>
      </c>
      <c r="AW15" s="76">
        <f>'Проверочная  таблица'!JO13+'Проверочная  таблица'!JU13</f>
        <v>0</v>
      </c>
      <c r="AX15" s="76">
        <f>'Проверочная  таблица'!KJ13+'Проверочная  таблица'!KT13</f>
        <v>227717.34</v>
      </c>
      <c r="AY15" s="71">
        <f>'Проверочная  таблица'!KY13+'Проверочная  таблица'!KO13</f>
        <v>0</v>
      </c>
      <c r="AZ15" s="76">
        <f>'Проверочная  таблица'!KL13+'Проверочная  таблица'!KV13</f>
        <v>203066.48</v>
      </c>
      <c r="BA15" s="71">
        <f>'Проверочная  таблица'!LA13+'Проверочная  таблица'!KQ13</f>
        <v>0</v>
      </c>
      <c r="BB15" s="75">
        <f>'Проверочная  таблица'!LQ13+'Проверочная  таблица'!LY13</f>
        <v>0</v>
      </c>
      <c r="BC15" s="71">
        <f>'Проверочная  таблица'!MC13+'Проверочная  таблица'!LU13</f>
        <v>0</v>
      </c>
      <c r="BD15" s="76">
        <f>'Проверочная  таблица'!MX13</f>
        <v>0</v>
      </c>
      <c r="BE15" s="71">
        <f>'Проверочная  таблица'!NF13</f>
        <v>0</v>
      </c>
      <c r="BF15" s="76">
        <f>'Проверочная  таблица'!MV13</f>
        <v>0</v>
      </c>
      <c r="BG15" s="71">
        <f>'Проверочная  таблица'!ND13</f>
        <v>0</v>
      </c>
      <c r="BH15" s="75">
        <f>'Проверочная  таблица'!NA13+'Проверочная  таблица'!NL13</f>
        <v>235043.77</v>
      </c>
      <c r="BI15" s="76">
        <f>'Проверочная  таблица'!NO13+'Проверочная  таблица'!NI13</f>
        <v>235043.77</v>
      </c>
      <c r="BJ15" s="71">
        <f>'Проверочная  таблица'!OD13</f>
        <v>0</v>
      </c>
      <c r="BK15" s="71">
        <f>'Проверочная  таблица'!OH13</f>
        <v>0</v>
      </c>
      <c r="BL15" s="75">
        <f>'Проверочная  таблица'!OL13+'Проверочная  таблица'!OT13</f>
        <v>0</v>
      </c>
      <c r="BM15" s="76">
        <f>'Проверочная  таблица'!OP13+'Проверочная  таблица'!OX13</f>
        <v>0</v>
      </c>
      <c r="BN15" s="76">
        <f>'Проверочная  таблица'!QB13+'Проверочная  таблица'!PR13</f>
        <v>2889951.19</v>
      </c>
      <c r="BO15" s="71">
        <f>'Проверочная  таблица'!QE13+'Проверочная  таблица'!PW13</f>
        <v>1343428.44</v>
      </c>
      <c r="BP15" s="76">
        <f>'Проверочная  таблица'!PT13</f>
        <v>160369500</v>
      </c>
      <c r="BQ15" s="71">
        <f>'Проверочная  таблица'!PY13</f>
        <v>88227136.870000005</v>
      </c>
      <c r="BR15" s="75">
        <f>'Проверочная  таблица'!QT13</f>
        <v>0</v>
      </c>
      <c r="BS15" s="71">
        <f>'Проверочная  таблица'!QW13</f>
        <v>0</v>
      </c>
      <c r="BT15" s="75">
        <f>'Проверочная  таблица'!QZ13+'Проверочная  таблица'!RF13</f>
        <v>0</v>
      </c>
      <c r="BU15" s="71">
        <f>'Проверочная  таблица'!RC13+'Проверочная  таблица'!RI13</f>
        <v>0</v>
      </c>
      <c r="BV15" s="75">
        <f>'Проверочная  таблица'!RX13</f>
        <v>0</v>
      </c>
      <c r="BW15" s="76">
        <f>'Проверочная  таблица'!SA13</f>
        <v>0</v>
      </c>
      <c r="BX15" s="76">
        <f>'Проверочная  таблица'!SE13</f>
        <v>0</v>
      </c>
      <c r="BY15" s="71">
        <f>'Проверочная  таблица'!SI13</f>
        <v>0</v>
      </c>
      <c r="BZ15" s="75">
        <f>'Проверочная  таблица'!SL13</f>
        <v>0</v>
      </c>
      <c r="CA15" s="76">
        <f>'Проверочная  таблица'!SO13</f>
        <v>0</v>
      </c>
      <c r="CB15" s="76">
        <f>'Проверочная  таблица'!TF13+'Проверочная  таблица'!SR13</f>
        <v>110880741.45</v>
      </c>
      <c r="CC15" s="71">
        <f>'Проверочная  таблица'!TM13+'Проверочная  таблица'!SY13</f>
        <v>68969431.310000002</v>
      </c>
      <c r="CD15" s="75">
        <f>'Проверочная  таблица'!ST13+'Проверочная  таблица'!TH13</f>
        <v>3243333.44</v>
      </c>
      <c r="CE15" s="76">
        <f>'Проверочная  таблица'!TO13+'Проверочная  таблица'!TA13</f>
        <v>0</v>
      </c>
      <c r="CF15" s="76">
        <f>'Проверочная  таблица'!TJ13+'Проверочная  таблица'!SV13</f>
        <v>455864200</v>
      </c>
      <c r="CG15" s="71">
        <f>'Проверочная  таблица'!TQ13+'Проверочная  таблица'!TC13</f>
        <v>391853343.70999998</v>
      </c>
      <c r="CH15" s="76">
        <f t="shared" si="10"/>
        <v>11554646.370000001</v>
      </c>
      <c r="CI15" s="76">
        <f t="shared" si="10"/>
        <v>8478034.7599999998</v>
      </c>
      <c r="CJ15" s="71">
        <f>'Проверочная  таблица'!VN13+'Проверочная  таблица'!VL13</f>
        <v>2743300</v>
      </c>
      <c r="CK15" s="71">
        <f>'Проверочная  таблица'!VO13+'Проверочная  таблица'!VM13</f>
        <v>636619.31000000006</v>
      </c>
      <c r="CL15" s="77">
        <f>'Проверочная  таблица'!VP13</f>
        <v>0</v>
      </c>
      <c r="CM15" s="77">
        <f>'Проверочная  таблица'!VQ13</f>
        <v>0</v>
      </c>
      <c r="CN15" s="457">
        <f>'Проверочная  таблица'!VR13</f>
        <v>0</v>
      </c>
      <c r="CO15" s="458">
        <f>'Проверочная  таблица'!VS13</f>
        <v>0</v>
      </c>
      <c r="CP15" s="459">
        <f>'Проверочная  таблица'!VT13</f>
        <v>0</v>
      </c>
      <c r="CQ15" s="458">
        <f>'Проверочная  таблица'!VU13</f>
        <v>0</v>
      </c>
      <c r="CR15" s="459">
        <f>'Проверочная  таблица'!VV13</f>
        <v>0</v>
      </c>
      <c r="CS15" s="457">
        <f>'Проверочная  таблица'!VW13</f>
        <v>0</v>
      </c>
      <c r="CT15" s="76">
        <f>'Проверочная  таблица'!VZ13</f>
        <v>8056346.3700000001</v>
      </c>
      <c r="CU15" s="76">
        <f>'Проверочная  таблица'!WC13</f>
        <v>7226356.5300000003</v>
      </c>
      <c r="CV15" s="76">
        <f>'Проверочная  таблица'!WF13</f>
        <v>755000</v>
      </c>
      <c r="CW15" s="76">
        <f>'Проверочная  таблица'!WI13</f>
        <v>615058.92000000004</v>
      </c>
      <c r="CX15" s="76">
        <f t="shared" si="11"/>
        <v>21498067.359999999</v>
      </c>
      <c r="CY15" s="71">
        <f t="shared" si="12"/>
        <v>20665618.27</v>
      </c>
      <c r="CZ15" s="75">
        <f>'Проверочная  таблица'!WN16</f>
        <v>0</v>
      </c>
      <c r="DA15" s="71">
        <f>'Проверочная  таблица'!WQ16</f>
        <v>0</v>
      </c>
      <c r="DB15" s="75">
        <f>'Проверочная  таблица'!WT13</f>
        <v>0</v>
      </c>
      <c r="DC15" s="71">
        <f>'Проверочная  таблица'!WW13</f>
        <v>0</v>
      </c>
      <c r="DD15" s="75">
        <f>'Проверочная  таблица'!WZ13</f>
        <v>3329796.36</v>
      </c>
      <c r="DE15" s="71">
        <f>'Проверочная  таблица'!XC13</f>
        <v>2497347.27</v>
      </c>
      <c r="DF15" s="75">
        <f>'Проверочная  таблица'!XF13</f>
        <v>18168271</v>
      </c>
      <c r="DG15" s="71">
        <f>'Проверочная  таблица'!XI13</f>
        <v>18168271</v>
      </c>
      <c r="DI15" s="452">
        <f t="shared" si="4"/>
        <v>8811.3463700000011</v>
      </c>
      <c r="DJ15" s="452">
        <f t="shared" si="5"/>
        <v>7841.4154499999995</v>
      </c>
    </row>
    <row r="16" spans="1:114" ht="25.5" customHeight="1" x14ac:dyDescent="0.25">
      <c r="A16" s="68" t="s">
        <v>322</v>
      </c>
      <c r="B16" s="453">
        <f t="shared" si="0"/>
        <v>80476060.780000001</v>
      </c>
      <c r="C16" s="454">
        <f t="shared" si="1"/>
        <v>21075846.990000002</v>
      </c>
      <c r="D16" s="1144">
        <f t="shared" si="6"/>
        <v>46638015.740000002</v>
      </c>
      <c r="E16" s="1145">
        <f t="shared" si="7"/>
        <v>0</v>
      </c>
      <c r="F16" s="441">
        <f>'Проверочная  таблица'!BL19+'Проверочная  таблица'!BN19</f>
        <v>0</v>
      </c>
      <c r="G16" s="442">
        <f>'Проверочная  таблица'!BM19+'Проверочная  таблица'!BO19</f>
        <v>0</v>
      </c>
      <c r="H16" s="442">
        <f>'Проверочная  таблица'!BU19</f>
        <v>46638015.740000002</v>
      </c>
      <c r="I16" s="443">
        <f>'Проверочная  таблица'!BX19</f>
        <v>0</v>
      </c>
      <c r="J16" s="442">
        <f>'Проверочная  таблица'!BV19</f>
        <v>0</v>
      </c>
      <c r="K16" s="443">
        <f>'Проверочная  таблица'!BY19</f>
        <v>0</v>
      </c>
      <c r="L16" s="75">
        <f t="shared" si="2"/>
        <v>33838045.039999999</v>
      </c>
      <c r="M16" s="76">
        <f t="shared" si="3"/>
        <v>21075846.990000002</v>
      </c>
      <c r="N16" s="69">
        <f t="shared" si="8"/>
        <v>12193623.35</v>
      </c>
      <c r="O16" s="69">
        <f t="shared" si="9"/>
        <v>1782284.85</v>
      </c>
      <c r="P16" s="76">
        <f>'Проверочная  таблица'!CP19</f>
        <v>0</v>
      </c>
      <c r="Q16" s="76">
        <f>'Проверочная  таблица'!CW19</f>
        <v>0</v>
      </c>
      <c r="R16" s="76">
        <f>'Проверочная  таблица'!CR19+'Проверочная  таблица'!DD19</f>
        <v>0</v>
      </c>
      <c r="S16" s="71">
        <f>'Проверочная  таблица'!CY19+'Проверочная  таблица'!DG19</f>
        <v>0</v>
      </c>
      <c r="T16" s="75">
        <f>'Проверочная  таблица'!CT19</f>
        <v>0</v>
      </c>
      <c r="U16" s="71">
        <f>'Проверочная  таблица'!DA19</f>
        <v>0</v>
      </c>
      <c r="V16" s="77">
        <f>'Проверочная  таблица'!DV19</f>
        <v>0</v>
      </c>
      <c r="W16" s="76">
        <f>'Проверочная  таблица'!DY19</f>
        <v>0</v>
      </c>
      <c r="X16" s="76">
        <f>'Проверочная  таблица'!EB19</f>
        <v>0</v>
      </c>
      <c r="Y16" s="71">
        <f>'Проверочная  таблица'!EE19</f>
        <v>0</v>
      </c>
      <c r="Z16" s="71">
        <f>'Проверочная  таблица'!EI19</f>
        <v>0</v>
      </c>
      <c r="AA16" s="71">
        <f>'Проверочная  таблица'!EM19</f>
        <v>0</v>
      </c>
      <c r="AB16" s="76">
        <f>'Проверочная  таблица'!EP19</f>
        <v>0</v>
      </c>
      <c r="AC16" s="71">
        <f>'Проверочная  таблица'!ES19</f>
        <v>0</v>
      </c>
      <c r="AD16" s="75">
        <f>'Проверочная  таблица'!EV19+'Проверочная  таблица'!FB19</f>
        <v>312911.32</v>
      </c>
      <c r="AE16" s="76">
        <f>'Проверочная  таблица'!EY19+'Проверочная  таблица'!FE19</f>
        <v>312911.32</v>
      </c>
      <c r="AF16" s="76">
        <f>'Проверочная  таблица'!FT19</f>
        <v>0</v>
      </c>
      <c r="AG16" s="76">
        <f>'Проверочная  таблица'!FW19</f>
        <v>0</v>
      </c>
      <c r="AH16" s="76">
        <f>'Проверочная  таблица'!FZ19+'Проверочная  таблица'!GF19</f>
        <v>0</v>
      </c>
      <c r="AI16" s="71">
        <f>'Проверочная  таблица'!GC19+'Проверочная  таблица'!GI19</f>
        <v>0</v>
      </c>
      <c r="AJ16" s="77">
        <f>'Проверочная  таблица'!GP19</f>
        <v>0</v>
      </c>
      <c r="AK16" s="76">
        <f>'Проверочная  таблица'!GT19</f>
        <v>0</v>
      </c>
      <c r="AL16" s="76">
        <f>'Проверочная  таблица'!HF19</f>
        <v>0</v>
      </c>
      <c r="AM16" s="76">
        <f>'Проверочная  таблица'!HI19</f>
        <v>0</v>
      </c>
      <c r="AN16" s="76">
        <f>'Проверочная  таблица'!HL19+'Проверочная  таблица'!HR19</f>
        <v>0</v>
      </c>
      <c r="AO16" s="76">
        <f>'Проверочная  таблица'!HO19+'Проверочная  таблица'!HU19</f>
        <v>0</v>
      </c>
      <c r="AP16" s="76">
        <f>'Проверочная  таблица'!IJ19+'Проверочная  таблица'!IP19</f>
        <v>0</v>
      </c>
      <c r="AQ16" s="71">
        <f>'Проверочная  таблица'!IM19+'Проверочная  таблица'!IS19</f>
        <v>0</v>
      </c>
      <c r="AR16" s="75">
        <f>'Проверочная  таблица'!IZ19</f>
        <v>0</v>
      </c>
      <c r="AS16" s="71">
        <f>'Проверочная  таблица'!JC19</f>
        <v>0</v>
      </c>
      <c r="AT16" s="75">
        <f>'Проверочная  таблица'!JF19</f>
        <v>0</v>
      </c>
      <c r="AU16" s="71">
        <f>'Проверочная  таблица'!JI19</f>
        <v>0</v>
      </c>
      <c r="AV16" s="75">
        <f>'Проверочная  таблица'!JL19+'Проверочная  таблица'!JR19</f>
        <v>0</v>
      </c>
      <c r="AW16" s="76">
        <f>'Проверочная  таблица'!JO19+'Проверочная  таблица'!JU19</f>
        <v>0</v>
      </c>
      <c r="AX16" s="76">
        <f>'Проверочная  таблица'!KJ19+'Проверочная  таблица'!KT19</f>
        <v>256948.80000000002</v>
      </c>
      <c r="AY16" s="71">
        <f>'Проверочная  таблица'!KY19+'Проверочная  таблица'!KO19</f>
        <v>0</v>
      </c>
      <c r="AZ16" s="76">
        <f>'Проверочная  таблица'!KL19+'Проверочная  таблица'!KV19</f>
        <v>66121.03</v>
      </c>
      <c r="BA16" s="71">
        <f>'Проверочная  таблица'!LA19+'Проверочная  таблица'!KQ19</f>
        <v>0</v>
      </c>
      <c r="BB16" s="75">
        <f>'Проверочная  таблица'!LQ19+'Проверочная  таблица'!LY19</f>
        <v>0</v>
      </c>
      <c r="BC16" s="71">
        <f>'Проверочная  таблица'!MC19+'Проверочная  таблица'!LU19</f>
        <v>0</v>
      </c>
      <c r="BD16" s="76">
        <f>'Проверочная  таблица'!MX19</f>
        <v>0</v>
      </c>
      <c r="BE16" s="71">
        <f>'Проверочная  таблица'!NF19</f>
        <v>0</v>
      </c>
      <c r="BF16" s="76">
        <f>'Проверочная  таблица'!MV19</f>
        <v>0</v>
      </c>
      <c r="BG16" s="71">
        <f>'Проверочная  таблица'!ND19</f>
        <v>0</v>
      </c>
      <c r="BH16" s="75">
        <f>'Проверочная  таблица'!NA19+'Проверочная  таблица'!NL19</f>
        <v>61477</v>
      </c>
      <c r="BI16" s="76">
        <f>'Проверочная  таблица'!NO19+'Проверочная  таблица'!NI19</f>
        <v>61477</v>
      </c>
      <c r="BJ16" s="71">
        <f>'Проверочная  таблица'!OD19</f>
        <v>0</v>
      </c>
      <c r="BK16" s="71">
        <f>'Проверочная  таблица'!OH19</f>
        <v>0</v>
      </c>
      <c r="BL16" s="75">
        <f>'Проверочная  таблица'!OL19+'Проверочная  таблица'!OT19</f>
        <v>9893329.0199999996</v>
      </c>
      <c r="BM16" s="76">
        <f>'Проверочная  таблица'!OP19+'Проверочная  таблица'!OX19</f>
        <v>0</v>
      </c>
      <c r="BN16" s="76">
        <f>'Проверочная  таблица'!QB19+'Проверочная  таблица'!PR19</f>
        <v>1602836.18</v>
      </c>
      <c r="BO16" s="71">
        <f>'Проверочная  таблица'!QE19+'Проверочная  таблица'!PW19</f>
        <v>1407896.53</v>
      </c>
      <c r="BP16" s="76"/>
      <c r="BQ16" s="71"/>
      <c r="BR16" s="75">
        <f>'Проверочная  таблица'!QT19</f>
        <v>0</v>
      </c>
      <c r="BS16" s="71">
        <f>'Проверочная  таблица'!QW19</f>
        <v>0</v>
      </c>
      <c r="BT16" s="75">
        <f>'Проверочная  таблица'!QZ19+'Проверочная  таблица'!RF19</f>
        <v>0</v>
      </c>
      <c r="BU16" s="71">
        <f>'Проверочная  таблица'!RC19+'Проверочная  таблица'!RI19</f>
        <v>0</v>
      </c>
      <c r="BV16" s="75">
        <f>'Проверочная  таблица'!RX19</f>
        <v>0</v>
      </c>
      <c r="BW16" s="76">
        <f>'Проверочная  таблица'!SA19</f>
        <v>0</v>
      </c>
      <c r="BX16" s="76">
        <f>'Проверочная  таблица'!SE19</f>
        <v>0</v>
      </c>
      <c r="BY16" s="71">
        <f>'Проверочная  таблица'!SI19</f>
        <v>0</v>
      </c>
      <c r="BZ16" s="75">
        <f>'Проверочная  таблица'!SL19</f>
        <v>0</v>
      </c>
      <c r="CA16" s="76">
        <f>'Проверочная  таблица'!SO19</f>
        <v>0</v>
      </c>
      <c r="CB16" s="76">
        <f>'Проверочная  таблица'!TF19+'Проверочная  таблица'!SR19</f>
        <v>0</v>
      </c>
      <c r="CC16" s="71">
        <f>'Проверочная  таблица'!TM19+'Проверочная  таблица'!SY19</f>
        <v>0</v>
      </c>
      <c r="CD16" s="75">
        <f>'Проверочная  таблица'!ST19+'Проверочная  таблица'!TH19</f>
        <v>0</v>
      </c>
      <c r="CE16" s="76">
        <f>'Проверочная  таблица'!TO19+'Проверочная  таблица'!TA19</f>
        <v>0</v>
      </c>
      <c r="CF16" s="76">
        <f>'Проверочная  таблица'!TJ19+'Проверочная  таблица'!SV19</f>
        <v>0</v>
      </c>
      <c r="CG16" s="71">
        <f>'Проверочная  таблица'!TQ19+'Проверочная  таблица'!TC19</f>
        <v>0</v>
      </c>
      <c r="CH16" s="76">
        <f t="shared" si="10"/>
        <v>7034646.4199999999</v>
      </c>
      <c r="CI16" s="76">
        <f t="shared" si="10"/>
        <v>5132028.13</v>
      </c>
      <c r="CJ16" s="71">
        <f>'Проверочная  таблица'!VN19+'Проверочная  таблица'!VL19</f>
        <v>1769300</v>
      </c>
      <c r="CK16" s="71">
        <f>'Проверочная  таблица'!VO19+'Проверочная  таблица'!VM19</f>
        <v>1116015.6000000001</v>
      </c>
      <c r="CL16" s="77">
        <f>'Проверочная  таблица'!VP19</f>
        <v>0</v>
      </c>
      <c r="CM16" s="77">
        <f>'Проверочная  таблица'!VQ19</f>
        <v>0</v>
      </c>
      <c r="CN16" s="457">
        <f>'Проверочная  таблица'!VR19</f>
        <v>0</v>
      </c>
      <c r="CO16" s="458">
        <f>'Проверочная  таблица'!VS19</f>
        <v>0</v>
      </c>
      <c r="CP16" s="459">
        <f>'Проверочная  таблица'!VT19</f>
        <v>0</v>
      </c>
      <c r="CQ16" s="458">
        <f>'Проверочная  таблица'!VU19</f>
        <v>0</v>
      </c>
      <c r="CR16" s="459">
        <f>'Проверочная  таблица'!VV19</f>
        <v>0</v>
      </c>
      <c r="CS16" s="457">
        <f>'Проверочная  таблица'!VW19</f>
        <v>0</v>
      </c>
      <c r="CT16" s="76">
        <f>'Проверочная  таблица'!VZ19</f>
        <v>4580346.42</v>
      </c>
      <c r="CU16" s="76">
        <f>'Проверочная  таблица'!WC19</f>
        <v>3454000.02</v>
      </c>
      <c r="CV16" s="76">
        <f>'Проверочная  таблица'!WF19</f>
        <v>685000</v>
      </c>
      <c r="CW16" s="76">
        <f>'Проверочная  таблица'!WI19</f>
        <v>562012.51</v>
      </c>
      <c r="CX16" s="76">
        <f t="shared" si="11"/>
        <v>14609775.27</v>
      </c>
      <c r="CY16" s="71">
        <f t="shared" si="12"/>
        <v>14161534.01</v>
      </c>
      <c r="CZ16" s="75">
        <f>'Проверочная  таблица'!WN17</f>
        <v>0</v>
      </c>
      <c r="DA16" s="71">
        <f>'Проверочная  таблица'!WQ17</f>
        <v>0</v>
      </c>
      <c r="DB16" s="75">
        <f>'Проверочная  таблица'!WT19</f>
        <v>0</v>
      </c>
      <c r="DC16" s="71">
        <f>'Проверочная  таблица'!WW19</f>
        <v>0</v>
      </c>
      <c r="DD16" s="75">
        <f>'Проверочная  таблица'!WZ19</f>
        <v>1792967.27</v>
      </c>
      <c r="DE16" s="71">
        <f>'Проверочная  таблица'!XC19</f>
        <v>1344726.01</v>
      </c>
      <c r="DF16" s="75">
        <f>'Проверочная  таблица'!XF19</f>
        <v>12816808</v>
      </c>
      <c r="DG16" s="71">
        <f>'Проверочная  таблица'!XI19</f>
        <v>12816808</v>
      </c>
      <c r="DI16" s="452">
        <f t="shared" si="4"/>
        <v>5265.3464199999999</v>
      </c>
      <c r="DJ16" s="452">
        <f t="shared" si="5"/>
        <v>4016.01253</v>
      </c>
    </row>
    <row r="17" spans="1:114" ht="25.5" customHeight="1" x14ac:dyDescent="0.25">
      <c r="A17" s="52" t="s">
        <v>323</v>
      </c>
      <c r="B17" s="453">
        <f t="shared" si="0"/>
        <v>62499439.990000002</v>
      </c>
      <c r="C17" s="454">
        <f t="shared" si="1"/>
        <v>27659122.469999999</v>
      </c>
      <c r="D17" s="1144">
        <f t="shared" si="6"/>
        <v>0</v>
      </c>
      <c r="E17" s="1145">
        <f t="shared" si="7"/>
        <v>0</v>
      </c>
      <c r="F17" s="441">
        <f>'Проверочная  таблица'!BL20+'Проверочная  таблица'!BN20</f>
        <v>0</v>
      </c>
      <c r="G17" s="442">
        <f>'Проверочная  таблица'!BM20+'Проверочная  таблица'!BO20</f>
        <v>0</v>
      </c>
      <c r="H17" s="442">
        <f>'Проверочная  таблица'!BU20</f>
        <v>0</v>
      </c>
      <c r="I17" s="443">
        <f>'Проверочная  таблица'!BX20</f>
        <v>0</v>
      </c>
      <c r="J17" s="442">
        <f>'Проверочная  таблица'!BV20</f>
        <v>0</v>
      </c>
      <c r="K17" s="443">
        <f>'Проверочная  таблица'!BY20</f>
        <v>0</v>
      </c>
      <c r="L17" s="75">
        <f t="shared" si="2"/>
        <v>62499439.990000002</v>
      </c>
      <c r="M17" s="76">
        <f t="shared" si="3"/>
        <v>27659122.469999999</v>
      </c>
      <c r="N17" s="69">
        <f t="shared" si="8"/>
        <v>19689599.449999999</v>
      </c>
      <c r="O17" s="69">
        <f t="shared" si="9"/>
        <v>684706.51</v>
      </c>
      <c r="P17" s="76">
        <f>'Проверочная  таблица'!CP20</f>
        <v>0</v>
      </c>
      <c r="Q17" s="76">
        <f>'Проверочная  таблица'!CW20</f>
        <v>0</v>
      </c>
      <c r="R17" s="76">
        <f>'Проверочная  таблица'!CR20+'Проверочная  таблица'!DD20</f>
        <v>0</v>
      </c>
      <c r="S17" s="71">
        <f>'Проверочная  таблица'!CY20+'Проверочная  таблица'!DG20</f>
        <v>0</v>
      </c>
      <c r="T17" s="75">
        <f>'Проверочная  таблица'!CT20</f>
        <v>0</v>
      </c>
      <c r="U17" s="71">
        <f>'Проверочная  таблица'!DA20</f>
        <v>0</v>
      </c>
      <c r="V17" s="77">
        <f>'Проверочная  таблица'!DV20</f>
        <v>0</v>
      </c>
      <c r="W17" s="76">
        <f>'Проверочная  таблица'!DY20</f>
        <v>0</v>
      </c>
      <c r="X17" s="76">
        <f>'Проверочная  таблица'!EB20</f>
        <v>0</v>
      </c>
      <c r="Y17" s="71">
        <f>'Проверочная  таблица'!EE20</f>
        <v>0</v>
      </c>
      <c r="Z17" s="71">
        <f>'Проверочная  таблица'!EI20</f>
        <v>0</v>
      </c>
      <c r="AA17" s="71">
        <f>'Проверочная  таблица'!EM20</f>
        <v>0</v>
      </c>
      <c r="AB17" s="76">
        <f>'Проверочная  таблица'!EP20</f>
        <v>0</v>
      </c>
      <c r="AC17" s="71">
        <f>'Проверочная  таблица'!ES20</f>
        <v>0</v>
      </c>
      <c r="AD17" s="75">
        <f>'Проверочная  таблица'!EV20+'Проверочная  таблица'!FB20</f>
        <v>567893.5</v>
      </c>
      <c r="AE17" s="76">
        <f>'Проверочная  таблица'!EY20+'Проверочная  таблица'!FE20</f>
        <v>567893.49</v>
      </c>
      <c r="AF17" s="76">
        <f>'Проверочная  таблица'!FT20</f>
        <v>0</v>
      </c>
      <c r="AG17" s="76">
        <f>'Проверочная  таблица'!FW20</f>
        <v>0</v>
      </c>
      <c r="AH17" s="76">
        <f>'Проверочная  таблица'!FZ20+'Проверочная  таблица'!GF20</f>
        <v>0</v>
      </c>
      <c r="AI17" s="71">
        <f>'Проверочная  таблица'!GC20+'Проверочная  таблица'!GI20</f>
        <v>0</v>
      </c>
      <c r="AJ17" s="77">
        <f>'Проверочная  таблица'!GP20</f>
        <v>0</v>
      </c>
      <c r="AK17" s="76">
        <f>'Проверочная  таблица'!GT20</f>
        <v>0</v>
      </c>
      <c r="AL17" s="76">
        <f>'Проверочная  таблица'!HF20</f>
        <v>0</v>
      </c>
      <c r="AM17" s="76">
        <f>'Проверочная  таблица'!HI20</f>
        <v>0</v>
      </c>
      <c r="AN17" s="76">
        <f>'Проверочная  таблица'!HL20+'Проверочная  таблица'!HR20</f>
        <v>0</v>
      </c>
      <c r="AO17" s="76">
        <f>'Проверочная  таблица'!HO20+'Проверочная  таблица'!HU20</f>
        <v>0</v>
      </c>
      <c r="AP17" s="76">
        <f>'Проверочная  таблица'!IJ20+'Проверочная  таблица'!IP20</f>
        <v>0</v>
      </c>
      <c r="AQ17" s="71">
        <f>'Проверочная  таблица'!IM20+'Проверочная  таблица'!IS20</f>
        <v>0</v>
      </c>
      <c r="AR17" s="75">
        <f>'Проверочная  таблица'!IZ20</f>
        <v>0</v>
      </c>
      <c r="AS17" s="71">
        <f>'Проверочная  таблица'!JC20</f>
        <v>0</v>
      </c>
      <c r="AT17" s="75">
        <f>'Проверочная  таблица'!JF20</f>
        <v>0</v>
      </c>
      <c r="AU17" s="71">
        <f>'Проверочная  таблица'!JI20</f>
        <v>0</v>
      </c>
      <c r="AV17" s="75">
        <f>'Проверочная  таблица'!JL20+'Проверочная  таблица'!JR20</f>
        <v>0</v>
      </c>
      <c r="AW17" s="76">
        <f>'Проверочная  таблица'!JO20+'Проверочная  таблица'!JU20</f>
        <v>0</v>
      </c>
      <c r="AX17" s="76">
        <f>'Проверочная  таблица'!KJ20+'Проверочная  таблица'!KT20</f>
        <v>414283.32</v>
      </c>
      <c r="AY17" s="71">
        <f>'Проверочная  таблица'!KY20+'Проверочная  таблица'!KO20</f>
        <v>0</v>
      </c>
      <c r="AZ17" s="76">
        <f>'Проверочная  таблица'!KL20+'Проверочная  таблица'!KV20</f>
        <v>85800.14</v>
      </c>
      <c r="BA17" s="71">
        <f>'Проверочная  таблица'!LA20+'Проверочная  таблица'!KQ20</f>
        <v>0</v>
      </c>
      <c r="BB17" s="75">
        <f>'Проверочная  таблица'!LQ20+'Проверочная  таблица'!LY20</f>
        <v>0</v>
      </c>
      <c r="BC17" s="71">
        <f>'Проверочная  таблица'!MC20+'Проверочная  таблица'!LU20</f>
        <v>0</v>
      </c>
      <c r="BD17" s="76">
        <f>'Проверочная  таблица'!MX20</f>
        <v>0</v>
      </c>
      <c r="BE17" s="71">
        <f>'Проверочная  таблица'!NF20</f>
        <v>0</v>
      </c>
      <c r="BF17" s="76">
        <f>'Проверочная  таблица'!MV20</f>
        <v>0</v>
      </c>
      <c r="BG17" s="71">
        <f>'Проверочная  таблица'!ND20</f>
        <v>0</v>
      </c>
      <c r="BH17" s="75">
        <f>'Проверочная  таблица'!NA20+'Проверочная  таблица'!NL20</f>
        <v>116813.02</v>
      </c>
      <c r="BI17" s="76">
        <f>'Проверочная  таблица'!NO20+'Проверочная  таблица'!NI20</f>
        <v>116813.02</v>
      </c>
      <c r="BJ17" s="71">
        <f>'Проверочная  таблица'!OD20</f>
        <v>0</v>
      </c>
      <c r="BK17" s="71">
        <f>'Проверочная  таблица'!OH20</f>
        <v>0</v>
      </c>
      <c r="BL17" s="75">
        <f>'Проверочная  таблица'!OL20+'Проверочная  таблица'!OT20</f>
        <v>18504809.469999999</v>
      </c>
      <c r="BM17" s="76">
        <f>'Проверочная  таблица'!OP20+'Проверочная  таблица'!OX20</f>
        <v>0</v>
      </c>
      <c r="BN17" s="76">
        <f>'Проверочная  таблица'!QB20+'Проверочная  таблица'!PR20</f>
        <v>0</v>
      </c>
      <c r="BO17" s="71">
        <f>'Проверочная  таблица'!QE20+'Проверочная  таблица'!PW20</f>
        <v>0</v>
      </c>
      <c r="BP17" s="76"/>
      <c r="BQ17" s="71"/>
      <c r="BR17" s="75">
        <f>'Проверочная  таблица'!QT20</f>
        <v>0</v>
      </c>
      <c r="BS17" s="71">
        <f>'Проверочная  таблица'!QW20</f>
        <v>0</v>
      </c>
      <c r="BT17" s="75">
        <f>'Проверочная  таблица'!QZ20+'Проверочная  таблица'!RF20</f>
        <v>0</v>
      </c>
      <c r="BU17" s="71">
        <f>'Проверочная  таблица'!RC20+'Проверочная  таблица'!RI20</f>
        <v>0</v>
      </c>
      <c r="BV17" s="75">
        <f>'Проверочная  таблица'!RX20</f>
        <v>0</v>
      </c>
      <c r="BW17" s="76">
        <f>'Проверочная  таблица'!SA20</f>
        <v>0</v>
      </c>
      <c r="BX17" s="76">
        <f>'Проверочная  таблица'!SE20</f>
        <v>0</v>
      </c>
      <c r="BY17" s="71">
        <f>'Проверочная  таблица'!SI20</f>
        <v>0</v>
      </c>
      <c r="BZ17" s="75">
        <f>'Проверочная  таблица'!SL20</f>
        <v>0</v>
      </c>
      <c r="CA17" s="76">
        <f>'Проверочная  таблица'!SO20</f>
        <v>0</v>
      </c>
      <c r="CB17" s="76">
        <f>'Проверочная  таблица'!TF20+'Проверочная  таблица'!SR20</f>
        <v>0</v>
      </c>
      <c r="CC17" s="71">
        <f>'Проверочная  таблица'!TM20+'Проверочная  таблица'!SY20</f>
        <v>0</v>
      </c>
      <c r="CD17" s="75">
        <f>'Проверочная  таблица'!ST20+'Проверочная  таблица'!TH20</f>
        <v>0</v>
      </c>
      <c r="CE17" s="76">
        <f>'Проверочная  таблица'!TO20+'Проверочная  таблица'!TA20</f>
        <v>0</v>
      </c>
      <c r="CF17" s="76">
        <f>'Проверочная  таблица'!TJ20+'Проверочная  таблица'!SV20</f>
        <v>0</v>
      </c>
      <c r="CG17" s="71">
        <f>'Проверочная  таблица'!TQ20+'Проверочная  таблица'!TC20</f>
        <v>0</v>
      </c>
      <c r="CH17" s="76">
        <f t="shared" si="10"/>
        <v>11974682.120000001</v>
      </c>
      <c r="CI17" s="76">
        <f t="shared" si="10"/>
        <v>8541692.9499999993</v>
      </c>
      <c r="CJ17" s="71">
        <f>'Проверочная  таблица'!VN20+'Проверочная  таблица'!VL20</f>
        <v>2786400</v>
      </c>
      <c r="CK17" s="71">
        <f>'Проверочная  таблица'!VO20+'Проверочная  таблица'!VM20</f>
        <v>1862579.49</v>
      </c>
      <c r="CL17" s="77">
        <f>'Проверочная  таблица'!VP20</f>
        <v>0</v>
      </c>
      <c r="CM17" s="77">
        <f>'Проверочная  таблица'!VQ20</f>
        <v>0</v>
      </c>
      <c r="CN17" s="457">
        <f>'Проверочная  таблица'!VR20</f>
        <v>0</v>
      </c>
      <c r="CO17" s="458">
        <f>'Проверочная  таблица'!VS20</f>
        <v>0</v>
      </c>
      <c r="CP17" s="459">
        <f>'Проверочная  таблица'!VT20</f>
        <v>0</v>
      </c>
      <c r="CQ17" s="458">
        <f>'Проверочная  таблица'!VU20</f>
        <v>0</v>
      </c>
      <c r="CR17" s="459">
        <f>'Проверочная  таблица'!VV20</f>
        <v>0</v>
      </c>
      <c r="CS17" s="457">
        <f>'Проверочная  таблица'!VW20</f>
        <v>0</v>
      </c>
      <c r="CT17" s="76">
        <f>'Проверочная  таблица'!VZ20</f>
        <v>8255282.1200000001</v>
      </c>
      <c r="CU17" s="76">
        <f>'Проверочная  таблица'!WC20</f>
        <v>6000000</v>
      </c>
      <c r="CV17" s="76">
        <f>'Проверочная  таблица'!WF20</f>
        <v>933000</v>
      </c>
      <c r="CW17" s="76">
        <f>'Проверочная  таблица'!WI20</f>
        <v>679113.46</v>
      </c>
      <c r="CX17" s="76">
        <f t="shared" si="11"/>
        <v>30835158.420000002</v>
      </c>
      <c r="CY17" s="71">
        <f t="shared" si="12"/>
        <v>18432723.010000002</v>
      </c>
      <c r="CZ17" s="75">
        <f>'Проверочная  таблица'!WN18</f>
        <v>0</v>
      </c>
      <c r="DA17" s="71">
        <f>'Проверочная  таблица'!WQ18</f>
        <v>0</v>
      </c>
      <c r="DB17" s="75">
        <f>'Проверочная  таблица'!WT20</f>
        <v>12155744.510000002</v>
      </c>
      <c r="DC17" s="71">
        <f>'Проверочная  таблица'!WW20</f>
        <v>0</v>
      </c>
      <c r="DD17" s="75">
        <f>'Проверочная  таблица'!WZ20</f>
        <v>1280690.9099999999</v>
      </c>
      <c r="DE17" s="71">
        <f>'Проверочная  таблица'!XC20</f>
        <v>1034000.01</v>
      </c>
      <c r="DF17" s="75">
        <f>'Проверочная  таблица'!XF20</f>
        <v>17398723</v>
      </c>
      <c r="DG17" s="71">
        <f>'Проверочная  таблица'!XI20</f>
        <v>17398723</v>
      </c>
      <c r="DI17" s="452">
        <f t="shared" si="4"/>
        <v>9188.2821200000017</v>
      </c>
      <c r="DJ17" s="452">
        <f t="shared" si="5"/>
        <v>6679.1134599999987</v>
      </c>
    </row>
    <row r="18" spans="1:114" ht="25.5" customHeight="1" x14ac:dyDescent="0.25">
      <c r="A18" s="68" t="s">
        <v>324</v>
      </c>
      <c r="B18" s="453">
        <f t="shared" si="0"/>
        <v>366906449.75</v>
      </c>
      <c r="C18" s="454">
        <f t="shared" si="1"/>
        <v>95550350.609999999</v>
      </c>
      <c r="D18" s="1144">
        <f t="shared" si="6"/>
        <v>104724050.66</v>
      </c>
      <c r="E18" s="1145">
        <f t="shared" si="7"/>
        <v>12283120.75</v>
      </c>
      <c r="F18" s="441">
        <f>'Проверочная  таблица'!BL21+'Проверочная  таблица'!BN21</f>
        <v>0</v>
      </c>
      <c r="G18" s="442">
        <f>'Проверочная  таблица'!BM21+'Проверочная  таблица'!BO21</f>
        <v>0</v>
      </c>
      <c r="H18" s="442">
        <f>'Проверочная  таблица'!BU21</f>
        <v>35842050.659999996</v>
      </c>
      <c r="I18" s="443">
        <f>'Проверочная  таблица'!BX21</f>
        <v>0</v>
      </c>
      <c r="J18" s="442">
        <f>'Проверочная  таблица'!BV21</f>
        <v>68882000</v>
      </c>
      <c r="K18" s="443">
        <f>'Проверочная  таблица'!BY21</f>
        <v>12283120.75</v>
      </c>
      <c r="L18" s="75">
        <f t="shared" si="2"/>
        <v>262182399.09</v>
      </c>
      <c r="M18" s="76">
        <f t="shared" si="3"/>
        <v>83267229.859999999</v>
      </c>
      <c r="N18" s="69">
        <f t="shared" si="8"/>
        <v>229669569.88</v>
      </c>
      <c r="O18" s="69">
        <f t="shared" si="9"/>
        <v>57014404.469999999</v>
      </c>
      <c r="P18" s="76">
        <f>'Проверочная  таблица'!CP21</f>
        <v>0</v>
      </c>
      <c r="Q18" s="76">
        <f>'Проверочная  таблица'!CW21</f>
        <v>0</v>
      </c>
      <c r="R18" s="76">
        <f>'Проверочная  таблица'!CR21+'Проверочная  таблица'!DD21</f>
        <v>0</v>
      </c>
      <c r="S18" s="71">
        <f>'Проверочная  таблица'!CY21+'Проверочная  таблица'!DG21</f>
        <v>0</v>
      </c>
      <c r="T18" s="75">
        <f>'Проверочная  таблица'!CT21</f>
        <v>0</v>
      </c>
      <c r="U18" s="71">
        <f>'Проверочная  таблица'!DA21</f>
        <v>0</v>
      </c>
      <c r="V18" s="77">
        <f>'Проверочная  таблица'!DV21</f>
        <v>0</v>
      </c>
      <c r="W18" s="76">
        <f>'Проверочная  таблица'!DY21</f>
        <v>0</v>
      </c>
      <c r="X18" s="76">
        <f>'Проверочная  таблица'!EB21</f>
        <v>0</v>
      </c>
      <c r="Y18" s="71">
        <f>'Проверочная  таблица'!EE21</f>
        <v>0</v>
      </c>
      <c r="Z18" s="71">
        <f>'Проверочная  таблица'!EI21</f>
        <v>0</v>
      </c>
      <c r="AA18" s="71">
        <f>'Проверочная  таблица'!EM21</f>
        <v>0</v>
      </c>
      <c r="AB18" s="76">
        <f>'Проверочная  таблица'!EP21</f>
        <v>82494836.710000008</v>
      </c>
      <c r="AC18" s="71">
        <f>'Проверочная  таблица'!ES21</f>
        <v>0</v>
      </c>
      <c r="AD18" s="75">
        <f>'Проверочная  таблица'!EV21+'Проверочная  таблица'!FB21</f>
        <v>0</v>
      </c>
      <c r="AE18" s="76">
        <f>'Проверочная  таблица'!EY21+'Проверочная  таблица'!FE21</f>
        <v>0</v>
      </c>
      <c r="AF18" s="76">
        <f>'Проверочная  таблица'!FT21</f>
        <v>0</v>
      </c>
      <c r="AG18" s="76">
        <f>'Проверочная  таблица'!FW21</f>
        <v>0</v>
      </c>
      <c r="AH18" s="76">
        <f>'Проверочная  таблица'!FZ21+'Проверочная  таблица'!GF21</f>
        <v>0</v>
      </c>
      <c r="AI18" s="71">
        <f>'Проверочная  таблица'!GC21+'Проверочная  таблица'!GI21</f>
        <v>0</v>
      </c>
      <c r="AJ18" s="77">
        <f>'Проверочная  таблица'!GP21</f>
        <v>0</v>
      </c>
      <c r="AK18" s="76">
        <f>'Проверочная  таблица'!GT21</f>
        <v>0</v>
      </c>
      <c r="AL18" s="76">
        <f>'Проверочная  таблица'!HF21</f>
        <v>0</v>
      </c>
      <c r="AM18" s="76">
        <f>'Проверочная  таблица'!HI21</f>
        <v>0</v>
      </c>
      <c r="AN18" s="76">
        <f>'Проверочная  таблица'!HL21+'Проверочная  таблица'!HR21</f>
        <v>821052.83999999985</v>
      </c>
      <c r="AO18" s="76">
        <f>'Проверочная  таблица'!HO21+'Проверочная  таблица'!HU21</f>
        <v>0</v>
      </c>
      <c r="AP18" s="76">
        <f>'Проверочная  таблица'!IJ21+'Проверочная  таблица'!IP21</f>
        <v>0</v>
      </c>
      <c r="AQ18" s="71">
        <f>'Проверочная  таблица'!IM21+'Проверочная  таблица'!IS21</f>
        <v>0</v>
      </c>
      <c r="AR18" s="75">
        <f>'Проверочная  таблица'!IZ21</f>
        <v>0</v>
      </c>
      <c r="AS18" s="71">
        <f>'Проверочная  таблица'!JC21</f>
        <v>0</v>
      </c>
      <c r="AT18" s="75">
        <f>'Проверочная  таблица'!JF21</f>
        <v>0</v>
      </c>
      <c r="AU18" s="71">
        <f>'Проверочная  таблица'!JI21</f>
        <v>0</v>
      </c>
      <c r="AV18" s="75">
        <f>'Проверочная  таблица'!JL21+'Проверочная  таблица'!JR21</f>
        <v>23542.699999999983</v>
      </c>
      <c r="AW18" s="76">
        <f>'Проверочная  таблица'!JO21+'Проверочная  таблица'!JU21</f>
        <v>0</v>
      </c>
      <c r="AX18" s="76">
        <f>'Проверочная  таблица'!KJ21+'Проверочная  таблица'!KT21</f>
        <v>46224.67</v>
      </c>
      <c r="AY18" s="71">
        <f>'Проверочная  таблица'!KY21+'Проверочная  таблица'!KO21</f>
        <v>0</v>
      </c>
      <c r="AZ18" s="76">
        <f>'Проверочная  таблица'!KL21+'Проверочная  таблица'!KV21</f>
        <v>99572.97</v>
      </c>
      <c r="BA18" s="71">
        <f>'Проверочная  таблица'!LA21+'Проверочная  таблица'!KQ21</f>
        <v>0</v>
      </c>
      <c r="BB18" s="75">
        <f>'Проверочная  таблица'!LQ21+'Проверочная  таблица'!LY21</f>
        <v>0</v>
      </c>
      <c r="BC18" s="71">
        <f>'Проверочная  таблица'!MC21+'Проверочная  таблица'!LU21</f>
        <v>0</v>
      </c>
      <c r="BD18" s="76">
        <f>'Проверочная  таблица'!MX21</f>
        <v>0</v>
      </c>
      <c r="BE18" s="71">
        <f>'Проверочная  таблица'!NF21</f>
        <v>0</v>
      </c>
      <c r="BF18" s="76">
        <f>'Проверочная  таблица'!MV21</f>
        <v>0</v>
      </c>
      <c r="BG18" s="71">
        <f>'Проверочная  таблица'!ND21</f>
        <v>0</v>
      </c>
      <c r="BH18" s="75">
        <f>'Проверочная  таблица'!NA21+'Проверочная  таблица'!NL21</f>
        <v>129205.67</v>
      </c>
      <c r="BI18" s="76">
        <f>'Проверочная  таблица'!NO21+'Проверочная  таблица'!NI21</f>
        <v>129205.67</v>
      </c>
      <c r="BJ18" s="71">
        <f>'Проверочная  таблица'!OD21</f>
        <v>0</v>
      </c>
      <c r="BK18" s="71">
        <f>'Проверочная  таблица'!OH21</f>
        <v>0</v>
      </c>
      <c r="BL18" s="75">
        <f>'Проверочная  таблица'!OL21+'Проверочная  таблица'!OT21</f>
        <v>15600000</v>
      </c>
      <c r="BM18" s="76">
        <f>'Проверочная  таблица'!OP21+'Проверочная  таблица'!OX21</f>
        <v>15241375.68</v>
      </c>
      <c r="BN18" s="76">
        <f>'Проверочная  таблица'!QB21+'Проверочная  таблица'!PR21</f>
        <v>0</v>
      </c>
      <c r="BO18" s="71">
        <f>'Проверочная  таблица'!QE21+'Проверочная  таблица'!PW21</f>
        <v>0</v>
      </c>
      <c r="BP18" s="76"/>
      <c r="BQ18" s="71"/>
      <c r="BR18" s="75">
        <f>'Проверочная  таблица'!QT21</f>
        <v>0</v>
      </c>
      <c r="BS18" s="71">
        <f>'Проверочная  таблица'!QW21</f>
        <v>0</v>
      </c>
      <c r="BT18" s="75">
        <f>'Проверочная  таблица'!QZ21+'Проверочная  таблица'!RF21</f>
        <v>0</v>
      </c>
      <c r="BU18" s="71">
        <f>'Проверочная  таблица'!RC21+'Проверочная  таблица'!RI21</f>
        <v>0</v>
      </c>
      <c r="BV18" s="75">
        <f>'Проверочная  таблица'!RX21</f>
        <v>0</v>
      </c>
      <c r="BW18" s="76">
        <f>'Проверочная  таблица'!SA21</f>
        <v>0</v>
      </c>
      <c r="BX18" s="76">
        <f>'Проверочная  таблица'!SE21</f>
        <v>75218600</v>
      </c>
      <c r="BY18" s="71">
        <f>'Проверочная  таблица'!SI21</f>
        <v>7259789.8700000001</v>
      </c>
      <c r="BZ18" s="75">
        <f>'Проверочная  таблица'!SL21</f>
        <v>0</v>
      </c>
      <c r="CA18" s="76">
        <f>'Проверочная  таблица'!SO21</f>
        <v>0</v>
      </c>
      <c r="CB18" s="76">
        <f>'Проверочная  таблица'!TF21+'Проверочная  таблица'!SR21</f>
        <v>0</v>
      </c>
      <c r="CC18" s="71">
        <f>'Проверочная  таблица'!TM21+'Проверочная  таблица'!SY21</f>
        <v>0</v>
      </c>
      <c r="CD18" s="75">
        <f>'Проверочная  таблица'!ST21+'Проверочная  таблица'!TH21</f>
        <v>0</v>
      </c>
      <c r="CE18" s="76">
        <f>'Проверочная  таблица'!TO21+'Проверочная  таблица'!TA21</f>
        <v>0</v>
      </c>
      <c r="CF18" s="76">
        <f>'Проверочная  таблица'!TJ21+'Проверочная  таблица'!SV21</f>
        <v>55236534.32</v>
      </c>
      <c r="CG18" s="71">
        <f>'Проверочная  таблица'!TQ21+'Проверочная  таблица'!TC21</f>
        <v>34384033.25</v>
      </c>
      <c r="CH18" s="76">
        <f t="shared" si="10"/>
        <v>12347594.52</v>
      </c>
      <c r="CI18" s="76">
        <f t="shared" si="10"/>
        <v>9552891.1999999993</v>
      </c>
      <c r="CJ18" s="71">
        <f>'Проверочная  таблица'!VN21+'Проверочная  таблица'!VL21</f>
        <v>2705300</v>
      </c>
      <c r="CK18" s="71">
        <f>'Проверочная  таблица'!VO21+'Проверочная  таблица'!VM21</f>
        <v>1471054.9200000002</v>
      </c>
      <c r="CL18" s="77">
        <f>'Проверочная  таблица'!VP21</f>
        <v>0</v>
      </c>
      <c r="CM18" s="77">
        <f>'Проверочная  таблица'!VQ21</f>
        <v>0</v>
      </c>
      <c r="CN18" s="457">
        <f>'Проверочная  таблица'!VR21</f>
        <v>0</v>
      </c>
      <c r="CO18" s="458">
        <f>'Проверочная  таблица'!VS21</f>
        <v>0</v>
      </c>
      <c r="CP18" s="459">
        <f>'Проверочная  таблица'!VT21</f>
        <v>0</v>
      </c>
      <c r="CQ18" s="458">
        <f>'Проверочная  таблица'!VU21</f>
        <v>0</v>
      </c>
      <c r="CR18" s="459">
        <f>'Проверочная  таблица'!VV21</f>
        <v>0</v>
      </c>
      <c r="CS18" s="457">
        <f>'Проверочная  таблица'!VW21</f>
        <v>0</v>
      </c>
      <c r="CT18" s="76">
        <f>'Проверочная  таблица'!VZ21</f>
        <v>8942294.5199999996</v>
      </c>
      <c r="CU18" s="76">
        <f>'Проверочная  таблица'!WC21</f>
        <v>7381836.2800000003</v>
      </c>
      <c r="CV18" s="76">
        <f>'Проверочная  таблица'!WF21</f>
        <v>700000</v>
      </c>
      <c r="CW18" s="76">
        <f>'Проверочная  таблица'!WI21</f>
        <v>700000</v>
      </c>
      <c r="CX18" s="76">
        <f t="shared" si="11"/>
        <v>20165234.690000001</v>
      </c>
      <c r="CY18" s="71">
        <f t="shared" si="12"/>
        <v>16699934.189999999</v>
      </c>
      <c r="CZ18" s="75">
        <f>'Проверочная  таблица'!WN19</f>
        <v>0</v>
      </c>
      <c r="DA18" s="71">
        <f>'Проверочная  таблица'!WQ19</f>
        <v>0</v>
      </c>
      <c r="DB18" s="75">
        <f>'Проверочная  таблица'!WT21</f>
        <v>3145111.6</v>
      </c>
      <c r="DC18" s="71">
        <f>'Проверочная  таблица'!WW21</f>
        <v>0</v>
      </c>
      <c r="DD18" s="75">
        <f>'Проверочная  таблица'!WZ21</f>
        <v>1536829.0899999999</v>
      </c>
      <c r="DE18" s="71">
        <f>'Проверочная  таблица'!XC21</f>
        <v>1216640.19</v>
      </c>
      <c r="DF18" s="75">
        <f>'Проверочная  таблица'!XF21</f>
        <v>15483294</v>
      </c>
      <c r="DG18" s="71">
        <f>'Проверочная  таблица'!XI21</f>
        <v>15483294</v>
      </c>
      <c r="DI18" s="452">
        <f t="shared" si="4"/>
        <v>9642.2945199999995</v>
      </c>
      <c r="DJ18" s="452">
        <f t="shared" si="5"/>
        <v>8081.8362799999995</v>
      </c>
    </row>
    <row r="19" spans="1:114" ht="25.5" customHeight="1" x14ac:dyDescent="0.25">
      <c r="A19" s="460" t="s">
        <v>325</v>
      </c>
      <c r="B19" s="461">
        <f t="shared" si="0"/>
        <v>248459416.94</v>
      </c>
      <c r="C19" s="462">
        <f t="shared" si="1"/>
        <v>89090129.719999984</v>
      </c>
      <c r="D19" s="1144">
        <f t="shared" si="6"/>
        <v>23600305.479999997</v>
      </c>
      <c r="E19" s="1145">
        <f t="shared" si="7"/>
        <v>0</v>
      </c>
      <c r="F19" s="441">
        <f>'Проверочная  таблица'!BL14+'Проверочная  таблица'!BN14</f>
        <v>0</v>
      </c>
      <c r="G19" s="442">
        <f>'Проверочная  таблица'!BM14+'Проверочная  таблица'!BO14</f>
        <v>0</v>
      </c>
      <c r="H19" s="442">
        <f>'Проверочная  таблица'!BU14</f>
        <v>16551305.479999999</v>
      </c>
      <c r="I19" s="443">
        <f>'Проверочная  таблица'!BX14</f>
        <v>0</v>
      </c>
      <c r="J19" s="442">
        <f>'Проверочная  таблица'!BV14</f>
        <v>7049000</v>
      </c>
      <c r="K19" s="443">
        <f>'Проверочная  таблица'!BY14</f>
        <v>0</v>
      </c>
      <c r="L19" s="75">
        <f t="shared" si="2"/>
        <v>224859111.46000001</v>
      </c>
      <c r="M19" s="76">
        <f t="shared" si="3"/>
        <v>89090129.719999984</v>
      </c>
      <c r="N19" s="69">
        <f t="shared" si="8"/>
        <v>204147095.17000002</v>
      </c>
      <c r="O19" s="69">
        <f t="shared" si="9"/>
        <v>72011243.919999987</v>
      </c>
      <c r="P19" s="76">
        <f>'Проверочная  таблица'!CP14</f>
        <v>0</v>
      </c>
      <c r="Q19" s="76">
        <f>'Проверочная  таблица'!CW14</f>
        <v>0</v>
      </c>
      <c r="R19" s="76">
        <f>'Проверочная  таблица'!CR14+'Проверочная  таблица'!DD14</f>
        <v>0</v>
      </c>
      <c r="S19" s="71">
        <f>'Проверочная  таблица'!CY14+'Проверочная  таблица'!DG14</f>
        <v>0</v>
      </c>
      <c r="T19" s="75">
        <f>'Проверочная  таблица'!CT14</f>
        <v>0</v>
      </c>
      <c r="U19" s="71">
        <f>'Проверочная  таблица'!DA14</f>
        <v>0</v>
      </c>
      <c r="V19" s="77">
        <f>'Проверочная  таблица'!DV14</f>
        <v>0</v>
      </c>
      <c r="W19" s="76">
        <f>'Проверочная  таблица'!DY14</f>
        <v>0</v>
      </c>
      <c r="X19" s="76">
        <f>'Проверочная  таблица'!EB14</f>
        <v>0</v>
      </c>
      <c r="Y19" s="71">
        <f>'Проверочная  таблица'!EE14</f>
        <v>0</v>
      </c>
      <c r="Z19" s="71">
        <f>'Проверочная  таблица'!EI14</f>
        <v>0</v>
      </c>
      <c r="AA19" s="71">
        <f>'Проверочная  таблица'!EM14</f>
        <v>0</v>
      </c>
      <c r="AB19" s="76">
        <f>'Проверочная  таблица'!EP14</f>
        <v>0</v>
      </c>
      <c r="AC19" s="71">
        <f>'Проверочная  таблица'!ES14</f>
        <v>0</v>
      </c>
      <c r="AD19" s="75">
        <f>'Проверочная  таблица'!EV14+'Проверочная  таблица'!FB14</f>
        <v>1497946.03</v>
      </c>
      <c r="AE19" s="76">
        <f>'Проверочная  таблица'!EY14+'Проверочная  таблица'!FE14</f>
        <v>0</v>
      </c>
      <c r="AF19" s="76">
        <f>'Проверочная  таблица'!FT14</f>
        <v>0</v>
      </c>
      <c r="AG19" s="76">
        <f>'Проверочная  таблица'!FW14</f>
        <v>0</v>
      </c>
      <c r="AH19" s="76">
        <f>'Проверочная  таблица'!FZ14+'Проверочная  таблица'!GF14</f>
        <v>0</v>
      </c>
      <c r="AI19" s="71">
        <f>'Проверочная  таблица'!GC14+'Проверочная  таблица'!GI14</f>
        <v>0</v>
      </c>
      <c r="AJ19" s="77">
        <f>'Проверочная  таблица'!GP14</f>
        <v>0</v>
      </c>
      <c r="AK19" s="76">
        <f>'Проверочная  таблица'!GT14</f>
        <v>0</v>
      </c>
      <c r="AL19" s="76">
        <f>'Проверочная  таблица'!HF14</f>
        <v>0</v>
      </c>
      <c r="AM19" s="76">
        <f>'Проверочная  таблица'!HI14</f>
        <v>0</v>
      </c>
      <c r="AN19" s="76">
        <f>'Проверочная  таблица'!HL14+'Проверочная  таблица'!HR14</f>
        <v>0</v>
      </c>
      <c r="AO19" s="76">
        <f>'Проверочная  таблица'!HO14+'Проверочная  таблица'!HU14</f>
        <v>0</v>
      </c>
      <c r="AP19" s="76">
        <f>'Проверочная  таблица'!IJ14+'Проверочная  таблица'!IP14</f>
        <v>0</v>
      </c>
      <c r="AQ19" s="71">
        <f>'Проверочная  таблица'!IM14+'Проверочная  таблица'!IS14</f>
        <v>0</v>
      </c>
      <c r="AR19" s="75">
        <f>'Проверочная  таблица'!IZ14</f>
        <v>0</v>
      </c>
      <c r="AS19" s="71">
        <f>'Проверочная  таблица'!JC14</f>
        <v>0</v>
      </c>
      <c r="AT19" s="75">
        <f>'Проверочная  таблица'!JF14</f>
        <v>0</v>
      </c>
      <c r="AU19" s="71">
        <f>'Проверочная  таблица'!JI14</f>
        <v>0</v>
      </c>
      <c r="AV19" s="75">
        <f>'Проверочная  таблица'!JL14+'Проверочная  таблица'!JR14</f>
        <v>0</v>
      </c>
      <c r="AW19" s="76">
        <f>'Проверочная  таблица'!JO14+'Проверочная  таблица'!JU14</f>
        <v>0</v>
      </c>
      <c r="AX19" s="76">
        <f>'Проверочная  таблица'!KJ14+'Проверочная  таблица'!KT14</f>
        <v>327695.53000000003</v>
      </c>
      <c r="AY19" s="71">
        <f>'Проверочная  таблица'!KY14+'Проверочная  таблица'!KO14</f>
        <v>0</v>
      </c>
      <c r="AZ19" s="76">
        <f>'Проверочная  таблица'!KL14+'Проверочная  таблица'!KV14</f>
        <v>54887.65</v>
      </c>
      <c r="BA19" s="71">
        <f>'Проверочная  таблица'!LA14+'Проверочная  таблица'!KQ14</f>
        <v>0</v>
      </c>
      <c r="BB19" s="75">
        <f>'Проверочная  таблица'!LQ14+'Проверочная  таблица'!LY14</f>
        <v>0</v>
      </c>
      <c r="BC19" s="71">
        <f>'Проверочная  таблица'!MC14+'Проверочная  таблица'!LU14</f>
        <v>0</v>
      </c>
      <c r="BD19" s="76">
        <f>'Проверочная  таблица'!MX14</f>
        <v>0</v>
      </c>
      <c r="BE19" s="71">
        <f>'Проверочная  таблица'!NF14</f>
        <v>0</v>
      </c>
      <c r="BF19" s="76">
        <f>'Проверочная  таблица'!MV14</f>
        <v>0</v>
      </c>
      <c r="BG19" s="71">
        <f>'Проверочная  таблица'!ND14</f>
        <v>0</v>
      </c>
      <c r="BH19" s="75">
        <f>'Проверочная  таблица'!NA14+'Проверочная  таблица'!NL14</f>
        <v>90665.96</v>
      </c>
      <c r="BI19" s="76">
        <f>'Проверочная  таблица'!NO14+'Проверочная  таблица'!NI14</f>
        <v>90665.96</v>
      </c>
      <c r="BJ19" s="71">
        <f>'Проверочная  таблица'!OD14</f>
        <v>0</v>
      </c>
      <c r="BK19" s="71">
        <f>'Проверочная  таблица'!OH14</f>
        <v>0</v>
      </c>
      <c r="BL19" s="75">
        <f>'Проверочная  таблица'!OL14+'Проверочная  таблица'!OT14</f>
        <v>0</v>
      </c>
      <c r="BM19" s="76">
        <f>'Проверочная  таблица'!OP14+'Проверочная  таблица'!OX14</f>
        <v>0</v>
      </c>
      <c r="BN19" s="76">
        <f>'Проверочная  таблица'!QB14+'Проверочная  таблица'!PR14</f>
        <v>0</v>
      </c>
      <c r="BO19" s="71">
        <f>'Проверочная  таблица'!QE14+'Проверочная  таблица'!PW14</f>
        <v>0</v>
      </c>
      <c r="BP19" s="76"/>
      <c r="BQ19" s="71"/>
      <c r="BR19" s="75">
        <f>'Проверочная  таблица'!QT14</f>
        <v>0</v>
      </c>
      <c r="BS19" s="71">
        <f>'Проверочная  таблица'!QW14</f>
        <v>0</v>
      </c>
      <c r="BT19" s="75">
        <f>'Проверочная  таблица'!QZ14+'Проверочная  таблица'!RF14</f>
        <v>0</v>
      </c>
      <c r="BU19" s="71">
        <f>'Проверочная  таблица'!RC14+'Проверочная  таблица'!RI14</f>
        <v>0</v>
      </c>
      <c r="BV19" s="75">
        <f>'Проверочная  таблица'!RX14</f>
        <v>0</v>
      </c>
      <c r="BW19" s="76">
        <f>'Проверочная  таблица'!SA14</f>
        <v>0</v>
      </c>
      <c r="BX19" s="76">
        <f>'Проверочная  таблица'!SE14</f>
        <v>0</v>
      </c>
      <c r="BY19" s="71">
        <f>'Проверочная  таблица'!SI14</f>
        <v>0</v>
      </c>
      <c r="BZ19" s="75">
        <f>'Проверочная  таблица'!SL14</f>
        <v>0</v>
      </c>
      <c r="CA19" s="76">
        <f>'Проверочная  таблица'!SO14</f>
        <v>0</v>
      </c>
      <c r="CB19" s="76">
        <f>'Проверочная  таблица'!TF14+'Проверочная  таблица'!SR14</f>
        <v>0</v>
      </c>
      <c r="CC19" s="71">
        <f>'Проверочная  таблица'!TM14+'Проверочная  таблица'!SY14</f>
        <v>0</v>
      </c>
      <c r="CD19" s="75">
        <f>'Проверочная  таблица'!ST14+'Проверочная  таблица'!TH14</f>
        <v>0</v>
      </c>
      <c r="CE19" s="76">
        <f>'Проверочная  таблица'!TO14+'Проверочная  таблица'!TA14</f>
        <v>0</v>
      </c>
      <c r="CF19" s="76">
        <f>'Проверочная  таблица'!TJ14+'Проверочная  таблица'!SV14</f>
        <v>202175900</v>
      </c>
      <c r="CG19" s="71">
        <f>'Проверочная  таблица'!TQ14+'Проверочная  таблица'!TC14</f>
        <v>71920577.959999993</v>
      </c>
      <c r="CH19" s="76">
        <f t="shared" si="10"/>
        <v>7174264.8399999999</v>
      </c>
      <c r="CI19" s="76">
        <f t="shared" si="10"/>
        <v>3882654.35</v>
      </c>
      <c r="CJ19" s="71">
        <f>'Проверочная  таблица'!VN14+'Проверочная  таблица'!VL14</f>
        <v>2029300</v>
      </c>
      <c r="CK19" s="71">
        <f>'Проверочная  таблица'!VO14+'Проверочная  таблица'!VM14</f>
        <v>349666.1</v>
      </c>
      <c r="CL19" s="77">
        <f>'Проверочная  таблица'!VP14</f>
        <v>0</v>
      </c>
      <c r="CM19" s="77">
        <f>'Проверочная  таблица'!VQ14</f>
        <v>0</v>
      </c>
      <c r="CN19" s="457">
        <f>'Проверочная  таблица'!VR14</f>
        <v>0</v>
      </c>
      <c r="CO19" s="458">
        <f>'Проверочная  таблица'!VS14</f>
        <v>0</v>
      </c>
      <c r="CP19" s="459">
        <f>'Проверочная  таблица'!VT14</f>
        <v>0</v>
      </c>
      <c r="CQ19" s="458">
        <f>'Проверочная  таблица'!VU14</f>
        <v>0</v>
      </c>
      <c r="CR19" s="459">
        <f>'Проверочная  таблица'!VV14</f>
        <v>0</v>
      </c>
      <c r="CS19" s="457">
        <f>'Проверочная  таблица'!VW14</f>
        <v>0</v>
      </c>
      <c r="CT19" s="76">
        <f>'Проверочная  таблица'!VZ14</f>
        <v>4324964.84</v>
      </c>
      <c r="CU19" s="76">
        <f>'Проверочная  таблица'!WC14</f>
        <v>2742000</v>
      </c>
      <c r="CV19" s="76">
        <f>'Проверочная  таблица'!WF14</f>
        <v>820000</v>
      </c>
      <c r="CW19" s="76">
        <f>'Проверочная  таблица'!WI14</f>
        <v>790988.25</v>
      </c>
      <c r="CX19" s="76">
        <f t="shared" si="11"/>
        <v>13537751.449999999</v>
      </c>
      <c r="CY19" s="71">
        <f t="shared" si="12"/>
        <v>13196231.449999999</v>
      </c>
      <c r="CZ19" s="75">
        <f>'Проверочная  таблица'!WN20</f>
        <v>0</v>
      </c>
      <c r="DA19" s="71">
        <f>'Проверочная  таблица'!WQ20</f>
        <v>0</v>
      </c>
      <c r="DB19" s="75">
        <f>'Проверочная  таблица'!WT14</f>
        <v>0</v>
      </c>
      <c r="DC19" s="71">
        <f>'Проверочная  таблица'!WW14</f>
        <v>0</v>
      </c>
      <c r="DD19" s="75">
        <f>'Проверочная  таблица'!WZ14</f>
        <v>2049105.45</v>
      </c>
      <c r="DE19" s="71">
        <f>'Проверочная  таблица'!XC14</f>
        <v>1707585.45</v>
      </c>
      <c r="DF19" s="75">
        <f>'Проверочная  таблица'!XF14</f>
        <v>11488646</v>
      </c>
      <c r="DG19" s="71">
        <f>'Проверочная  таблица'!XI14</f>
        <v>11488646</v>
      </c>
      <c r="DI19" s="452">
        <f t="shared" si="4"/>
        <v>5144.9648399999996</v>
      </c>
      <c r="DJ19" s="452">
        <f t="shared" si="5"/>
        <v>3532.9882499999999</v>
      </c>
    </row>
    <row r="20" spans="1:114" ht="25.5" customHeight="1" x14ac:dyDescent="0.25">
      <c r="A20" s="68" t="s">
        <v>326</v>
      </c>
      <c r="B20" s="453">
        <f t="shared" si="0"/>
        <v>66553709.469999999</v>
      </c>
      <c r="C20" s="454">
        <f t="shared" si="1"/>
        <v>20382773.100000001</v>
      </c>
      <c r="D20" s="1144">
        <f t="shared" si="6"/>
        <v>19108300</v>
      </c>
      <c r="E20" s="1145">
        <f t="shared" si="7"/>
        <v>0</v>
      </c>
      <c r="F20" s="441">
        <f>'Проверочная  таблица'!BL22+'Проверочная  таблица'!BN22</f>
        <v>0</v>
      </c>
      <c r="G20" s="442">
        <f>'Проверочная  таблица'!BM22+'Проверочная  таблица'!BO22</f>
        <v>0</v>
      </c>
      <c r="H20" s="442">
        <f>'Проверочная  таблица'!BU22</f>
        <v>19108300</v>
      </c>
      <c r="I20" s="443">
        <f>'Проверочная  таблица'!BX22</f>
        <v>0</v>
      </c>
      <c r="J20" s="442">
        <f>'Проверочная  таблица'!BV22</f>
        <v>0</v>
      </c>
      <c r="K20" s="443">
        <f>'Проверочная  таблица'!BY22</f>
        <v>0</v>
      </c>
      <c r="L20" s="75">
        <f t="shared" si="2"/>
        <v>47445409.469999999</v>
      </c>
      <c r="M20" s="76">
        <f t="shared" si="3"/>
        <v>20382773.100000001</v>
      </c>
      <c r="N20" s="69">
        <f t="shared" si="8"/>
        <v>21174636.960000001</v>
      </c>
      <c r="O20" s="69">
        <f t="shared" si="9"/>
        <v>6567682.1900000004</v>
      </c>
      <c r="P20" s="76">
        <f>'Проверочная  таблица'!CP22</f>
        <v>0</v>
      </c>
      <c r="Q20" s="76">
        <f>'Проверочная  таблица'!CW22</f>
        <v>0</v>
      </c>
      <c r="R20" s="76">
        <f>'Проверочная  таблица'!CR22+'Проверочная  таблица'!DD22</f>
        <v>0</v>
      </c>
      <c r="S20" s="71">
        <f>'Проверочная  таблица'!CY22+'Проверочная  таблица'!DG22</f>
        <v>0</v>
      </c>
      <c r="T20" s="75">
        <f>'Проверочная  таблица'!CT22</f>
        <v>0</v>
      </c>
      <c r="U20" s="71">
        <f>'Проверочная  таблица'!DA22</f>
        <v>0</v>
      </c>
      <c r="V20" s="77">
        <f>'Проверочная  таблица'!DV22</f>
        <v>0</v>
      </c>
      <c r="W20" s="76">
        <f>'Проверочная  таблица'!DY22</f>
        <v>0</v>
      </c>
      <c r="X20" s="76">
        <f>'Проверочная  таблица'!EB22</f>
        <v>0</v>
      </c>
      <c r="Y20" s="71">
        <f>'Проверочная  таблица'!EE22</f>
        <v>0</v>
      </c>
      <c r="Z20" s="71">
        <f>'Проверочная  таблица'!EI22</f>
        <v>0</v>
      </c>
      <c r="AA20" s="71">
        <f>'Проверочная  таблица'!EM22</f>
        <v>0</v>
      </c>
      <c r="AB20" s="76">
        <f>'Проверочная  таблица'!EP22</f>
        <v>0</v>
      </c>
      <c r="AC20" s="71">
        <f>'Проверочная  таблица'!ES22</f>
        <v>0</v>
      </c>
      <c r="AD20" s="75">
        <f>'Проверочная  таблица'!EV22+'Проверочная  таблица'!FB22</f>
        <v>0</v>
      </c>
      <c r="AE20" s="76">
        <f>'Проверочная  таблица'!EY22+'Проверочная  таблица'!FE22</f>
        <v>0</v>
      </c>
      <c r="AF20" s="76">
        <f>'Проверочная  таблица'!FT22</f>
        <v>0</v>
      </c>
      <c r="AG20" s="76">
        <f>'Проверочная  таблица'!FW22</f>
        <v>0</v>
      </c>
      <c r="AH20" s="76">
        <f>'Проверочная  таблица'!FZ22+'Проверочная  таблица'!GF22</f>
        <v>0</v>
      </c>
      <c r="AI20" s="71">
        <f>'Проверочная  таблица'!GC22+'Проверочная  таблица'!GI22</f>
        <v>0</v>
      </c>
      <c r="AJ20" s="77">
        <f>'Проверочная  таблица'!GP22</f>
        <v>0</v>
      </c>
      <c r="AK20" s="76">
        <f>'Проверочная  таблица'!GT22</f>
        <v>0</v>
      </c>
      <c r="AL20" s="76">
        <f>'Проверочная  таблица'!HF22</f>
        <v>0</v>
      </c>
      <c r="AM20" s="76">
        <f>'Проверочная  таблица'!HI22</f>
        <v>0</v>
      </c>
      <c r="AN20" s="76">
        <f>'Проверочная  таблица'!HL22+'Проверочная  таблица'!HR22</f>
        <v>0</v>
      </c>
      <c r="AO20" s="76">
        <f>'Проверочная  таблица'!HO22+'Проверочная  таблица'!HU22</f>
        <v>0</v>
      </c>
      <c r="AP20" s="76">
        <f>'Проверочная  таблица'!IJ22+'Проверочная  таблица'!IP22</f>
        <v>0</v>
      </c>
      <c r="AQ20" s="71">
        <f>'Проверочная  таблица'!IM22+'Проверочная  таблица'!IS22</f>
        <v>0</v>
      </c>
      <c r="AR20" s="75">
        <f>'Проверочная  таблица'!IZ22</f>
        <v>0</v>
      </c>
      <c r="AS20" s="71">
        <f>'Проверочная  таблица'!JC22</f>
        <v>0</v>
      </c>
      <c r="AT20" s="75">
        <f>'Проверочная  таблица'!JF22</f>
        <v>0</v>
      </c>
      <c r="AU20" s="71">
        <f>'Проверочная  таблица'!JI22</f>
        <v>0</v>
      </c>
      <c r="AV20" s="75">
        <f>'Проверочная  таблица'!JL22+'Проверочная  таблица'!JR22</f>
        <v>0</v>
      </c>
      <c r="AW20" s="76">
        <f>'Проверочная  таблица'!JO22+'Проверочная  таблица'!JU22</f>
        <v>0</v>
      </c>
      <c r="AX20" s="76">
        <f>'Проверочная  таблица'!KJ22+'Проверочная  таблица'!KT22</f>
        <v>329453.15999999997</v>
      </c>
      <c r="AY20" s="71">
        <f>'Проверочная  таблица'!KY22+'Проверочная  таблица'!KO22</f>
        <v>0</v>
      </c>
      <c r="AZ20" s="76">
        <f>'Проверочная  таблица'!KL22+'Проверочная  таблица'!KV22</f>
        <v>64797.21</v>
      </c>
      <c r="BA20" s="71">
        <f>'Проверочная  таблица'!LA22+'Проверочная  таблица'!KQ22</f>
        <v>0</v>
      </c>
      <c r="BB20" s="75">
        <f>'Проверочная  таблица'!LQ22+'Проверочная  таблица'!LY22</f>
        <v>0</v>
      </c>
      <c r="BC20" s="71">
        <f>'Проверочная  таблица'!MC22+'Проверочная  таблица'!LU22</f>
        <v>0</v>
      </c>
      <c r="BD20" s="76">
        <f>'Проверочная  таблица'!MX22</f>
        <v>0</v>
      </c>
      <c r="BE20" s="71">
        <f>'Проверочная  таблица'!NF22</f>
        <v>0</v>
      </c>
      <c r="BF20" s="76">
        <f>'Проверочная  таблица'!MV22</f>
        <v>0</v>
      </c>
      <c r="BG20" s="71">
        <f>'Проверочная  таблица'!ND22</f>
        <v>0</v>
      </c>
      <c r="BH20" s="75">
        <f>'Проверочная  таблица'!NA22+'Проверочная  таблица'!NL22</f>
        <v>64021.45</v>
      </c>
      <c r="BI20" s="76">
        <f>'Проверочная  таблица'!NO22+'Проверочная  таблица'!NI22</f>
        <v>64021.45</v>
      </c>
      <c r="BJ20" s="71">
        <f>'Проверочная  таблица'!OD22</f>
        <v>0</v>
      </c>
      <c r="BK20" s="71">
        <f>'Проверочная  таблица'!OH22</f>
        <v>0</v>
      </c>
      <c r="BL20" s="75">
        <f>'Проверочная  таблица'!OL22+'Проверочная  таблица'!OT22</f>
        <v>7388479.1600000001</v>
      </c>
      <c r="BM20" s="76">
        <f>'Проверочная  таблица'!OP22+'Проверочная  таблица'!OX22</f>
        <v>0</v>
      </c>
      <c r="BN20" s="76">
        <f>'Проверочная  таблица'!QB22+'Проверочная  таблица'!PR22</f>
        <v>1376685.73</v>
      </c>
      <c r="BO20" s="71">
        <f>'Проверочная  таблица'!QE22+'Проверочная  таблица'!PW22</f>
        <v>0</v>
      </c>
      <c r="BP20" s="76"/>
      <c r="BQ20" s="71"/>
      <c r="BR20" s="75">
        <f>'Проверочная  таблица'!QT22</f>
        <v>0</v>
      </c>
      <c r="BS20" s="71">
        <f>'Проверочная  таблица'!QW22</f>
        <v>0</v>
      </c>
      <c r="BT20" s="75">
        <f>'Проверочная  таблица'!QZ22+'Проверочная  таблица'!RF22</f>
        <v>0</v>
      </c>
      <c r="BU20" s="71">
        <f>'Проверочная  таблица'!RC22+'Проверочная  таблица'!RI22</f>
        <v>0</v>
      </c>
      <c r="BV20" s="75">
        <f>'Проверочная  таблица'!RX22</f>
        <v>0</v>
      </c>
      <c r="BW20" s="76">
        <f>'Проверочная  таблица'!SA22</f>
        <v>0</v>
      </c>
      <c r="BX20" s="76">
        <f>'Проверочная  таблица'!SE22</f>
        <v>0</v>
      </c>
      <c r="BY20" s="71">
        <f>'Проверочная  таблица'!SI22</f>
        <v>0</v>
      </c>
      <c r="BZ20" s="75">
        <f>'Проверочная  таблица'!SL22</f>
        <v>0</v>
      </c>
      <c r="CA20" s="76">
        <f>'Проверочная  таблица'!SO22</f>
        <v>0</v>
      </c>
      <c r="CB20" s="76">
        <f>'Проверочная  таблица'!TF22+'Проверочная  таблица'!SR22</f>
        <v>11951200.25</v>
      </c>
      <c r="CC20" s="71">
        <f>'Проверочная  таблица'!TM22+'Проверочная  таблица'!SY22</f>
        <v>6503660.7400000002</v>
      </c>
      <c r="CD20" s="75">
        <f>'Проверочная  таблица'!ST22+'Проверочная  таблица'!TH22</f>
        <v>0</v>
      </c>
      <c r="CE20" s="76">
        <f>'Проверочная  таблица'!TO22+'Проверочная  таблица'!TA22</f>
        <v>0</v>
      </c>
      <c r="CF20" s="76">
        <f>'Проверочная  таблица'!TJ22+'Проверочная  таблица'!SV22</f>
        <v>0</v>
      </c>
      <c r="CG20" s="71">
        <f>'Проверочная  таблица'!TQ22+'Проверочная  таблица'!TC22</f>
        <v>0</v>
      </c>
      <c r="CH20" s="76">
        <f t="shared" si="10"/>
        <v>6266988.2800000003</v>
      </c>
      <c r="CI20" s="76">
        <f t="shared" si="10"/>
        <v>4793111.8000000007</v>
      </c>
      <c r="CJ20" s="71">
        <f>'Проверочная  таблица'!VN22+'Проверочная  таблица'!VL22</f>
        <v>1137400</v>
      </c>
      <c r="CK20" s="71">
        <f>'Проверочная  таблица'!VO22+'Проверочная  таблица'!VM22</f>
        <v>794774.95000000019</v>
      </c>
      <c r="CL20" s="77">
        <f>'Проверочная  таблица'!VP22</f>
        <v>0</v>
      </c>
      <c r="CM20" s="77">
        <f>'Проверочная  таблица'!VQ22</f>
        <v>0</v>
      </c>
      <c r="CN20" s="457">
        <f>'Проверочная  таблица'!VR22</f>
        <v>0</v>
      </c>
      <c r="CO20" s="458">
        <f>'Проверочная  таблица'!VS22</f>
        <v>0</v>
      </c>
      <c r="CP20" s="459">
        <f>'Проверочная  таблица'!VT22</f>
        <v>0</v>
      </c>
      <c r="CQ20" s="458">
        <f>'Проверочная  таблица'!VU22</f>
        <v>0</v>
      </c>
      <c r="CR20" s="459">
        <f>'Проверочная  таблица'!VV22</f>
        <v>0</v>
      </c>
      <c r="CS20" s="457">
        <f>'Проверочная  таблица'!VW22</f>
        <v>0</v>
      </c>
      <c r="CT20" s="76">
        <f>'Проверочная  таблица'!VZ22</f>
        <v>4344588.28</v>
      </c>
      <c r="CU20" s="76">
        <f>'Проверочная  таблица'!WC22</f>
        <v>3380638</v>
      </c>
      <c r="CV20" s="76">
        <f>'Проверочная  таблица'!WF22</f>
        <v>785000</v>
      </c>
      <c r="CW20" s="76">
        <f>'Проверочная  таблица'!WI22</f>
        <v>617698.85</v>
      </c>
      <c r="CX20" s="76">
        <f t="shared" si="11"/>
        <v>20003784.23</v>
      </c>
      <c r="CY20" s="71">
        <f t="shared" si="12"/>
        <v>9021979.1099999994</v>
      </c>
      <c r="CZ20" s="75">
        <f>'Проверочная  таблица'!WN21</f>
        <v>0</v>
      </c>
      <c r="DA20" s="71">
        <f>'Проверочная  таблица'!WQ21</f>
        <v>0</v>
      </c>
      <c r="DB20" s="75">
        <f>'Проверочная  таблица'!WT22</f>
        <v>10789701.5</v>
      </c>
      <c r="DC20" s="71">
        <f>'Проверочная  таблица'!WW22</f>
        <v>0</v>
      </c>
      <c r="DD20" s="75">
        <f>'Проверочная  таблица'!WZ22</f>
        <v>1024552.7300000001</v>
      </c>
      <c r="DE20" s="71">
        <f>'Проверочная  таблица'!XC22</f>
        <v>832449.11</v>
      </c>
      <c r="DF20" s="75">
        <f>'Проверочная  таблица'!XF22</f>
        <v>8189530</v>
      </c>
      <c r="DG20" s="71">
        <f>'Проверочная  таблица'!XI22</f>
        <v>8189530</v>
      </c>
      <c r="DI20" s="452">
        <f t="shared" si="4"/>
        <v>5129.5882799999999</v>
      </c>
      <c r="DJ20" s="452">
        <f t="shared" si="5"/>
        <v>3998.3368500000006</v>
      </c>
    </row>
    <row r="21" spans="1:114" ht="25.5" customHeight="1" x14ac:dyDescent="0.25">
      <c r="A21" s="52" t="s">
        <v>327</v>
      </c>
      <c r="B21" s="453">
        <f t="shared" si="0"/>
        <v>784648709.9000001</v>
      </c>
      <c r="C21" s="454">
        <f t="shared" si="1"/>
        <v>484758523.65999997</v>
      </c>
      <c r="D21" s="1144">
        <f t="shared" si="6"/>
        <v>209151450.18000001</v>
      </c>
      <c r="E21" s="1145">
        <f t="shared" si="7"/>
        <v>0</v>
      </c>
      <c r="F21" s="441">
        <f>'Проверочная  таблица'!BL23+'Проверочная  таблица'!BN23</f>
        <v>0</v>
      </c>
      <c r="G21" s="442">
        <f>'Проверочная  таблица'!BM23+'Проверочная  таблица'!BO23</f>
        <v>0</v>
      </c>
      <c r="H21" s="442">
        <f>'Проверочная  таблица'!BU23</f>
        <v>188669450.18000001</v>
      </c>
      <c r="I21" s="443">
        <f>'Проверочная  таблица'!BX23</f>
        <v>0</v>
      </c>
      <c r="J21" s="442">
        <f>'Проверочная  таблица'!BV23</f>
        <v>20482000</v>
      </c>
      <c r="K21" s="443">
        <f>'Проверочная  таблица'!BY23</f>
        <v>0</v>
      </c>
      <c r="L21" s="75">
        <f t="shared" si="2"/>
        <v>575497259.72000003</v>
      </c>
      <c r="M21" s="76">
        <f t="shared" si="3"/>
        <v>484758523.65999997</v>
      </c>
      <c r="N21" s="69">
        <f t="shared" si="8"/>
        <v>527256858.88999999</v>
      </c>
      <c r="O21" s="69">
        <f t="shared" si="9"/>
        <v>452428069.61999995</v>
      </c>
      <c r="P21" s="76">
        <f>'Проверочная  таблица'!CP23</f>
        <v>0</v>
      </c>
      <c r="Q21" s="76">
        <f>'Проверочная  таблица'!CW23</f>
        <v>0</v>
      </c>
      <c r="R21" s="76">
        <f>'Проверочная  таблица'!CR23+'Проверочная  таблица'!DD23</f>
        <v>0</v>
      </c>
      <c r="S21" s="71">
        <f>'Проверочная  таблица'!CY23+'Проверочная  таблица'!DG23</f>
        <v>0</v>
      </c>
      <c r="T21" s="75">
        <f>'Проверочная  таблица'!CT23</f>
        <v>0</v>
      </c>
      <c r="U21" s="71">
        <f>'Проверочная  таблица'!DA23</f>
        <v>0</v>
      </c>
      <c r="V21" s="77">
        <f>'Проверочная  таблица'!DV23</f>
        <v>0</v>
      </c>
      <c r="W21" s="76">
        <f>'Проверочная  таблица'!DY23</f>
        <v>0</v>
      </c>
      <c r="X21" s="76">
        <f>'Проверочная  таблица'!EB23</f>
        <v>0</v>
      </c>
      <c r="Y21" s="71">
        <f>'Проверочная  таблица'!EE23</f>
        <v>0</v>
      </c>
      <c r="Z21" s="71">
        <f>'Проверочная  таблица'!EI23</f>
        <v>0</v>
      </c>
      <c r="AA21" s="71">
        <f>'Проверочная  таблица'!EM23</f>
        <v>0</v>
      </c>
      <c r="AB21" s="76">
        <f>'Проверочная  таблица'!EP23</f>
        <v>0</v>
      </c>
      <c r="AC21" s="71">
        <f>'Проверочная  таблица'!ES23</f>
        <v>0</v>
      </c>
      <c r="AD21" s="75">
        <f>'Проверочная  таблица'!EV23+'Проверочная  таблица'!FB23</f>
        <v>0</v>
      </c>
      <c r="AE21" s="76">
        <f>'Проверочная  таблица'!EY23+'Проверочная  таблица'!FE23</f>
        <v>0</v>
      </c>
      <c r="AF21" s="76">
        <f>'Проверочная  таблица'!FT23</f>
        <v>0</v>
      </c>
      <c r="AG21" s="76">
        <f>'Проверочная  таблица'!FW23</f>
        <v>0</v>
      </c>
      <c r="AH21" s="76">
        <f>'Проверочная  таблица'!FZ23+'Проверочная  таблица'!GF23</f>
        <v>77044000</v>
      </c>
      <c r="AI21" s="71">
        <f>'Проверочная  таблица'!GC23+'Проверочная  таблица'!GI23</f>
        <v>68524787.310000002</v>
      </c>
      <c r="AJ21" s="77">
        <f>'Проверочная  таблица'!GP23</f>
        <v>0</v>
      </c>
      <c r="AK21" s="76">
        <f>'Проверочная  таблица'!GT23</f>
        <v>0</v>
      </c>
      <c r="AL21" s="76">
        <f>'Проверочная  таблица'!HF23</f>
        <v>0</v>
      </c>
      <c r="AM21" s="76">
        <f>'Проверочная  таблица'!HI23</f>
        <v>0</v>
      </c>
      <c r="AN21" s="76">
        <f>'Проверочная  таблица'!HL23+'Проверочная  таблица'!HR23</f>
        <v>821052.83999999985</v>
      </c>
      <c r="AO21" s="76">
        <f>'Проверочная  таблица'!HO23+'Проверочная  таблица'!HU23</f>
        <v>0</v>
      </c>
      <c r="AP21" s="76">
        <f>'Проверочная  таблица'!IJ23+'Проверочная  таблица'!IP23</f>
        <v>0</v>
      </c>
      <c r="AQ21" s="71">
        <f>'Проверочная  таблица'!IM23+'Проверочная  таблица'!IS23</f>
        <v>0</v>
      </c>
      <c r="AR21" s="75">
        <f>'Проверочная  таблица'!IZ23</f>
        <v>0</v>
      </c>
      <c r="AS21" s="71">
        <f>'Проверочная  таблица'!JC23</f>
        <v>0</v>
      </c>
      <c r="AT21" s="75">
        <f>'Проверочная  таблица'!JF23</f>
        <v>0</v>
      </c>
      <c r="AU21" s="71">
        <f>'Проверочная  таблица'!JI23</f>
        <v>0</v>
      </c>
      <c r="AV21" s="75">
        <f>'Проверочная  таблица'!JL23+'Проверочная  таблица'!JR23</f>
        <v>0</v>
      </c>
      <c r="AW21" s="76">
        <f>'Проверочная  таблица'!JO23+'Проверочная  таблица'!JU23</f>
        <v>0</v>
      </c>
      <c r="AX21" s="76">
        <f>'Проверочная  таблица'!KJ23+'Проверочная  таблица'!KT23</f>
        <v>317539.19</v>
      </c>
      <c r="AY21" s="71">
        <f>'Проверочная  таблица'!KY23+'Проверочная  таблица'!KO23</f>
        <v>0</v>
      </c>
      <c r="AZ21" s="76">
        <f>'Проверочная  таблица'!KL23+'Проверочная  таблица'!KV23</f>
        <v>56014.17</v>
      </c>
      <c r="BA21" s="71">
        <f>'Проверочная  таблица'!LA23+'Проверочная  таблица'!KQ23</f>
        <v>0</v>
      </c>
      <c r="BB21" s="75">
        <f>'Проверочная  таблица'!LQ23+'Проверочная  таблица'!LY23</f>
        <v>0</v>
      </c>
      <c r="BC21" s="71">
        <f>'Проверочная  таблица'!MC23+'Проверочная  таблица'!LU23</f>
        <v>0</v>
      </c>
      <c r="BD21" s="76">
        <f>'Проверочная  таблица'!MX23</f>
        <v>0</v>
      </c>
      <c r="BE21" s="71">
        <f>'Проверочная  таблица'!NF23</f>
        <v>0</v>
      </c>
      <c r="BF21" s="76">
        <f>'Проверочная  таблица'!MV23</f>
        <v>0</v>
      </c>
      <c r="BG21" s="71">
        <f>'Проверочная  таблица'!ND23</f>
        <v>0</v>
      </c>
      <c r="BH21" s="75">
        <f>'Проверочная  таблица'!NA23+'Проверочная  таблица'!NL23</f>
        <v>235625.78</v>
      </c>
      <c r="BI21" s="76">
        <f>'Проверочная  таблица'!NO23+'Проверочная  таблица'!NI23</f>
        <v>235625.78</v>
      </c>
      <c r="BJ21" s="71">
        <f>'Проверочная  таблица'!OD23</f>
        <v>0</v>
      </c>
      <c r="BK21" s="71">
        <f>'Проверочная  таблица'!OH23</f>
        <v>0</v>
      </c>
      <c r="BL21" s="75">
        <f>'Проверочная  таблица'!OL23+'Проверочная  таблица'!OT23</f>
        <v>30953240.300000001</v>
      </c>
      <c r="BM21" s="76">
        <f>'Проверочная  таблица'!OP23+'Проверочная  таблица'!OX23</f>
        <v>15600000</v>
      </c>
      <c r="BN21" s="76">
        <f>'Проверочная  таблица'!QB23+'Проверочная  таблица'!PR23</f>
        <v>0</v>
      </c>
      <c r="BO21" s="71">
        <f>'Проверочная  таблица'!QE23+'Проверочная  таблица'!PW23</f>
        <v>0</v>
      </c>
      <c r="BP21" s="76"/>
      <c r="BQ21" s="71"/>
      <c r="BR21" s="75">
        <f>'Проверочная  таблица'!QT23</f>
        <v>0</v>
      </c>
      <c r="BS21" s="71">
        <f>'Проверочная  таблица'!QW23</f>
        <v>0</v>
      </c>
      <c r="BT21" s="75">
        <f>'Проверочная  таблица'!QZ23+'Проверочная  таблица'!RF23</f>
        <v>0</v>
      </c>
      <c r="BU21" s="71">
        <f>'Проверочная  таблица'!RC23+'Проверочная  таблица'!RI23</f>
        <v>0</v>
      </c>
      <c r="BV21" s="75">
        <f>'Проверочная  таблица'!RX23</f>
        <v>0</v>
      </c>
      <c r="BW21" s="76">
        <f>'Проверочная  таблица'!SA23</f>
        <v>0</v>
      </c>
      <c r="BX21" s="76">
        <f>'Проверочная  таблица'!SE23</f>
        <v>0</v>
      </c>
      <c r="BY21" s="71">
        <f>'Проверочная  таблица'!SI23</f>
        <v>0</v>
      </c>
      <c r="BZ21" s="75">
        <f>'Проверочная  таблица'!SL23</f>
        <v>0</v>
      </c>
      <c r="CA21" s="76">
        <f>'Проверочная  таблица'!SO23</f>
        <v>0</v>
      </c>
      <c r="CB21" s="76">
        <f>'Проверочная  таблица'!TF23+'Проверочная  таблица'!SR23</f>
        <v>21497286.609999999</v>
      </c>
      <c r="CC21" s="71">
        <f>'Проверочная  таблица'!TM23+'Проверочная  таблица'!SY23</f>
        <v>9317221.6899999995</v>
      </c>
      <c r="CD21" s="75">
        <f>'Проверочная  таблица'!ST23+'Проверочная  таблица'!TH23</f>
        <v>0</v>
      </c>
      <c r="CE21" s="76">
        <f>'Проверочная  таблица'!TO23+'Проверочная  таблица'!TA23</f>
        <v>0</v>
      </c>
      <c r="CF21" s="76">
        <f>'Проверочная  таблица'!TJ23+'Проверочная  таблица'!SV23</f>
        <v>396332100</v>
      </c>
      <c r="CG21" s="71">
        <f>'Проверочная  таблица'!TQ23+'Проверочная  таблица'!TC23</f>
        <v>358750434.83999997</v>
      </c>
      <c r="CH21" s="76">
        <f t="shared" si="10"/>
        <v>17109295.009999998</v>
      </c>
      <c r="CI21" s="76">
        <f t="shared" si="10"/>
        <v>11178831.66</v>
      </c>
      <c r="CJ21" s="71">
        <f>'Проверочная  таблица'!VN23+'Проверочная  таблица'!VL23</f>
        <v>2813500</v>
      </c>
      <c r="CK21" s="71">
        <f>'Проверочная  таблица'!VO23+'Проверочная  таблица'!VM23</f>
        <v>1352031.1400000001</v>
      </c>
      <c r="CL21" s="77">
        <f>'Проверочная  таблица'!VP23</f>
        <v>0</v>
      </c>
      <c r="CM21" s="77">
        <f>'Проверочная  таблица'!VQ23</f>
        <v>0</v>
      </c>
      <c r="CN21" s="457">
        <f>'Проверочная  таблица'!VR23</f>
        <v>0</v>
      </c>
      <c r="CO21" s="458">
        <f>'Проверочная  таблица'!VS23</f>
        <v>0</v>
      </c>
      <c r="CP21" s="459">
        <f>'Проверочная  таблица'!VT23</f>
        <v>0</v>
      </c>
      <c r="CQ21" s="458">
        <f>'Проверочная  таблица'!VU23</f>
        <v>0</v>
      </c>
      <c r="CR21" s="459">
        <f>'Проверочная  таблица'!VV23</f>
        <v>0</v>
      </c>
      <c r="CS21" s="457">
        <f>'Проверочная  таблица'!VW23</f>
        <v>0</v>
      </c>
      <c r="CT21" s="76">
        <f>'Проверочная  таблица'!VZ23</f>
        <v>13695795.01</v>
      </c>
      <c r="CU21" s="76">
        <f>'Проверочная  таблица'!WC23</f>
        <v>9386189.0299999993</v>
      </c>
      <c r="CV21" s="76">
        <f>'Проверочная  таблица'!WF23</f>
        <v>600000</v>
      </c>
      <c r="CW21" s="76">
        <f>'Проверочная  таблица'!WI23</f>
        <v>440611.49</v>
      </c>
      <c r="CX21" s="76">
        <f t="shared" si="11"/>
        <v>31131105.82</v>
      </c>
      <c r="CY21" s="71">
        <f t="shared" si="12"/>
        <v>21151622.380000003</v>
      </c>
      <c r="CZ21" s="75">
        <f>'Проверочная  таблица'!WN22</f>
        <v>0</v>
      </c>
      <c r="DA21" s="71">
        <f>'Проверочная  таблица'!WQ22</f>
        <v>0</v>
      </c>
      <c r="DB21" s="75">
        <f>'Проверочная  таблица'!WT23</f>
        <v>6813576</v>
      </c>
      <c r="DC21" s="71">
        <f>'Проверочная  таблица'!WW23</f>
        <v>0</v>
      </c>
      <c r="DD21" s="75">
        <f>'Проверочная  таблица'!WZ23</f>
        <v>2561381.8199999998</v>
      </c>
      <c r="DE21" s="71">
        <f>'Проверочная  таблица'!XC23</f>
        <v>1841751.78</v>
      </c>
      <c r="DF21" s="75">
        <f>'Проверочная  таблица'!XF23</f>
        <v>21756148</v>
      </c>
      <c r="DG21" s="71">
        <f>'Проверочная  таблица'!XI23</f>
        <v>19309870.600000001</v>
      </c>
      <c r="DI21" s="452">
        <f t="shared" si="4"/>
        <v>14295.795009999998</v>
      </c>
      <c r="DJ21" s="452">
        <f t="shared" si="5"/>
        <v>9826.8005199999989</v>
      </c>
    </row>
    <row r="22" spans="1:114" ht="25.5" customHeight="1" x14ac:dyDescent="0.25">
      <c r="A22" s="68" t="s">
        <v>328</v>
      </c>
      <c r="B22" s="453">
        <f t="shared" si="0"/>
        <v>64670532.43</v>
      </c>
      <c r="C22" s="454">
        <f t="shared" si="1"/>
        <v>19093085.010000002</v>
      </c>
      <c r="D22" s="1144">
        <f t="shared" si="6"/>
        <v>31469344.07</v>
      </c>
      <c r="E22" s="1145">
        <f t="shared" si="7"/>
        <v>454000</v>
      </c>
      <c r="F22" s="441">
        <f>'Проверочная  таблица'!BL24+'Проверочная  таблица'!BN24</f>
        <v>0</v>
      </c>
      <c r="G22" s="442">
        <f>'Проверочная  таблица'!BM24+'Проверочная  таблица'!BO24</f>
        <v>0</v>
      </c>
      <c r="H22" s="442">
        <f>'Проверочная  таблица'!BU24</f>
        <v>31015344.07</v>
      </c>
      <c r="I22" s="443">
        <f>'Проверочная  таблица'!BX24</f>
        <v>0</v>
      </c>
      <c r="J22" s="442">
        <f>'Проверочная  таблица'!BV24</f>
        <v>454000</v>
      </c>
      <c r="K22" s="443">
        <f>'Проверочная  таблица'!BY24</f>
        <v>454000</v>
      </c>
      <c r="L22" s="75">
        <f t="shared" si="2"/>
        <v>33201188.359999999</v>
      </c>
      <c r="M22" s="76">
        <f t="shared" si="3"/>
        <v>18639085.010000002</v>
      </c>
      <c r="N22" s="69">
        <f t="shared" si="8"/>
        <v>10323676.49</v>
      </c>
      <c r="O22" s="69">
        <f t="shared" si="9"/>
        <v>106061.95</v>
      </c>
      <c r="P22" s="76">
        <f>'Проверочная  таблица'!CP24</f>
        <v>0</v>
      </c>
      <c r="Q22" s="76">
        <f>'Проверочная  таблица'!CW24</f>
        <v>0</v>
      </c>
      <c r="R22" s="76">
        <f>'Проверочная  таблица'!CR24+'Проверочная  таблица'!DD24</f>
        <v>0</v>
      </c>
      <c r="S22" s="71">
        <f>'Проверочная  таблица'!CY24+'Проверочная  таблица'!DG24</f>
        <v>0</v>
      </c>
      <c r="T22" s="75">
        <f>'Проверочная  таблица'!CT24</f>
        <v>0</v>
      </c>
      <c r="U22" s="71">
        <f>'Проверочная  таблица'!DA24</f>
        <v>0</v>
      </c>
      <c r="V22" s="77">
        <f>'Проверочная  таблица'!DV24</f>
        <v>0</v>
      </c>
      <c r="W22" s="76">
        <f>'Проверочная  таблица'!DY24</f>
        <v>0</v>
      </c>
      <c r="X22" s="76">
        <f>'Проверочная  таблица'!EB24</f>
        <v>0</v>
      </c>
      <c r="Y22" s="71">
        <f>'Проверочная  таблица'!EE24</f>
        <v>0</v>
      </c>
      <c r="Z22" s="71">
        <f>'Проверочная  таблица'!EI24</f>
        <v>0</v>
      </c>
      <c r="AA22" s="71">
        <f>'Проверочная  таблица'!EM24</f>
        <v>0</v>
      </c>
      <c r="AB22" s="76">
        <f>'Проверочная  таблица'!EP24</f>
        <v>0</v>
      </c>
      <c r="AC22" s="71">
        <f>'Проверочная  таблица'!ES24</f>
        <v>0</v>
      </c>
      <c r="AD22" s="75">
        <f>'Проверочная  таблица'!EV24+'Проверочная  таблица'!FB24</f>
        <v>0</v>
      </c>
      <c r="AE22" s="76">
        <f>'Проверочная  таблица'!EY24+'Проверочная  таблица'!FE24</f>
        <v>0</v>
      </c>
      <c r="AF22" s="76">
        <f>'Проверочная  таблица'!FT24</f>
        <v>0</v>
      </c>
      <c r="AG22" s="76">
        <f>'Проверочная  таблица'!FW24</f>
        <v>0</v>
      </c>
      <c r="AH22" s="76">
        <f>'Проверочная  таблица'!FZ24+'Проверочная  таблица'!GF24</f>
        <v>0</v>
      </c>
      <c r="AI22" s="71">
        <f>'Проверочная  таблица'!GC24+'Проверочная  таблица'!GI24</f>
        <v>0</v>
      </c>
      <c r="AJ22" s="77">
        <f>'Проверочная  таблица'!GP24</f>
        <v>0</v>
      </c>
      <c r="AK22" s="76">
        <f>'Проверочная  таблица'!GT24</f>
        <v>0</v>
      </c>
      <c r="AL22" s="76">
        <f>'Проверочная  таблица'!HF24</f>
        <v>0</v>
      </c>
      <c r="AM22" s="76">
        <f>'Проверочная  таблица'!HI24</f>
        <v>0</v>
      </c>
      <c r="AN22" s="76">
        <f>'Проверочная  таблица'!HL24+'Проверочная  таблица'!HR24</f>
        <v>0</v>
      </c>
      <c r="AO22" s="76">
        <f>'Проверочная  таблица'!HO24+'Проверочная  таблица'!HU24</f>
        <v>0</v>
      </c>
      <c r="AP22" s="76">
        <f>'Проверочная  таблица'!IJ24+'Проверочная  таблица'!IP24</f>
        <v>0</v>
      </c>
      <c r="AQ22" s="71">
        <f>'Проверочная  таблица'!IM24+'Проверочная  таблица'!IS24</f>
        <v>0</v>
      </c>
      <c r="AR22" s="75">
        <f>'Проверочная  таблица'!IZ24</f>
        <v>0</v>
      </c>
      <c r="AS22" s="71">
        <f>'Проверочная  таблица'!JC24</f>
        <v>0</v>
      </c>
      <c r="AT22" s="75">
        <f>'Проверочная  таблица'!JF24</f>
        <v>0</v>
      </c>
      <c r="AU22" s="71">
        <f>'Проверочная  таблица'!JI24</f>
        <v>0</v>
      </c>
      <c r="AV22" s="75">
        <f>'Проверочная  таблица'!JL24+'Проверочная  таблица'!JR24</f>
        <v>0</v>
      </c>
      <c r="AW22" s="76">
        <f>'Проверочная  таблица'!JO24+'Проверочная  таблица'!JU24</f>
        <v>0</v>
      </c>
      <c r="AX22" s="76">
        <f>'Проверочная  таблица'!KJ24+'Проверочная  таблица'!KT24</f>
        <v>354339.63</v>
      </c>
      <c r="AY22" s="71">
        <f>'Проверочная  таблица'!KY24+'Проверочная  таблица'!KO24</f>
        <v>0</v>
      </c>
      <c r="AZ22" s="76">
        <f>'Проверочная  таблица'!KL24+'Проверочная  таблица'!KV24</f>
        <v>77443.520000000004</v>
      </c>
      <c r="BA22" s="71">
        <f>'Проверочная  таблица'!LA24+'Проверочная  таблица'!KQ24</f>
        <v>0</v>
      </c>
      <c r="BB22" s="75">
        <f>'Проверочная  таблица'!LQ24+'Проверочная  таблица'!LY24</f>
        <v>0</v>
      </c>
      <c r="BC22" s="71">
        <f>'Проверочная  таблица'!MC24+'Проверочная  таблица'!LU24</f>
        <v>0</v>
      </c>
      <c r="BD22" s="76">
        <f>'Проверочная  таблица'!MX24</f>
        <v>0</v>
      </c>
      <c r="BE22" s="71">
        <f>'Проверочная  таблица'!NF24</f>
        <v>0</v>
      </c>
      <c r="BF22" s="76">
        <f>'Проверочная  таблица'!MV24</f>
        <v>0</v>
      </c>
      <c r="BG22" s="71">
        <f>'Проверочная  таблица'!ND24</f>
        <v>0</v>
      </c>
      <c r="BH22" s="75">
        <f>'Проверочная  таблица'!NA24+'Проверочная  таблица'!NL24</f>
        <v>106061.95</v>
      </c>
      <c r="BI22" s="76">
        <f>'Проверочная  таблица'!NO24+'Проверочная  таблица'!NI24</f>
        <v>106061.95</v>
      </c>
      <c r="BJ22" s="71">
        <f>'Проверочная  таблица'!OD24</f>
        <v>0</v>
      </c>
      <c r="BK22" s="71">
        <f>'Проверочная  таблица'!OH24</f>
        <v>0</v>
      </c>
      <c r="BL22" s="75">
        <f>'Проверочная  таблица'!OL24+'Проверочная  таблица'!OT24</f>
        <v>9785831.3900000006</v>
      </c>
      <c r="BM22" s="76">
        <f>'Проверочная  таблица'!OP24+'Проверочная  таблица'!OX24</f>
        <v>0</v>
      </c>
      <c r="BN22" s="76">
        <f>'Проверочная  таблица'!QB24+'Проверочная  таблица'!PR24</f>
        <v>0</v>
      </c>
      <c r="BO22" s="71">
        <f>'Проверочная  таблица'!QE24+'Проверочная  таблица'!PW24</f>
        <v>0</v>
      </c>
      <c r="BP22" s="76"/>
      <c r="BQ22" s="71"/>
      <c r="BR22" s="75">
        <f>'Проверочная  таблица'!QT24</f>
        <v>0</v>
      </c>
      <c r="BS22" s="71">
        <f>'Проверочная  таблица'!QW24</f>
        <v>0</v>
      </c>
      <c r="BT22" s="75">
        <f>'Проверочная  таблица'!QZ24+'Проверочная  таблица'!RF24</f>
        <v>0</v>
      </c>
      <c r="BU22" s="71">
        <f>'Проверочная  таблица'!RC24+'Проверочная  таблица'!RI24</f>
        <v>0</v>
      </c>
      <c r="BV22" s="75">
        <f>'Проверочная  таблица'!RX24</f>
        <v>0</v>
      </c>
      <c r="BW22" s="76">
        <f>'Проверочная  таблица'!SA24</f>
        <v>0</v>
      </c>
      <c r="BX22" s="76">
        <f>'Проверочная  таблица'!SE24</f>
        <v>0</v>
      </c>
      <c r="BY22" s="71">
        <f>'Проверочная  таблица'!SI24</f>
        <v>0</v>
      </c>
      <c r="BZ22" s="75">
        <f>'Проверочная  таблица'!SL24</f>
        <v>0</v>
      </c>
      <c r="CA22" s="76">
        <f>'Проверочная  таблица'!SO24</f>
        <v>0</v>
      </c>
      <c r="CB22" s="76">
        <f>'Проверочная  таблица'!TF24+'Проверочная  таблица'!SR24</f>
        <v>0</v>
      </c>
      <c r="CC22" s="71">
        <f>'Проверочная  таблица'!TM24+'Проверочная  таблица'!SY24</f>
        <v>0</v>
      </c>
      <c r="CD22" s="75">
        <f>'Проверочная  таблица'!ST24+'Проверочная  таблица'!TH24</f>
        <v>0</v>
      </c>
      <c r="CE22" s="76">
        <f>'Проверочная  таблица'!TO24+'Проверочная  таблица'!TA24</f>
        <v>0</v>
      </c>
      <c r="CF22" s="76">
        <f>'Проверочная  таблица'!TJ24+'Проверочная  таблица'!SV24</f>
        <v>0</v>
      </c>
      <c r="CG22" s="71">
        <f>'Проверочная  таблица'!TQ24+'Проверочная  таблица'!TC24</f>
        <v>0</v>
      </c>
      <c r="CH22" s="76">
        <f t="shared" si="10"/>
        <v>7193626.96</v>
      </c>
      <c r="CI22" s="76">
        <f t="shared" si="10"/>
        <v>4869310.8900000006</v>
      </c>
      <c r="CJ22" s="71">
        <f>'Проверочная  таблица'!VN24+'Проверочная  таблица'!VL24</f>
        <v>1594500</v>
      </c>
      <c r="CK22" s="71">
        <f>'Проверочная  таблица'!VO24+'Проверочная  таблица'!VM24</f>
        <v>961065.50000000012</v>
      </c>
      <c r="CL22" s="77">
        <f>'Проверочная  таблица'!VP24</f>
        <v>0</v>
      </c>
      <c r="CM22" s="77">
        <f>'Проверочная  таблица'!VQ24</f>
        <v>0</v>
      </c>
      <c r="CN22" s="457">
        <f>'Проверочная  таблица'!VR24</f>
        <v>0</v>
      </c>
      <c r="CO22" s="458">
        <f>'Проверочная  таблица'!VS24</f>
        <v>0</v>
      </c>
      <c r="CP22" s="459">
        <f>'Проверочная  таблица'!VT24</f>
        <v>0</v>
      </c>
      <c r="CQ22" s="458">
        <f>'Проверочная  таблица'!VU24</f>
        <v>0</v>
      </c>
      <c r="CR22" s="459">
        <f>'Проверочная  таблица'!VV24</f>
        <v>0</v>
      </c>
      <c r="CS22" s="457">
        <f>'Проверочная  таблица'!VW24</f>
        <v>0</v>
      </c>
      <c r="CT22" s="76">
        <f>'Проверочная  таблица'!VZ24</f>
        <v>4819126.96</v>
      </c>
      <c r="CU22" s="76">
        <f>'Проверочная  таблица'!WC24</f>
        <v>3310244.52</v>
      </c>
      <c r="CV22" s="76">
        <f>'Проверочная  таблица'!WF24</f>
        <v>780000</v>
      </c>
      <c r="CW22" s="76">
        <f>'Проверочная  таблица'!WI24</f>
        <v>598000.87</v>
      </c>
      <c r="CX22" s="76">
        <f t="shared" si="11"/>
        <v>15683884.91</v>
      </c>
      <c r="CY22" s="71">
        <f t="shared" si="12"/>
        <v>13663712.17</v>
      </c>
      <c r="CZ22" s="75">
        <f>'Проверочная  таблица'!WN23</f>
        <v>0</v>
      </c>
      <c r="DA22" s="71">
        <f>'Проверочная  таблица'!WQ23</f>
        <v>0</v>
      </c>
      <c r="DB22" s="75">
        <f>'Проверочная  таблица'!WT24</f>
        <v>1700000</v>
      </c>
      <c r="DC22" s="71">
        <f>'Проверочная  таблица'!WW24</f>
        <v>0</v>
      </c>
      <c r="DD22" s="75">
        <f>'Проверочная  таблица'!WZ24</f>
        <v>1280690.9099999999</v>
      </c>
      <c r="DE22" s="71">
        <f>'Проверочная  таблица'!XC24</f>
        <v>960518.17</v>
      </c>
      <c r="DF22" s="75">
        <f>'Проверочная  таблица'!XF24</f>
        <v>12703194</v>
      </c>
      <c r="DG22" s="71">
        <f>'Проверочная  таблица'!XI24</f>
        <v>12703194</v>
      </c>
      <c r="DI22" s="452">
        <f t="shared" si="4"/>
        <v>5599.1269599999996</v>
      </c>
      <c r="DJ22" s="452">
        <f t="shared" si="5"/>
        <v>3908.2453900000005</v>
      </c>
    </row>
    <row r="23" spans="1:114" ht="25.5" customHeight="1" x14ac:dyDescent="0.25">
      <c r="A23" s="52" t="s">
        <v>329</v>
      </c>
      <c r="B23" s="453">
        <f t="shared" si="0"/>
        <v>562528322</v>
      </c>
      <c r="C23" s="454">
        <f t="shared" si="1"/>
        <v>197162968.79999998</v>
      </c>
      <c r="D23" s="1144">
        <f t="shared" si="6"/>
        <v>198119482.24000001</v>
      </c>
      <c r="E23" s="1145">
        <f t="shared" si="7"/>
        <v>0</v>
      </c>
      <c r="F23" s="441">
        <f>'Проверочная  таблица'!BL25+'Проверочная  таблица'!BN25</f>
        <v>0</v>
      </c>
      <c r="G23" s="442">
        <f>'Проверочная  таблица'!BM25+'Проверочная  таблица'!BO25</f>
        <v>0</v>
      </c>
      <c r="H23" s="442">
        <f>'Проверочная  таблица'!BU25</f>
        <v>198119482.24000001</v>
      </c>
      <c r="I23" s="443">
        <f>'Проверочная  таблица'!BX25</f>
        <v>0</v>
      </c>
      <c r="J23" s="442">
        <f>'Проверочная  таблица'!BV25</f>
        <v>0</v>
      </c>
      <c r="K23" s="443">
        <f>'Проверочная  таблица'!BY25</f>
        <v>0</v>
      </c>
      <c r="L23" s="75">
        <f t="shared" si="2"/>
        <v>364408839.75999999</v>
      </c>
      <c r="M23" s="76">
        <f t="shared" si="3"/>
        <v>197162968.79999998</v>
      </c>
      <c r="N23" s="69">
        <f t="shared" si="8"/>
        <v>308408636.44</v>
      </c>
      <c r="O23" s="69">
        <f t="shared" si="9"/>
        <v>151797059.72</v>
      </c>
      <c r="P23" s="76">
        <f>'Проверочная  таблица'!CP25</f>
        <v>0</v>
      </c>
      <c r="Q23" s="76">
        <f>'Проверочная  таблица'!CW25</f>
        <v>0</v>
      </c>
      <c r="R23" s="76">
        <f>'Проверочная  таблица'!CR25+'Проверочная  таблица'!DD25</f>
        <v>275500000</v>
      </c>
      <c r="S23" s="71">
        <f>'Проверочная  таблица'!CY25+'Проверочная  таблица'!DG25</f>
        <v>139960287.19</v>
      </c>
      <c r="T23" s="75">
        <f>'Проверочная  таблица'!CT25</f>
        <v>0</v>
      </c>
      <c r="U23" s="71">
        <f>'Проверочная  таблица'!DA25</f>
        <v>0</v>
      </c>
      <c r="V23" s="77">
        <f>'Проверочная  таблица'!DV25</f>
        <v>0</v>
      </c>
      <c r="W23" s="76">
        <f>'Проверочная  таблица'!DY25</f>
        <v>0</v>
      </c>
      <c r="X23" s="76">
        <f>'Проверочная  таблица'!EB25</f>
        <v>0</v>
      </c>
      <c r="Y23" s="71">
        <f>'Проверочная  таблица'!EE25</f>
        <v>0</v>
      </c>
      <c r="Z23" s="71">
        <f>'Проверочная  таблица'!EI25</f>
        <v>0</v>
      </c>
      <c r="AA23" s="71">
        <f>'Проверочная  таблица'!EM25</f>
        <v>0</v>
      </c>
      <c r="AB23" s="76">
        <f>'Проверочная  таблица'!EP25</f>
        <v>0</v>
      </c>
      <c r="AC23" s="71">
        <f>'Проверочная  таблица'!ES25</f>
        <v>0</v>
      </c>
      <c r="AD23" s="75">
        <f>'Проверочная  таблица'!EV25+'Проверочная  таблица'!FB25</f>
        <v>0</v>
      </c>
      <c r="AE23" s="76">
        <f>'Проверочная  таблица'!EY25+'Проверочная  таблица'!FE25</f>
        <v>0</v>
      </c>
      <c r="AF23" s="76">
        <f>'Проверочная  таблица'!FT25</f>
        <v>0</v>
      </c>
      <c r="AG23" s="76">
        <f>'Проверочная  таблица'!FW25</f>
        <v>0</v>
      </c>
      <c r="AH23" s="76">
        <f>'Проверочная  таблица'!FZ25+'Проверочная  таблица'!GF25</f>
        <v>0</v>
      </c>
      <c r="AI23" s="71">
        <f>'Проверочная  таблица'!GC25+'Проверочная  таблица'!GI25</f>
        <v>0</v>
      </c>
      <c r="AJ23" s="77">
        <f>'Проверочная  таблица'!GP25</f>
        <v>0</v>
      </c>
      <c r="AK23" s="76">
        <f>'Проверочная  таблица'!GT25</f>
        <v>0</v>
      </c>
      <c r="AL23" s="76">
        <f>'Проверочная  таблица'!HF25</f>
        <v>0</v>
      </c>
      <c r="AM23" s="76">
        <f>'Проверочная  таблица'!HI25</f>
        <v>0</v>
      </c>
      <c r="AN23" s="76">
        <f>'Проверочная  таблица'!HL25+'Проверочная  таблица'!HR25</f>
        <v>0</v>
      </c>
      <c r="AO23" s="76">
        <f>'Проверочная  таблица'!HO25+'Проверочная  таблица'!HU25</f>
        <v>0</v>
      </c>
      <c r="AP23" s="76">
        <f>'Проверочная  таблица'!IJ25+'Проверочная  таблица'!IP25</f>
        <v>0</v>
      </c>
      <c r="AQ23" s="71">
        <f>'Проверочная  таблица'!IM25+'Проверочная  таблица'!IS25</f>
        <v>0</v>
      </c>
      <c r="AR23" s="75">
        <f>'Проверочная  таблица'!IZ25</f>
        <v>0</v>
      </c>
      <c r="AS23" s="71">
        <f>'Проверочная  таблица'!JC25</f>
        <v>0</v>
      </c>
      <c r="AT23" s="75">
        <f>'Проверочная  таблица'!JF25</f>
        <v>0</v>
      </c>
      <c r="AU23" s="71">
        <f>'Проверочная  таблица'!JI25</f>
        <v>0</v>
      </c>
      <c r="AV23" s="75">
        <f>'Проверочная  таблица'!JL25+'Проверочная  таблица'!JR25</f>
        <v>0</v>
      </c>
      <c r="AW23" s="76">
        <f>'Проверочная  таблица'!JO25+'Проверочная  таблица'!JU25</f>
        <v>0</v>
      </c>
      <c r="AX23" s="76">
        <f>'Проверочная  таблица'!KJ25+'Проверочная  таблица'!KT25</f>
        <v>253019.27</v>
      </c>
      <c r="AY23" s="71">
        <f>'Проверочная  таблица'!KY25+'Проверочная  таблица'!KO25</f>
        <v>0</v>
      </c>
      <c r="AZ23" s="76">
        <f>'Проверочная  таблица'!KL25+'Проверочная  таблица'!KV25</f>
        <v>1517957.86</v>
      </c>
      <c r="BA23" s="71">
        <f>'Проверочная  таблица'!LA25+'Проверочная  таблица'!KQ25</f>
        <v>0</v>
      </c>
      <c r="BB23" s="75">
        <f>'Проверочная  таблица'!LQ25+'Проверочная  таблица'!LY25</f>
        <v>15412800</v>
      </c>
      <c r="BC23" s="71">
        <f>'Проверочная  таблица'!MC25+'Проверочная  таблица'!LU25</f>
        <v>10198974.310000001</v>
      </c>
      <c r="BD23" s="76">
        <f>'Проверочная  таблица'!MX25</f>
        <v>0</v>
      </c>
      <c r="BE23" s="71">
        <f>'Проверочная  таблица'!NF25</f>
        <v>0</v>
      </c>
      <c r="BF23" s="76">
        <f>'Проверочная  таблица'!MV25</f>
        <v>0</v>
      </c>
      <c r="BG23" s="71">
        <f>'Проверочная  таблица'!ND25</f>
        <v>0</v>
      </c>
      <c r="BH23" s="75">
        <f>'Проверочная  таблица'!NA25+'Проверочная  таблица'!NL25</f>
        <v>104303.47</v>
      </c>
      <c r="BI23" s="76">
        <f>'Проверочная  таблица'!NO25+'Проверочная  таблица'!NI25</f>
        <v>104303.47</v>
      </c>
      <c r="BJ23" s="71">
        <f>'Проверочная  таблица'!OD25</f>
        <v>0</v>
      </c>
      <c r="BK23" s="71">
        <f>'Проверочная  таблица'!OH25</f>
        <v>0</v>
      </c>
      <c r="BL23" s="75">
        <f>'Проверочная  таблица'!OL25+'Проверочная  таблица'!OT25</f>
        <v>14087061.09</v>
      </c>
      <c r="BM23" s="76">
        <f>'Проверочная  таблица'!OP25+'Проверочная  таблица'!OX25</f>
        <v>0</v>
      </c>
      <c r="BN23" s="76">
        <f>'Проверочная  таблица'!QB25+'Проверочная  таблица'!PR25</f>
        <v>1533494.75</v>
      </c>
      <c r="BO23" s="71">
        <f>'Проверочная  таблица'!QE25+'Проверочная  таблица'!PW25</f>
        <v>1533494.75</v>
      </c>
      <c r="BP23" s="76"/>
      <c r="BQ23" s="71"/>
      <c r="BR23" s="75">
        <f>'Проверочная  таблица'!QT25</f>
        <v>0</v>
      </c>
      <c r="BS23" s="71">
        <f>'Проверочная  таблица'!QW25</f>
        <v>0</v>
      </c>
      <c r="BT23" s="75">
        <f>'Проверочная  таблица'!QZ25+'Проверочная  таблица'!RF25</f>
        <v>0</v>
      </c>
      <c r="BU23" s="71">
        <f>'Проверочная  таблица'!RC25+'Проверочная  таблица'!RI25</f>
        <v>0</v>
      </c>
      <c r="BV23" s="75">
        <f>'Проверочная  таблица'!RX25</f>
        <v>0</v>
      </c>
      <c r="BW23" s="76">
        <f>'Проверочная  таблица'!SA25</f>
        <v>0</v>
      </c>
      <c r="BX23" s="76">
        <f>'Проверочная  таблица'!SE25</f>
        <v>0</v>
      </c>
      <c r="BY23" s="71">
        <f>'Проверочная  таблица'!SI25</f>
        <v>0</v>
      </c>
      <c r="BZ23" s="75">
        <f>'Проверочная  таблица'!SL25</f>
        <v>0</v>
      </c>
      <c r="CA23" s="76">
        <f>'Проверочная  таблица'!SO25</f>
        <v>0</v>
      </c>
      <c r="CB23" s="76">
        <f>'Проверочная  таблица'!TF25+'Проверочная  таблица'!SR25</f>
        <v>0</v>
      </c>
      <c r="CC23" s="71">
        <f>'Проверочная  таблица'!TM25+'Проверочная  таблица'!SY25</f>
        <v>0</v>
      </c>
      <c r="CD23" s="75">
        <f>'Проверочная  таблица'!ST25+'Проверочная  таблица'!TH25</f>
        <v>0</v>
      </c>
      <c r="CE23" s="76">
        <f>'Проверочная  таблица'!TO25+'Проверочная  таблица'!TA25</f>
        <v>0</v>
      </c>
      <c r="CF23" s="76">
        <f>'Проверочная  таблица'!TJ25+'Проверочная  таблица'!SV25</f>
        <v>0</v>
      </c>
      <c r="CG23" s="71">
        <f>'Проверочная  таблица'!TQ25+'Проверочная  таблица'!TC25</f>
        <v>0</v>
      </c>
      <c r="CH23" s="76">
        <f t="shared" si="10"/>
        <v>25428749.140000001</v>
      </c>
      <c r="CI23" s="76">
        <f t="shared" si="10"/>
        <v>17894394.109999999</v>
      </c>
      <c r="CJ23" s="71">
        <f>'Проверочная  таблица'!VN25+'Проверочная  таблица'!VL25</f>
        <v>4907000</v>
      </c>
      <c r="CK23" s="71">
        <f>'Проверочная  таблица'!VO25+'Проверочная  таблица'!VM25</f>
        <v>2746903.5100000002</v>
      </c>
      <c r="CL23" s="77">
        <f>'Проверочная  таблица'!VP25</f>
        <v>0</v>
      </c>
      <c r="CM23" s="77">
        <f>'Проверочная  таблица'!VQ25</f>
        <v>0</v>
      </c>
      <c r="CN23" s="457">
        <f>'Проверочная  таблица'!VR25</f>
        <v>0</v>
      </c>
      <c r="CO23" s="458">
        <f>'Проверочная  таблица'!VS25</f>
        <v>0</v>
      </c>
      <c r="CP23" s="459">
        <f>'Проверочная  таблица'!VT25</f>
        <v>0</v>
      </c>
      <c r="CQ23" s="458">
        <f>'Проверочная  таблица'!VU25</f>
        <v>0</v>
      </c>
      <c r="CR23" s="459">
        <f>'Проверочная  таблица'!VV25</f>
        <v>0</v>
      </c>
      <c r="CS23" s="457">
        <f>'Проверочная  таблица'!VW25</f>
        <v>0</v>
      </c>
      <c r="CT23" s="76">
        <f>'Проверочная  таблица'!VZ25</f>
        <v>19616749.140000001</v>
      </c>
      <c r="CU23" s="76">
        <f>'Проверочная  таблица'!WC25</f>
        <v>14350122.5</v>
      </c>
      <c r="CV23" s="76">
        <f>'Проверочная  таблица'!WF25</f>
        <v>905000</v>
      </c>
      <c r="CW23" s="76">
        <f>'Проверочная  таблица'!WI25</f>
        <v>797368.1</v>
      </c>
      <c r="CX23" s="76">
        <f t="shared" si="11"/>
        <v>30571454.18</v>
      </c>
      <c r="CY23" s="71">
        <f t="shared" si="12"/>
        <v>27471514.969999999</v>
      </c>
      <c r="CZ23" s="75">
        <f>'Проверочная  таблица'!WN24</f>
        <v>0</v>
      </c>
      <c r="DA23" s="71">
        <f>'Проверочная  таблица'!WQ24</f>
        <v>0</v>
      </c>
      <c r="DB23" s="75">
        <f>'Проверочная  таблица'!WT25</f>
        <v>0</v>
      </c>
      <c r="DC23" s="71">
        <f>'Проверочная  таблица'!WW25</f>
        <v>0</v>
      </c>
      <c r="DD23" s="75">
        <f>'Проверочная  таблица'!WZ25</f>
        <v>3073658.1799999997</v>
      </c>
      <c r="DE23" s="71">
        <f>'Проверочная  таблица'!XC25</f>
        <v>2116107.66</v>
      </c>
      <c r="DF23" s="75">
        <f>'Проверочная  таблица'!XF25</f>
        <v>27497796</v>
      </c>
      <c r="DG23" s="71">
        <f>'Проверочная  таблица'!XI25</f>
        <v>25355407.309999999</v>
      </c>
      <c r="DI23" s="452">
        <f t="shared" si="4"/>
        <v>20521.74914</v>
      </c>
      <c r="DJ23" s="452">
        <f t="shared" si="5"/>
        <v>15147.490599999999</v>
      </c>
    </row>
    <row r="24" spans="1:114" ht="25.5" customHeight="1" x14ac:dyDescent="0.25">
      <c r="A24" s="463" t="s">
        <v>330</v>
      </c>
      <c r="B24" s="461">
        <f t="shared" si="0"/>
        <v>55510577.269999996</v>
      </c>
      <c r="C24" s="462">
        <f t="shared" si="1"/>
        <v>16488073.959999999</v>
      </c>
      <c r="D24" s="1144">
        <f t="shared" si="6"/>
        <v>32377641.370000001</v>
      </c>
      <c r="E24" s="1145">
        <f t="shared" si="7"/>
        <v>0</v>
      </c>
      <c r="F24" s="441">
        <f>'Проверочная  таблица'!BL15+'Проверочная  таблица'!BN15</f>
        <v>0</v>
      </c>
      <c r="G24" s="442">
        <f>'Проверочная  таблица'!BM15+'Проверочная  таблица'!BO15</f>
        <v>0</v>
      </c>
      <c r="H24" s="442">
        <f>'Проверочная  таблица'!BU15</f>
        <v>32377641.370000001</v>
      </c>
      <c r="I24" s="443">
        <f>'Проверочная  таблица'!BX15</f>
        <v>0</v>
      </c>
      <c r="J24" s="442">
        <f>'Проверочная  таблица'!BV15</f>
        <v>0</v>
      </c>
      <c r="K24" s="443">
        <f>'Проверочная  таблица'!BY15</f>
        <v>0</v>
      </c>
      <c r="L24" s="75">
        <f t="shared" si="2"/>
        <v>23132935.899999999</v>
      </c>
      <c r="M24" s="76">
        <f t="shared" si="3"/>
        <v>16488073.959999999</v>
      </c>
      <c r="N24" s="69">
        <f t="shared" si="8"/>
        <v>1037915.08</v>
      </c>
      <c r="O24" s="69">
        <f t="shared" si="9"/>
        <v>140354.71</v>
      </c>
      <c r="P24" s="76">
        <f>'Проверочная  таблица'!CP15</f>
        <v>0</v>
      </c>
      <c r="Q24" s="76">
        <f>'Проверочная  таблица'!CW15</f>
        <v>0</v>
      </c>
      <c r="R24" s="76">
        <f>'Проверочная  таблица'!CR15+'Проверочная  таблица'!DD15</f>
        <v>0</v>
      </c>
      <c r="S24" s="71">
        <f>'Проверочная  таблица'!CY15+'Проверочная  таблица'!DG15</f>
        <v>0</v>
      </c>
      <c r="T24" s="75">
        <f>'Проверочная  таблица'!CT15</f>
        <v>0</v>
      </c>
      <c r="U24" s="71">
        <f>'Проверочная  таблица'!DA15</f>
        <v>0</v>
      </c>
      <c r="V24" s="77">
        <f>'Проверочная  таблица'!DV15</f>
        <v>0</v>
      </c>
      <c r="W24" s="76">
        <f>'Проверочная  таблица'!DY15</f>
        <v>0</v>
      </c>
      <c r="X24" s="76">
        <f>'Проверочная  таблица'!EB15</f>
        <v>0</v>
      </c>
      <c r="Y24" s="71">
        <f>'Проверочная  таблица'!EE15</f>
        <v>0</v>
      </c>
      <c r="Z24" s="71">
        <f>'Проверочная  таблица'!EI15</f>
        <v>0</v>
      </c>
      <c r="AA24" s="71">
        <f>'Проверочная  таблица'!EM15</f>
        <v>0</v>
      </c>
      <c r="AB24" s="76">
        <f>'Проверочная  таблица'!EP15</f>
        <v>0</v>
      </c>
      <c r="AC24" s="71">
        <f>'Проверочная  таблица'!ES15</f>
        <v>0</v>
      </c>
      <c r="AD24" s="75">
        <f>'Проверочная  таблица'!EV15+'Проверочная  таблица'!FB15</f>
        <v>0</v>
      </c>
      <c r="AE24" s="76">
        <f>'Проверочная  таблица'!EY15+'Проверочная  таблица'!FE15</f>
        <v>0</v>
      </c>
      <c r="AF24" s="76">
        <f>'Проверочная  таблица'!FT15</f>
        <v>0</v>
      </c>
      <c r="AG24" s="76">
        <f>'Проверочная  таблица'!FW15</f>
        <v>0</v>
      </c>
      <c r="AH24" s="76">
        <f>'Проверочная  таблица'!FZ15+'Проверочная  таблица'!GF15</f>
        <v>0</v>
      </c>
      <c r="AI24" s="71">
        <f>'Проверочная  таблица'!GC15+'Проверочная  таблица'!GI15</f>
        <v>0</v>
      </c>
      <c r="AJ24" s="77">
        <f>'Проверочная  таблица'!GP15</f>
        <v>0</v>
      </c>
      <c r="AK24" s="76">
        <f>'Проверочная  таблица'!GT15</f>
        <v>0</v>
      </c>
      <c r="AL24" s="76">
        <f>'Проверочная  таблица'!HF15</f>
        <v>0</v>
      </c>
      <c r="AM24" s="76">
        <f>'Проверочная  таблица'!HI15</f>
        <v>0</v>
      </c>
      <c r="AN24" s="76">
        <f>'Проверочная  таблица'!HL15+'Проверочная  таблица'!HR15</f>
        <v>0</v>
      </c>
      <c r="AO24" s="76">
        <f>'Проверочная  таблица'!HO15+'Проверочная  таблица'!HU15</f>
        <v>0</v>
      </c>
      <c r="AP24" s="76">
        <f>'Проверочная  таблица'!IJ15+'Проверочная  таблица'!IP15</f>
        <v>0</v>
      </c>
      <c r="AQ24" s="71">
        <f>'Проверочная  таблица'!IM15+'Проверочная  таблица'!IS15</f>
        <v>0</v>
      </c>
      <c r="AR24" s="75">
        <f>'Проверочная  таблица'!IZ15</f>
        <v>0</v>
      </c>
      <c r="AS24" s="71">
        <f>'Проверочная  таблица'!JC15</f>
        <v>0</v>
      </c>
      <c r="AT24" s="75">
        <f>'Проверочная  таблица'!JF15</f>
        <v>0</v>
      </c>
      <c r="AU24" s="71">
        <f>'Проверочная  таблица'!JI15</f>
        <v>0</v>
      </c>
      <c r="AV24" s="75">
        <f>'Проверочная  таблица'!JL15+'Проверочная  таблица'!JR15</f>
        <v>0</v>
      </c>
      <c r="AW24" s="76">
        <f>'Проверочная  таблица'!JO15+'Проверочная  таблица'!JU15</f>
        <v>0</v>
      </c>
      <c r="AX24" s="76">
        <f>'Проверочная  таблица'!KJ15+'Проверочная  таблица'!KT15</f>
        <v>876551.08</v>
      </c>
      <c r="AY24" s="71">
        <f>'Проверочная  таблица'!KY15+'Проверочная  таблица'!KO15</f>
        <v>0</v>
      </c>
      <c r="AZ24" s="76">
        <f>'Проверочная  таблица'!KL15+'Проверочная  таблица'!KV15</f>
        <v>21009.29</v>
      </c>
      <c r="BA24" s="71">
        <f>'Проверочная  таблица'!LA15+'Проверочная  таблица'!KQ15</f>
        <v>0</v>
      </c>
      <c r="BB24" s="75">
        <f>'Проверочная  таблица'!LQ15+'Проверочная  таблица'!LY15</f>
        <v>0</v>
      </c>
      <c r="BC24" s="71">
        <f>'Проверочная  таблица'!MC15+'Проверочная  таблица'!LU15</f>
        <v>0</v>
      </c>
      <c r="BD24" s="76">
        <f>'Проверочная  таблица'!MX15</f>
        <v>0</v>
      </c>
      <c r="BE24" s="71">
        <f>'Проверочная  таблица'!NF15</f>
        <v>0</v>
      </c>
      <c r="BF24" s="76">
        <f>'Проверочная  таблица'!MV15</f>
        <v>0</v>
      </c>
      <c r="BG24" s="71">
        <f>'Проверочная  таблица'!ND15</f>
        <v>0</v>
      </c>
      <c r="BH24" s="75">
        <f>'Проверочная  таблица'!NA15+'Проверочная  таблица'!NL15</f>
        <v>140354.71</v>
      </c>
      <c r="BI24" s="76">
        <f>'Проверочная  таблица'!NO15+'Проверочная  таблица'!NI15</f>
        <v>140354.71</v>
      </c>
      <c r="BJ24" s="71">
        <f>'Проверочная  таблица'!OD15</f>
        <v>0</v>
      </c>
      <c r="BK24" s="71">
        <f>'Проверочная  таблица'!OH15</f>
        <v>0</v>
      </c>
      <c r="BL24" s="75">
        <f>'Проверочная  таблица'!OL15+'Проверочная  таблица'!OT15</f>
        <v>0</v>
      </c>
      <c r="BM24" s="76">
        <f>'Проверочная  таблица'!OP15+'Проверочная  таблица'!OX15</f>
        <v>0</v>
      </c>
      <c r="BN24" s="76">
        <f>'Проверочная  таблица'!QB15+'Проверочная  таблица'!PR15</f>
        <v>0</v>
      </c>
      <c r="BO24" s="71">
        <f>'Проверочная  таблица'!QE15+'Проверочная  таблица'!PW15</f>
        <v>0</v>
      </c>
      <c r="BP24" s="76"/>
      <c r="BQ24" s="71"/>
      <c r="BR24" s="75">
        <f>'Проверочная  таблица'!QT15</f>
        <v>0</v>
      </c>
      <c r="BS24" s="71">
        <f>'Проверочная  таблица'!QW15</f>
        <v>0</v>
      </c>
      <c r="BT24" s="75">
        <f>'Проверочная  таблица'!QZ15+'Проверочная  таблица'!RF15</f>
        <v>0</v>
      </c>
      <c r="BU24" s="71">
        <f>'Проверочная  таблица'!RC15+'Проверочная  таблица'!RI15</f>
        <v>0</v>
      </c>
      <c r="BV24" s="75">
        <f>'Проверочная  таблица'!RX15</f>
        <v>0</v>
      </c>
      <c r="BW24" s="76">
        <f>'Проверочная  таблица'!SA15</f>
        <v>0</v>
      </c>
      <c r="BX24" s="76">
        <f>'Проверочная  таблица'!SE15</f>
        <v>0</v>
      </c>
      <c r="BY24" s="71">
        <f>'Проверочная  таблица'!SI15</f>
        <v>0</v>
      </c>
      <c r="BZ24" s="75">
        <f>'Проверочная  таблица'!SL15</f>
        <v>0</v>
      </c>
      <c r="CA24" s="76">
        <f>'Проверочная  таблица'!SO15</f>
        <v>0</v>
      </c>
      <c r="CB24" s="76">
        <f>'Проверочная  таблица'!TF15+'Проверочная  таблица'!SR15</f>
        <v>0</v>
      </c>
      <c r="CC24" s="71">
        <f>'Проверочная  таблица'!TM15+'Проверочная  таблица'!SY15</f>
        <v>0</v>
      </c>
      <c r="CD24" s="75">
        <f>'Проверочная  таблица'!ST15+'Проверочная  таблица'!TH15</f>
        <v>0</v>
      </c>
      <c r="CE24" s="76">
        <f>'Проверочная  таблица'!TO15+'Проверочная  таблица'!TA15</f>
        <v>0</v>
      </c>
      <c r="CF24" s="76">
        <f>'Проверочная  таблица'!TJ15+'Проверочная  таблица'!SV15</f>
        <v>0</v>
      </c>
      <c r="CG24" s="71">
        <f>'Проверочная  таблица'!TQ15+'Проверочная  таблица'!TC15</f>
        <v>0</v>
      </c>
      <c r="CH24" s="76">
        <f t="shared" si="10"/>
        <v>8311369.9100000001</v>
      </c>
      <c r="CI24" s="76">
        <f t="shared" si="10"/>
        <v>3112196.72</v>
      </c>
      <c r="CJ24" s="71">
        <f>'Проверочная  таблица'!VN15+'Проверочная  таблица'!VL15</f>
        <v>2348100</v>
      </c>
      <c r="CK24" s="71">
        <f>'Проверочная  таблица'!VO15+'Проверочная  таблица'!VM15</f>
        <v>94937.04</v>
      </c>
      <c r="CL24" s="77">
        <f>'Проверочная  таблица'!VP15</f>
        <v>0</v>
      </c>
      <c r="CM24" s="77">
        <f>'Проверочная  таблица'!VQ15</f>
        <v>0</v>
      </c>
      <c r="CN24" s="457">
        <f>'Проверочная  таблица'!VR15</f>
        <v>0</v>
      </c>
      <c r="CO24" s="458">
        <f>'Проверочная  таблица'!VS15</f>
        <v>0</v>
      </c>
      <c r="CP24" s="459">
        <f>'Проверочная  таблица'!VT15</f>
        <v>0</v>
      </c>
      <c r="CQ24" s="458">
        <f>'Проверочная  таблица'!VU15</f>
        <v>0</v>
      </c>
      <c r="CR24" s="459">
        <f>'Проверочная  таблица'!VV15</f>
        <v>0</v>
      </c>
      <c r="CS24" s="457">
        <f>'Проверочная  таблица'!VW15</f>
        <v>0</v>
      </c>
      <c r="CT24" s="76">
        <f>'Проверочная  таблица'!VZ15</f>
        <v>5138269.91</v>
      </c>
      <c r="CU24" s="76">
        <f>'Проверочная  таблица'!WC15</f>
        <v>2381032</v>
      </c>
      <c r="CV24" s="76">
        <f>'Проверочная  таблица'!WF15</f>
        <v>825000</v>
      </c>
      <c r="CW24" s="76">
        <f>'Проверочная  таблица'!WI15</f>
        <v>636227.68000000005</v>
      </c>
      <c r="CX24" s="76">
        <f t="shared" si="11"/>
        <v>13783650.91</v>
      </c>
      <c r="CY24" s="71">
        <f t="shared" si="12"/>
        <v>13235522.529999999</v>
      </c>
      <c r="CZ24" s="75">
        <f>'Проверочная  таблица'!WN25</f>
        <v>0</v>
      </c>
      <c r="DA24" s="71">
        <f>'Проверочная  таблица'!WQ25</f>
        <v>0</v>
      </c>
      <c r="DB24" s="75">
        <f>'Проверочная  таблица'!WT15</f>
        <v>0</v>
      </c>
      <c r="DC24" s="71">
        <f>'Проверочная  таблица'!WW15</f>
        <v>0</v>
      </c>
      <c r="DD24" s="75">
        <f>'Проверочная  таблица'!WZ15</f>
        <v>1280690.9099999999</v>
      </c>
      <c r="DE24" s="71">
        <f>'Проверочная  таблица'!XC15</f>
        <v>880772.34</v>
      </c>
      <c r="DF24" s="75">
        <f>'Проверочная  таблица'!XF15</f>
        <v>12502960</v>
      </c>
      <c r="DG24" s="71">
        <f>'Проверочная  таблица'!XI15</f>
        <v>12354750.189999999</v>
      </c>
      <c r="DI24" s="452">
        <f t="shared" si="4"/>
        <v>5963.26991</v>
      </c>
      <c r="DJ24" s="452">
        <f t="shared" si="5"/>
        <v>3017.2596800000001</v>
      </c>
    </row>
    <row r="25" spans="1:114" ht="25.5" customHeight="1" x14ac:dyDescent="0.25">
      <c r="A25" s="52" t="s">
        <v>331</v>
      </c>
      <c r="B25" s="453">
        <f t="shared" si="0"/>
        <v>56309306.350000001</v>
      </c>
      <c r="C25" s="454">
        <f t="shared" si="1"/>
        <v>23814109.030000001</v>
      </c>
      <c r="D25" s="1144">
        <f t="shared" si="6"/>
        <v>20694920.82</v>
      </c>
      <c r="E25" s="1145">
        <f t="shared" si="7"/>
        <v>0</v>
      </c>
      <c r="F25" s="441">
        <f>'Проверочная  таблица'!BL26+'Проверочная  таблица'!BN26</f>
        <v>0</v>
      </c>
      <c r="G25" s="442">
        <f>'Проверочная  таблица'!BM26+'Проверочная  таблица'!BO26</f>
        <v>0</v>
      </c>
      <c r="H25" s="442">
        <f>'Проверочная  таблица'!BU26</f>
        <v>20694920.82</v>
      </c>
      <c r="I25" s="443">
        <f>'Проверочная  таблица'!BX26</f>
        <v>0</v>
      </c>
      <c r="J25" s="442">
        <f>'Проверочная  таблица'!BV26</f>
        <v>0</v>
      </c>
      <c r="K25" s="443">
        <f>'Проверочная  таблица'!BY26</f>
        <v>0</v>
      </c>
      <c r="L25" s="75">
        <f t="shared" si="2"/>
        <v>35614385.530000001</v>
      </c>
      <c r="M25" s="76">
        <f t="shared" si="3"/>
        <v>23814109.030000001</v>
      </c>
      <c r="N25" s="69">
        <f t="shared" si="8"/>
        <v>7215885.3600000003</v>
      </c>
      <c r="O25" s="69">
        <f t="shared" si="9"/>
        <v>1592959.3699999999</v>
      </c>
      <c r="P25" s="76">
        <f>'Проверочная  таблица'!CP26</f>
        <v>0</v>
      </c>
      <c r="Q25" s="76">
        <f>'Проверочная  таблица'!CW26</f>
        <v>0</v>
      </c>
      <c r="R25" s="76">
        <f>'Проверочная  таблица'!CR26+'Проверочная  таблица'!DD26</f>
        <v>0</v>
      </c>
      <c r="S25" s="71">
        <f>'Проверочная  таблица'!CY26+'Проверочная  таблица'!DG26</f>
        <v>0</v>
      </c>
      <c r="T25" s="75">
        <f>'Проверочная  таблица'!CT26</f>
        <v>0</v>
      </c>
      <c r="U25" s="71">
        <f>'Проверочная  таблица'!DA26</f>
        <v>0</v>
      </c>
      <c r="V25" s="77">
        <f>'Проверочная  таблица'!DV26</f>
        <v>0</v>
      </c>
      <c r="W25" s="76">
        <f>'Проверочная  таблица'!DY26</f>
        <v>0</v>
      </c>
      <c r="X25" s="76">
        <f>'Проверочная  таблица'!EB26</f>
        <v>0</v>
      </c>
      <c r="Y25" s="71">
        <f>'Проверочная  таблица'!EE26</f>
        <v>0</v>
      </c>
      <c r="Z25" s="71">
        <f>'Проверочная  таблица'!EI26</f>
        <v>0</v>
      </c>
      <c r="AA25" s="71">
        <f>'Проверочная  таблица'!EM26</f>
        <v>0</v>
      </c>
      <c r="AB25" s="76">
        <f>'Проверочная  таблица'!EP26</f>
        <v>0</v>
      </c>
      <c r="AC25" s="71">
        <f>'Проверочная  таблица'!ES26</f>
        <v>0</v>
      </c>
      <c r="AD25" s="75">
        <f>'Проверочная  таблица'!EV26+'Проверочная  таблица'!FB26</f>
        <v>1762206.4</v>
      </c>
      <c r="AE25" s="76">
        <f>'Проверочная  таблица'!EY26+'Проверочная  таблица'!FE26</f>
        <v>1441964.2699999998</v>
      </c>
      <c r="AF25" s="76">
        <f>'Проверочная  таблица'!FT26</f>
        <v>0</v>
      </c>
      <c r="AG25" s="76">
        <f>'Проверочная  таблица'!FW26</f>
        <v>0</v>
      </c>
      <c r="AH25" s="76">
        <f>'Проверочная  таблица'!FZ26+'Проверочная  таблица'!GF26</f>
        <v>0</v>
      </c>
      <c r="AI25" s="71">
        <f>'Проверочная  таблица'!GC26+'Проверочная  таблица'!GI26</f>
        <v>0</v>
      </c>
      <c r="AJ25" s="77">
        <f>'Проверочная  таблица'!GP26</f>
        <v>0</v>
      </c>
      <c r="AK25" s="76">
        <f>'Проверочная  таблица'!GT26</f>
        <v>0</v>
      </c>
      <c r="AL25" s="76">
        <f>'Проверочная  таблица'!HF26</f>
        <v>0</v>
      </c>
      <c r="AM25" s="76">
        <f>'Проверочная  таблица'!HI26</f>
        <v>0</v>
      </c>
      <c r="AN25" s="76">
        <f>'Проверочная  таблица'!HL26+'Проверочная  таблица'!HR26</f>
        <v>0</v>
      </c>
      <c r="AO25" s="76">
        <f>'Проверочная  таблица'!HO26+'Проверочная  таблица'!HU26</f>
        <v>0</v>
      </c>
      <c r="AP25" s="76">
        <f>'Проверочная  таблица'!IJ26+'Проверочная  таблица'!IP26</f>
        <v>0</v>
      </c>
      <c r="AQ25" s="71">
        <f>'Проверочная  таблица'!IM26+'Проверочная  таблица'!IS26</f>
        <v>0</v>
      </c>
      <c r="AR25" s="75">
        <f>'Проверочная  таблица'!IZ26</f>
        <v>0</v>
      </c>
      <c r="AS25" s="71">
        <f>'Проверочная  таблица'!JC26</f>
        <v>0</v>
      </c>
      <c r="AT25" s="75">
        <f>'Проверочная  таблица'!JF26</f>
        <v>0</v>
      </c>
      <c r="AU25" s="71">
        <f>'Проверочная  таблица'!JI26</f>
        <v>0</v>
      </c>
      <c r="AV25" s="75">
        <f>'Проверочная  таблица'!JL26+'Проверочная  таблица'!JR26</f>
        <v>0</v>
      </c>
      <c r="AW25" s="76">
        <f>'Проверочная  таблица'!JO26+'Проверочная  таблица'!JU26</f>
        <v>0</v>
      </c>
      <c r="AX25" s="76">
        <f>'Проверочная  таблица'!KJ26+'Проверочная  таблица'!KT26</f>
        <v>211295.67</v>
      </c>
      <c r="AY25" s="71">
        <f>'Проверочная  таблица'!KY26+'Проверочная  таблица'!KO26</f>
        <v>0</v>
      </c>
      <c r="AZ25" s="76">
        <f>'Проверочная  таблица'!KL26+'Проверочная  таблица'!KV26</f>
        <v>91388.19</v>
      </c>
      <c r="BA25" s="71">
        <f>'Проверочная  таблица'!LA26+'Проверочная  таблица'!KQ26</f>
        <v>0</v>
      </c>
      <c r="BB25" s="75">
        <f>'Проверочная  таблица'!LQ26+'Проверочная  таблица'!LY26</f>
        <v>0</v>
      </c>
      <c r="BC25" s="71">
        <f>'Проверочная  таблица'!MC26+'Проверочная  таблица'!LU26</f>
        <v>0</v>
      </c>
      <c r="BD25" s="76">
        <f>'Проверочная  таблица'!MX26</f>
        <v>0</v>
      </c>
      <c r="BE25" s="71">
        <f>'Проверочная  таблица'!NF26</f>
        <v>0</v>
      </c>
      <c r="BF25" s="76">
        <f>'Проверочная  таблица'!MV26</f>
        <v>0</v>
      </c>
      <c r="BG25" s="71">
        <f>'Проверочная  таблица'!ND26</f>
        <v>0</v>
      </c>
      <c r="BH25" s="75">
        <f>'Проверочная  таблица'!NA26+'Проверочная  таблица'!NL26</f>
        <v>150995.1</v>
      </c>
      <c r="BI25" s="76">
        <f>'Проверочная  таблица'!NO26+'Проверочная  таблица'!NI26</f>
        <v>150995.1</v>
      </c>
      <c r="BJ25" s="71">
        <f>'Проверочная  таблица'!OD26</f>
        <v>0</v>
      </c>
      <c r="BK25" s="71">
        <f>'Проверочная  таблица'!OH26</f>
        <v>0</v>
      </c>
      <c r="BL25" s="75">
        <f>'Проверочная  таблица'!OL26+'Проверочная  таблица'!OT26</f>
        <v>5000000</v>
      </c>
      <c r="BM25" s="76">
        <f>'Проверочная  таблица'!OP26+'Проверочная  таблица'!OX26</f>
        <v>0</v>
      </c>
      <c r="BN25" s="76">
        <f>'Проверочная  таблица'!QB26+'Проверочная  таблица'!PR26</f>
        <v>0</v>
      </c>
      <c r="BO25" s="71">
        <f>'Проверочная  таблица'!QE26+'Проверочная  таблица'!PW26</f>
        <v>0</v>
      </c>
      <c r="BP25" s="76"/>
      <c r="BQ25" s="71"/>
      <c r="BR25" s="75">
        <f>'Проверочная  таблица'!QT26</f>
        <v>0</v>
      </c>
      <c r="BS25" s="71">
        <f>'Проверочная  таблица'!QW26</f>
        <v>0</v>
      </c>
      <c r="BT25" s="75">
        <f>'Проверочная  таблица'!QZ26+'Проверочная  таблица'!RF26</f>
        <v>0</v>
      </c>
      <c r="BU25" s="71">
        <f>'Проверочная  таблица'!RC26+'Проверочная  таблица'!RI26</f>
        <v>0</v>
      </c>
      <c r="BV25" s="75">
        <f>'Проверочная  таблица'!RX26</f>
        <v>0</v>
      </c>
      <c r="BW25" s="76">
        <f>'Проверочная  таблица'!SA26</f>
        <v>0</v>
      </c>
      <c r="BX25" s="76">
        <f>'Проверочная  таблица'!SE26</f>
        <v>0</v>
      </c>
      <c r="BY25" s="71">
        <f>'Проверочная  таблица'!SI26</f>
        <v>0</v>
      </c>
      <c r="BZ25" s="75">
        <f>'Проверочная  таблица'!SL26</f>
        <v>0</v>
      </c>
      <c r="CA25" s="76">
        <f>'Проверочная  таблица'!SO26</f>
        <v>0</v>
      </c>
      <c r="CB25" s="76">
        <f>'Проверочная  таблица'!TF26+'Проверочная  таблица'!SR26</f>
        <v>0</v>
      </c>
      <c r="CC25" s="71">
        <f>'Проверочная  таблица'!TM26+'Проверочная  таблица'!SY26</f>
        <v>0</v>
      </c>
      <c r="CD25" s="75">
        <f>'Проверочная  таблица'!ST26+'Проверочная  таблица'!TH26</f>
        <v>0</v>
      </c>
      <c r="CE25" s="76">
        <f>'Проверочная  таблица'!TO26+'Проверочная  таблица'!TA26</f>
        <v>0</v>
      </c>
      <c r="CF25" s="76">
        <f>'Проверочная  таблица'!TJ26+'Проверочная  таблица'!SV26</f>
        <v>0</v>
      </c>
      <c r="CG25" s="71">
        <f>'Проверочная  таблица'!TQ26+'Проверочная  таблица'!TC26</f>
        <v>0</v>
      </c>
      <c r="CH25" s="76">
        <f t="shared" si="10"/>
        <v>9858884.5300000012</v>
      </c>
      <c r="CI25" s="76">
        <f t="shared" si="10"/>
        <v>6084366.5999999996</v>
      </c>
      <c r="CJ25" s="71">
        <f>'Проверочная  таблица'!VN26+'Проверочная  таблица'!VL26</f>
        <v>2118700</v>
      </c>
      <c r="CK25" s="71">
        <f>'Проверочная  таблица'!VO26+'Проверочная  таблица'!VM26</f>
        <v>1423209.6099999999</v>
      </c>
      <c r="CL25" s="77">
        <f>'Проверочная  таблица'!VP26</f>
        <v>0</v>
      </c>
      <c r="CM25" s="77">
        <f>'Проверочная  таблица'!VQ26</f>
        <v>0</v>
      </c>
      <c r="CN25" s="457">
        <f>'Проверочная  таблица'!VR26</f>
        <v>0</v>
      </c>
      <c r="CO25" s="458">
        <f>'Проверочная  таблица'!VS26</f>
        <v>0</v>
      </c>
      <c r="CP25" s="459">
        <f>'Проверочная  таблица'!VT26</f>
        <v>0</v>
      </c>
      <c r="CQ25" s="458">
        <f>'Проверочная  таблица'!VU26</f>
        <v>0</v>
      </c>
      <c r="CR25" s="459">
        <f>'Проверочная  таблица'!VV26</f>
        <v>0</v>
      </c>
      <c r="CS25" s="457">
        <f>'Проверочная  таблица'!VW26</f>
        <v>0</v>
      </c>
      <c r="CT25" s="76">
        <f>'Проверочная  таблица'!VZ26</f>
        <v>6930184.5300000003</v>
      </c>
      <c r="CU25" s="76">
        <f>'Проверочная  таблица'!WC26</f>
        <v>4090098</v>
      </c>
      <c r="CV25" s="76">
        <f>'Проверочная  таблица'!WF26</f>
        <v>810000</v>
      </c>
      <c r="CW25" s="76">
        <f>'Проверочная  таблица'!WI26</f>
        <v>571058.99</v>
      </c>
      <c r="CX25" s="76">
        <f t="shared" si="11"/>
        <v>18539615.640000001</v>
      </c>
      <c r="CY25" s="71">
        <f t="shared" si="12"/>
        <v>16136783.060000001</v>
      </c>
      <c r="CZ25" s="75">
        <f>'Проверочная  таблица'!WN26</f>
        <v>0</v>
      </c>
      <c r="DA25" s="71">
        <f>'Проверочная  таблица'!WQ26</f>
        <v>0</v>
      </c>
      <c r="DB25" s="75">
        <f>'Проверочная  таблица'!WT26</f>
        <v>2037837.3699999999</v>
      </c>
      <c r="DC25" s="71">
        <f>'Проверочная  таблица'!WW26</f>
        <v>0</v>
      </c>
      <c r="DD25" s="75">
        <f>'Проверочная  таблица'!WZ26</f>
        <v>1792967.27</v>
      </c>
      <c r="DE25" s="71">
        <f>'Проверочная  таблица'!XC26</f>
        <v>1427972.06</v>
      </c>
      <c r="DF25" s="75">
        <f>'Проверочная  таблица'!XF26</f>
        <v>14708811</v>
      </c>
      <c r="DG25" s="71">
        <f>'Проверочная  таблица'!XI26</f>
        <v>14708811</v>
      </c>
      <c r="DI25" s="452">
        <f t="shared" si="4"/>
        <v>7740.1845300000014</v>
      </c>
      <c r="DJ25" s="452">
        <f t="shared" si="5"/>
        <v>4661.1569900000004</v>
      </c>
    </row>
    <row r="26" spans="1:114" ht="25.5" customHeight="1" x14ac:dyDescent="0.25">
      <c r="A26" s="68" t="s">
        <v>332</v>
      </c>
      <c r="B26" s="453">
        <f t="shared" si="0"/>
        <v>207528671.43000001</v>
      </c>
      <c r="C26" s="454">
        <f t="shared" si="1"/>
        <v>86352378.099999994</v>
      </c>
      <c r="D26" s="1144">
        <f t="shared" si="6"/>
        <v>69400159.019999996</v>
      </c>
      <c r="E26" s="1145">
        <f t="shared" si="7"/>
        <v>5098361</v>
      </c>
      <c r="F26" s="441">
        <f>'Проверочная  таблица'!BL27+'Проверочная  таблица'!BN27</f>
        <v>0</v>
      </c>
      <c r="G26" s="442">
        <f>'Проверочная  таблица'!BM27+'Проверочная  таблица'!BO27</f>
        <v>0</v>
      </c>
      <c r="H26" s="442">
        <f>'Проверочная  таблица'!BU27</f>
        <v>2274159.02</v>
      </c>
      <c r="I26" s="443">
        <f>'Проверочная  таблица'!BX27</f>
        <v>0</v>
      </c>
      <c r="J26" s="442">
        <f>'Проверочная  таблица'!BV27</f>
        <v>67126000</v>
      </c>
      <c r="K26" s="443">
        <f>'Проверочная  таблица'!BY27</f>
        <v>5098361</v>
      </c>
      <c r="L26" s="75">
        <f t="shared" si="2"/>
        <v>138128512.41</v>
      </c>
      <c r="M26" s="76">
        <f t="shared" si="3"/>
        <v>81254017.099999994</v>
      </c>
      <c r="N26" s="69">
        <f t="shared" si="8"/>
        <v>91339382.649999991</v>
      </c>
      <c r="O26" s="69">
        <f t="shared" si="9"/>
        <v>42096276.480000004</v>
      </c>
      <c r="P26" s="76">
        <f>'Проверочная  таблица'!CP27</f>
        <v>243864.57</v>
      </c>
      <c r="Q26" s="76">
        <f>'Проверочная  таблица'!CW27</f>
        <v>0</v>
      </c>
      <c r="R26" s="76">
        <f>'Проверочная  таблица'!CR27+'Проверочная  таблица'!DD27</f>
        <v>15838100</v>
      </c>
      <c r="S26" s="71">
        <f>'Проверочная  таблица'!CY27+'Проверочная  таблица'!DG27</f>
        <v>3713329.88</v>
      </c>
      <c r="T26" s="75">
        <f>'Проверочная  таблица'!CT27</f>
        <v>0</v>
      </c>
      <c r="U26" s="71">
        <f>'Проверочная  таблица'!DA27</f>
        <v>0</v>
      </c>
      <c r="V26" s="77">
        <f>'Проверочная  таблица'!DV27</f>
        <v>0</v>
      </c>
      <c r="W26" s="76">
        <f>'Проверочная  таблица'!DY27</f>
        <v>0</v>
      </c>
      <c r="X26" s="76">
        <f>'Проверочная  таблица'!EB27</f>
        <v>0</v>
      </c>
      <c r="Y26" s="71">
        <f>'Проверочная  таблица'!EE27</f>
        <v>0</v>
      </c>
      <c r="Z26" s="71">
        <f>'Проверочная  таблица'!EI27</f>
        <v>0</v>
      </c>
      <c r="AA26" s="71">
        <f>'Проверочная  таблица'!EM27</f>
        <v>0</v>
      </c>
      <c r="AB26" s="76">
        <f>'Проверочная  таблица'!EP27</f>
        <v>0</v>
      </c>
      <c r="AC26" s="71">
        <f>'Проверочная  таблица'!ES27</f>
        <v>0</v>
      </c>
      <c r="AD26" s="75">
        <f>'Проверочная  таблица'!EV27+'Проверочная  таблица'!FB27</f>
        <v>0</v>
      </c>
      <c r="AE26" s="76">
        <f>'Проверочная  таблица'!EY27+'Проверочная  таблица'!FE27</f>
        <v>0</v>
      </c>
      <c r="AF26" s="76">
        <f>'Проверочная  таблица'!FT27</f>
        <v>0</v>
      </c>
      <c r="AG26" s="76">
        <f>'Проверочная  таблица'!FW27</f>
        <v>0</v>
      </c>
      <c r="AH26" s="76">
        <f>'Проверочная  таблица'!FZ27+'Проверочная  таблица'!GF27</f>
        <v>0</v>
      </c>
      <c r="AI26" s="71">
        <f>'Проверочная  таблица'!GC27+'Проверочная  таблица'!GI27</f>
        <v>0</v>
      </c>
      <c r="AJ26" s="77">
        <f>'Проверочная  таблица'!GP27</f>
        <v>0</v>
      </c>
      <c r="AK26" s="76">
        <f>'Проверочная  таблица'!GT27</f>
        <v>0</v>
      </c>
      <c r="AL26" s="76">
        <f>'Проверочная  таблица'!HF27</f>
        <v>0</v>
      </c>
      <c r="AM26" s="76">
        <f>'Проверочная  таблица'!HI27</f>
        <v>0</v>
      </c>
      <c r="AN26" s="76">
        <f>'Проверочная  таблица'!HL27+'Проверочная  таблица'!HR27</f>
        <v>821052.83999999985</v>
      </c>
      <c r="AO26" s="76">
        <f>'Проверочная  таблица'!HO27+'Проверочная  таблица'!HU27</f>
        <v>0</v>
      </c>
      <c r="AP26" s="76">
        <f>'Проверочная  таблица'!IJ27+'Проверочная  таблица'!IP27</f>
        <v>0</v>
      </c>
      <c r="AQ26" s="71">
        <f>'Проверочная  таблица'!IM27+'Проверочная  таблица'!IS27</f>
        <v>0</v>
      </c>
      <c r="AR26" s="75">
        <f>'Проверочная  таблица'!IZ27</f>
        <v>14250000</v>
      </c>
      <c r="AS26" s="71">
        <f>'Проверочная  таблица'!JC27</f>
        <v>14250000.01</v>
      </c>
      <c r="AT26" s="75">
        <f>'Проверочная  таблица'!JF27</f>
        <v>0</v>
      </c>
      <c r="AU26" s="71">
        <f>'Проверочная  таблица'!JI27</f>
        <v>0</v>
      </c>
      <c r="AV26" s="75">
        <f>'Проверочная  таблица'!JL27+'Проверочная  таблица'!JR27</f>
        <v>13173.939999999988</v>
      </c>
      <c r="AW26" s="76">
        <f>'Проверочная  таблица'!JO27+'Проверочная  таблица'!JU27</f>
        <v>0</v>
      </c>
      <c r="AX26" s="76">
        <f>'Проверочная  таблица'!KJ27+'Проверочная  таблица'!KT27</f>
        <v>185321.32</v>
      </c>
      <c r="AY26" s="71">
        <f>'Проверочная  таблица'!KY27+'Проверочная  таблица'!KO27</f>
        <v>0</v>
      </c>
      <c r="AZ26" s="76">
        <f>'Проверочная  таблица'!KL27+'Проверочная  таблица'!KV27</f>
        <v>43463.33</v>
      </c>
      <c r="BA26" s="71">
        <f>'Проверочная  таблица'!LA27+'Проверочная  таблица'!KQ27</f>
        <v>0</v>
      </c>
      <c r="BB26" s="75">
        <f>'Проверочная  таблица'!LQ27+'Проверочная  таблица'!LY27</f>
        <v>8472600</v>
      </c>
      <c r="BC26" s="71">
        <f>'Проверочная  таблица'!MC27+'Проверочная  таблица'!LU27</f>
        <v>8472600</v>
      </c>
      <c r="BD26" s="76">
        <f>'Проверочная  таблица'!MX27</f>
        <v>0</v>
      </c>
      <c r="BE26" s="71">
        <f>'Проверочная  таблица'!NF27</f>
        <v>0</v>
      </c>
      <c r="BF26" s="76">
        <f>'Проверочная  таблица'!MV27</f>
        <v>0</v>
      </c>
      <c r="BG26" s="71">
        <f>'Проверочная  таблица'!ND27</f>
        <v>0</v>
      </c>
      <c r="BH26" s="75">
        <f>'Проверочная  таблица'!NA27+'Проверочная  таблица'!NL27</f>
        <v>60346.559999999998</v>
      </c>
      <c r="BI26" s="76">
        <f>'Проверочная  таблица'!NO27+'Проверочная  таблица'!NI27</f>
        <v>60346.559999999998</v>
      </c>
      <c r="BJ26" s="71">
        <f>'Проверочная  таблица'!OD27</f>
        <v>0</v>
      </c>
      <c r="BK26" s="71">
        <f>'Проверочная  таблица'!OH27</f>
        <v>0</v>
      </c>
      <c r="BL26" s="75">
        <f>'Проверочная  таблица'!OL27+'Проверочная  таблица'!OT27</f>
        <v>29744209.579999998</v>
      </c>
      <c r="BM26" s="76">
        <f>'Проверочная  таблица'!OP27+'Проверочная  таблица'!OX27</f>
        <v>15600000</v>
      </c>
      <c r="BN26" s="76">
        <f>'Проверочная  таблица'!QB27+'Проверочная  таблица'!PR27</f>
        <v>0</v>
      </c>
      <c r="BO26" s="71">
        <f>'Проверочная  таблица'!QE27+'Проверочная  таблица'!PW27</f>
        <v>0</v>
      </c>
      <c r="BP26" s="76"/>
      <c r="BQ26" s="71"/>
      <c r="BR26" s="75">
        <f>'Проверочная  таблица'!QT27</f>
        <v>0</v>
      </c>
      <c r="BS26" s="71">
        <f>'Проверочная  таблица'!QW27</f>
        <v>0</v>
      </c>
      <c r="BT26" s="75">
        <f>'Проверочная  таблица'!QZ27+'Проверочная  таблица'!RF27</f>
        <v>0</v>
      </c>
      <c r="BU26" s="71">
        <f>'Проверочная  таблица'!RC27+'Проверочная  таблица'!RI27</f>
        <v>0</v>
      </c>
      <c r="BV26" s="75">
        <f>'Проверочная  таблица'!RX27</f>
        <v>0</v>
      </c>
      <c r="BW26" s="76">
        <f>'Проверочная  таблица'!SA27</f>
        <v>0</v>
      </c>
      <c r="BX26" s="76">
        <f>'Проверочная  таблица'!SE27</f>
        <v>0</v>
      </c>
      <c r="BY26" s="71">
        <f>'Проверочная  таблица'!SI27</f>
        <v>0</v>
      </c>
      <c r="BZ26" s="75">
        <f>'Проверочная  таблица'!SL27</f>
        <v>0</v>
      </c>
      <c r="CA26" s="76">
        <f>'Проверочная  таблица'!SO27</f>
        <v>0</v>
      </c>
      <c r="CB26" s="76">
        <f>'Проверочная  таблица'!TF27+'Проверочная  таблица'!SR27</f>
        <v>21667250.509999998</v>
      </c>
      <c r="CC26" s="71">
        <f>'Проверочная  таблица'!TM27+'Проверочная  таблица'!SY27</f>
        <v>0.03</v>
      </c>
      <c r="CD26" s="75">
        <f>'Проверочная  таблица'!ST27+'Проверочная  таблица'!TH27</f>
        <v>0</v>
      </c>
      <c r="CE26" s="76">
        <f>'Проверочная  таблица'!TO27+'Проверочная  таблица'!TA27</f>
        <v>0</v>
      </c>
      <c r="CF26" s="76">
        <f>'Проверочная  таблица'!TJ27+'Проверочная  таблица'!SV27</f>
        <v>0</v>
      </c>
      <c r="CG26" s="71">
        <f>'Проверочная  таблица'!TQ27+'Проверочная  таблица'!TC27</f>
        <v>0</v>
      </c>
      <c r="CH26" s="76">
        <f t="shared" si="10"/>
        <v>20392820.579999998</v>
      </c>
      <c r="CI26" s="76">
        <f t="shared" si="10"/>
        <v>13634345.119999999</v>
      </c>
      <c r="CJ26" s="71">
        <f>'Проверочная  таблица'!VN27+'Проверочная  таблица'!VL27</f>
        <v>3858100</v>
      </c>
      <c r="CK26" s="71">
        <f>'Проверочная  таблица'!VO27+'Проверочная  таблица'!VM27</f>
        <v>2893575</v>
      </c>
      <c r="CL26" s="77">
        <f>'Проверочная  таблица'!VP27</f>
        <v>0</v>
      </c>
      <c r="CM26" s="77">
        <f>'Проверочная  таблица'!VQ27</f>
        <v>0</v>
      </c>
      <c r="CN26" s="457">
        <f>'Проверочная  таблица'!VR27</f>
        <v>0</v>
      </c>
      <c r="CO26" s="458">
        <f>'Проверочная  таблица'!VS27</f>
        <v>0</v>
      </c>
      <c r="CP26" s="459">
        <f>'Проверочная  таблица'!VT27</f>
        <v>0</v>
      </c>
      <c r="CQ26" s="458">
        <f>'Проверочная  таблица'!VU27</f>
        <v>0</v>
      </c>
      <c r="CR26" s="459">
        <f>'Проверочная  таблица'!VV27</f>
        <v>0</v>
      </c>
      <c r="CS26" s="457">
        <f>'Проверочная  таблица'!VW27</f>
        <v>0</v>
      </c>
      <c r="CT26" s="76">
        <f>'Проверочная  таблица'!VZ27</f>
        <v>15729720.58</v>
      </c>
      <c r="CU26" s="76">
        <f>'Проверочная  таблица'!WC27</f>
        <v>9935770.1199999992</v>
      </c>
      <c r="CV26" s="76">
        <f>'Проверочная  таблица'!WF27</f>
        <v>805000</v>
      </c>
      <c r="CW26" s="76">
        <f>'Проверочная  таблица'!WI27</f>
        <v>805000</v>
      </c>
      <c r="CX26" s="76">
        <f t="shared" si="11"/>
        <v>26396309.18</v>
      </c>
      <c r="CY26" s="71">
        <f t="shared" si="12"/>
        <v>25523395.5</v>
      </c>
      <c r="CZ26" s="75">
        <f>'Проверочная  таблица'!WN27</f>
        <v>0</v>
      </c>
      <c r="DA26" s="71">
        <f>'Проверочная  таблица'!WQ27</f>
        <v>0</v>
      </c>
      <c r="DB26" s="75">
        <f>'Проверочная  таблица'!WT27</f>
        <v>0</v>
      </c>
      <c r="DC26" s="71">
        <f>'Проверочная  таблица'!WW27</f>
        <v>0</v>
      </c>
      <c r="DD26" s="75">
        <f>'Проверочная  таблица'!WZ27</f>
        <v>3073658.1799999997</v>
      </c>
      <c r="DE26" s="71">
        <f>'Проверочная  таблица'!XC27</f>
        <v>2215827.09</v>
      </c>
      <c r="DF26" s="75">
        <f>'Проверочная  таблица'!XF27</f>
        <v>23322651</v>
      </c>
      <c r="DG26" s="71">
        <f>'Проверочная  таблица'!XI27</f>
        <v>23307568.41</v>
      </c>
      <c r="DI26" s="452">
        <f t="shared" si="4"/>
        <v>16534.720579999997</v>
      </c>
      <c r="DJ26" s="452">
        <f t="shared" si="5"/>
        <v>10740.770119999999</v>
      </c>
    </row>
    <row r="27" spans="1:114" ht="25.5" customHeight="1" x14ac:dyDescent="0.25">
      <c r="A27" s="68" t="s">
        <v>333</v>
      </c>
      <c r="B27" s="453">
        <f t="shared" si="0"/>
        <v>46809908.360000007</v>
      </c>
      <c r="C27" s="454">
        <f t="shared" si="1"/>
        <v>21454383.530000001</v>
      </c>
      <c r="D27" s="1144">
        <f t="shared" si="6"/>
        <v>12543068.1</v>
      </c>
      <c r="E27" s="1145">
        <f t="shared" si="7"/>
        <v>0</v>
      </c>
      <c r="F27" s="441">
        <f>'Проверочная  таблица'!BL28+'Проверочная  таблица'!BN28</f>
        <v>0</v>
      </c>
      <c r="G27" s="442">
        <f>'Проверочная  таблица'!BM28+'Проверочная  таблица'!BO28</f>
        <v>0</v>
      </c>
      <c r="H27" s="442">
        <f>'Проверочная  таблица'!BU28</f>
        <v>12543068.1</v>
      </c>
      <c r="I27" s="443">
        <f>'Проверочная  таблица'!BX28</f>
        <v>0</v>
      </c>
      <c r="J27" s="442">
        <f>'Проверочная  таблица'!BV28</f>
        <v>0</v>
      </c>
      <c r="K27" s="443">
        <f>'Проверочная  таблица'!BY28</f>
        <v>0</v>
      </c>
      <c r="L27" s="75">
        <f t="shared" si="2"/>
        <v>34266840.260000005</v>
      </c>
      <c r="M27" s="76">
        <f t="shared" si="3"/>
        <v>21454383.530000001</v>
      </c>
      <c r="N27" s="69">
        <f t="shared" si="8"/>
        <v>11963923.950000001</v>
      </c>
      <c r="O27" s="69">
        <f t="shared" si="9"/>
        <v>2543735.1</v>
      </c>
      <c r="P27" s="76">
        <f>'Проверочная  таблица'!CP28</f>
        <v>0</v>
      </c>
      <c r="Q27" s="76">
        <f>'Проверочная  таблица'!CW28</f>
        <v>0</v>
      </c>
      <c r="R27" s="76">
        <f>'Проверочная  таблица'!CR28+'Проверочная  таблица'!DD28</f>
        <v>0</v>
      </c>
      <c r="S27" s="71">
        <f>'Проверочная  таблица'!CY28+'Проверочная  таблица'!DG28</f>
        <v>0</v>
      </c>
      <c r="T27" s="75">
        <f>'Проверочная  таблица'!CT28</f>
        <v>0</v>
      </c>
      <c r="U27" s="71">
        <f>'Проверочная  таблица'!DA28</f>
        <v>0</v>
      </c>
      <c r="V27" s="77">
        <f>'Проверочная  таблица'!DV28</f>
        <v>2991400</v>
      </c>
      <c r="W27" s="76">
        <f>'Проверочная  таблица'!DY28</f>
        <v>2378163.15</v>
      </c>
      <c r="X27" s="76">
        <f>'Проверочная  таблица'!EB28</f>
        <v>0</v>
      </c>
      <c r="Y27" s="71">
        <f>'Проверочная  таблица'!EE28</f>
        <v>0</v>
      </c>
      <c r="Z27" s="71">
        <f>'Проверочная  таблица'!EI28</f>
        <v>0</v>
      </c>
      <c r="AA27" s="71">
        <f>'Проверочная  таблица'!EM28</f>
        <v>0</v>
      </c>
      <c r="AB27" s="76">
        <f>'Проверочная  таблица'!EP28</f>
        <v>0</v>
      </c>
      <c r="AC27" s="71">
        <f>'Проверочная  таблица'!ES28</f>
        <v>0</v>
      </c>
      <c r="AD27" s="75">
        <f>'Проверочная  таблица'!EV28+'Проверочная  таблица'!FB28</f>
        <v>0</v>
      </c>
      <c r="AE27" s="76">
        <f>'Проверочная  таблица'!EY28+'Проверочная  таблица'!FE28</f>
        <v>0</v>
      </c>
      <c r="AF27" s="76">
        <f>'Проверочная  таблица'!FT28</f>
        <v>0</v>
      </c>
      <c r="AG27" s="76">
        <f>'Проверочная  таблица'!FW28</f>
        <v>0</v>
      </c>
      <c r="AH27" s="76">
        <f>'Проверочная  таблица'!FZ28+'Проверочная  таблица'!GF28</f>
        <v>0</v>
      </c>
      <c r="AI27" s="71">
        <f>'Проверочная  таблица'!GC28+'Проверочная  таблица'!GI28</f>
        <v>0</v>
      </c>
      <c r="AJ27" s="77">
        <f>'Проверочная  таблица'!GP28</f>
        <v>0</v>
      </c>
      <c r="AK27" s="76">
        <f>'Проверочная  таблица'!GT28</f>
        <v>0</v>
      </c>
      <c r="AL27" s="76">
        <f>'Проверочная  таблица'!HF28</f>
        <v>0</v>
      </c>
      <c r="AM27" s="76">
        <f>'Проверочная  таблица'!HI28</f>
        <v>0</v>
      </c>
      <c r="AN27" s="76">
        <f>'Проверочная  таблица'!HL28+'Проверочная  таблица'!HR28</f>
        <v>0</v>
      </c>
      <c r="AO27" s="76">
        <f>'Проверочная  таблица'!HO28+'Проверочная  таблица'!HU28</f>
        <v>0</v>
      </c>
      <c r="AP27" s="76">
        <f>'Проверочная  таблица'!IJ28+'Проверочная  таблица'!IP28</f>
        <v>0</v>
      </c>
      <c r="AQ27" s="71">
        <f>'Проверочная  таблица'!IM28+'Проверочная  таблица'!IS28</f>
        <v>0</v>
      </c>
      <c r="AR27" s="75">
        <f>'Проверочная  таблица'!IZ28</f>
        <v>0</v>
      </c>
      <c r="AS27" s="71">
        <f>'Проверочная  таблица'!JC28</f>
        <v>0</v>
      </c>
      <c r="AT27" s="75">
        <f>'Проверочная  таблица'!JF28</f>
        <v>0</v>
      </c>
      <c r="AU27" s="71">
        <f>'Проверочная  таблица'!JI28</f>
        <v>0</v>
      </c>
      <c r="AV27" s="75">
        <f>'Проверочная  таблица'!JL28+'Проверочная  таблица'!JR28</f>
        <v>0</v>
      </c>
      <c r="AW27" s="76">
        <f>'Проверочная  таблица'!JO28+'Проверочная  таблица'!JU28</f>
        <v>0</v>
      </c>
      <c r="AX27" s="76">
        <f>'Проверочная  таблица'!KJ28+'Проверочная  таблица'!KT28</f>
        <v>377128.78</v>
      </c>
      <c r="AY27" s="71">
        <f>'Проверочная  таблица'!KY28+'Проверочная  таблица'!KO28</f>
        <v>0</v>
      </c>
      <c r="AZ27" s="76">
        <f>'Проверочная  таблица'!KL28+'Проверочная  таблица'!KV28</f>
        <v>87041.22</v>
      </c>
      <c r="BA27" s="71">
        <f>'Проверочная  таблица'!LA28+'Проверочная  таблица'!KQ28</f>
        <v>87041.22</v>
      </c>
      <c r="BB27" s="75">
        <f>'Проверочная  таблица'!LQ28+'Проверочная  таблица'!LY28</f>
        <v>0</v>
      </c>
      <c r="BC27" s="71">
        <f>'Проверочная  таблица'!MC28+'Проверочная  таблица'!LU28</f>
        <v>0</v>
      </c>
      <c r="BD27" s="76">
        <f>'Проверочная  таблица'!MX28</f>
        <v>0</v>
      </c>
      <c r="BE27" s="71">
        <f>'Проверочная  таблица'!NF28</f>
        <v>0</v>
      </c>
      <c r="BF27" s="76">
        <f>'Проверочная  таблица'!MV28</f>
        <v>0</v>
      </c>
      <c r="BG27" s="71">
        <f>'Проверочная  таблица'!ND28</f>
        <v>0</v>
      </c>
      <c r="BH27" s="75">
        <f>'Проверочная  таблица'!NA28+'Проверочная  таблица'!NL28</f>
        <v>78530.73</v>
      </c>
      <c r="BI27" s="76">
        <f>'Проверочная  таблица'!NO28+'Проверочная  таблица'!NI28</f>
        <v>78530.73</v>
      </c>
      <c r="BJ27" s="71">
        <f>'Проверочная  таблица'!OD28</f>
        <v>0</v>
      </c>
      <c r="BK27" s="71">
        <f>'Проверочная  таблица'!OH28</f>
        <v>0</v>
      </c>
      <c r="BL27" s="75">
        <f>'Проверочная  таблица'!OL28+'Проверочная  таблица'!OT28</f>
        <v>8429823.2200000007</v>
      </c>
      <c r="BM27" s="76">
        <f>'Проверочная  таблица'!OP28+'Проверочная  таблица'!OX28</f>
        <v>0</v>
      </c>
      <c r="BN27" s="76">
        <f>'Проверочная  таблица'!QB28+'Проверочная  таблица'!PR28</f>
        <v>0</v>
      </c>
      <c r="BO27" s="71">
        <f>'Проверочная  таблица'!QE28+'Проверочная  таблица'!PW28</f>
        <v>0</v>
      </c>
      <c r="BP27" s="76"/>
      <c r="BQ27" s="71"/>
      <c r="BR27" s="75">
        <f>'Проверочная  таблица'!QT28</f>
        <v>0</v>
      </c>
      <c r="BS27" s="71">
        <f>'Проверочная  таблица'!QW28</f>
        <v>0</v>
      </c>
      <c r="BT27" s="75">
        <f>'Проверочная  таблица'!QZ28+'Проверочная  таблица'!RF28</f>
        <v>0</v>
      </c>
      <c r="BU27" s="71">
        <f>'Проверочная  таблица'!RC28+'Проверочная  таблица'!RI28</f>
        <v>0</v>
      </c>
      <c r="BV27" s="75">
        <f>'Проверочная  таблица'!RX28</f>
        <v>0</v>
      </c>
      <c r="BW27" s="76">
        <f>'Проверочная  таблица'!SA28</f>
        <v>0</v>
      </c>
      <c r="BX27" s="76">
        <f>'Проверочная  таблица'!SE28</f>
        <v>0</v>
      </c>
      <c r="BY27" s="71">
        <f>'Проверочная  таблица'!SI28</f>
        <v>0</v>
      </c>
      <c r="BZ27" s="75">
        <f>'Проверочная  таблица'!SL28</f>
        <v>0</v>
      </c>
      <c r="CA27" s="76">
        <f>'Проверочная  таблица'!SO28</f>
        <v>0</v>
      </c>
      <c r="CB27" s="76">
        <f>'Проверочная  таблица'!TF28+'Проверочная  таблица'!SR28</f>
        <v>0</v>
      </c>
      <c r="CC27" s="71">
        <f>'Проверочная  таблица'!TM28+'Проверочная  таблица'!SY28</f>
        <v>0</v>
      </c>
      <c r="CD27" s="75">
        <f>'Проверочная  таблица'!ST28+'Проверочная  таблица'!TH28</f>
        <v>0</v>
      </c>
      <c r="CE27" s="76">
        <f>'Проверочная  таблица'!TO28+'Проверочная  таблица'!TA28</f>
        <v>0</v>
      </c>
      <c r="CF27" s="76">
        <f>'Проверочная  таблица'!TJ28+'Проверочная  таблица'!SV28</f>
        <v>0</v>
      </c>
      <c r="CG27" s="71">
        <f>'Проверочная  таблица'!TQ28+'Проверочная  таблица'!TC28</f>
        <v>0</v>
      </c>
      <c r="CH27" s="76">
        <f t="shared" si="10"/>
        <v>8341504.4000000004</v>
      </c>
      <c r="CI27" s="76">
        <f t="shared" si="10"/>
        <v>5269409.2699999996</v>
      </c>
      <c r="CJ27" s="71">
        <f>'Проверочная  таблица'!VN28+'Проверочная  таблица'!VL28</f>
        <v>1898500</v>
      </c>
      <c r="CK27" s="71">
        <f>'Проверочная  таблица'!VO28+'Проверочная  таблица'!VM28</f>
        <v>1222408.07</v>
      </c>
      <c r="CL27" s="77">
        <f>'Проверочная  таблица'!VP28</f>
        <v>0</v>
      </c>
      <c r="CM27" s="77">
        <f>'Проверочная  таблица'!VQ28</f>
        <v>0</v>
      </c>
      <c r="CN27" s="457">
        <f>'Проверочная  таблица'!VR28</f>
        <v>0</v>
      </c>
      <c r="CO27" s="458">
        <f>'Проверочная  таблица'!VS28</f>
        <v>0</v>
      </c>
      <c r="CP27" s="459">
        <f>'Проверочная  таблица'!VT28</f>
        <v>0</v>
      </c>
      <c r="CQ27" s="458">
        <f>'Проверочная  таблица'!VU28</f>
        <v>0</v>
      </c>
      <c r="CR27" s="459">
        <f>'Проверочная  таблица'!VV28</f>
        <v>0</v>
      </c>
      <c r="CS27" s="457">
        <f>'Проверочная  таблица'!VW28</f>
        <v>0</v>
      </c>
      <c r="CT27" s="76">
        <f>'Проверочная  таблица'!VZ28</f>
        <v>5610004.4000000004</v>
      </c>
      <c r="CU27" s="76">
        <f>'Проверочная  таблица'!WC28</f>
        <v>3286000</v>
      </c>
      <c r="CV27" s="76">
        <f>'Проверочная  таблица'!WF28</f>
        <v>833000</v>
      </c>
      <c r="CW27" s="76">
        <f>'Проверочная  таблица'!WI28</f>
        <v>761001.2</v>
      </c>
      <c r="CX27" s="76">
        <f t="shared" si="11"/>
        <v>13961411.91</v>
      </c>
      <c r="CY27" s="71">
        <f t="shared" si="12"/>
        <v>13641239.16</v>
      </c>
      <c r="CZ27" s="75">
        <f>'Проверочная  таблица'!WN28</f>
        <v>0</v>
      </c>
      <c r="DA27" s="71">
        <f>'Проверочная  таблица'!WQ28</f>
        <v>0</v>
      </c>
      <c r="DB27" s="75">
        <f>'Проверочная  таблица'!WT28</f>
        <v>0</v>
      </c>
      <c r="DC27" s="71">
        <f>'Проверочная  таблица'!WW28</f>
        <v>0</v>
      </c>
      <c r="DD27" s="75">
        <f>'Проверочная  таблица'!WZ28</f>
        <v>1280690.9099999999</v>
      </c>
      <c r="DE27" s="71">
        <f>'Проверочная  таблица'!XC28</f>
        <v>960518.16</v>
      </c>
      <c r="DF27" s="75">
        <f>'Проверочная  таблица'!XF28</f>
        <v>12680721</v>
      </c>
      <c r="DG27" s="71">
        <f>'Проверочная  таблица'!XI28</f>
        <v>12680721</v>
      </c>
      <c r="DI27" s="452">
        <f t="shared" si="4"/>
        <v>6443.0044000000007</v>
      </c>
      <c r="DJ27" s="452">
        <f t="shared" si="5"/>
        <v>4047.0011999999992</v>
      </c>
    </row>
    <row r="28" spans="1:114" ht="25.5" customHeight="1" thickBot="1" x14ac:dyDescent="0.3">
      <c r="A28" s="88" t="s">
        <v>334</v>
      </c>
      <c r="B28" s="464">
        <f t="shared" si="0"/>
        <v>165497985.47</v>
      </c>
      <c r="C28" s="465">
        <f t="shared" si="1"/>
        <v>64264051.979999997</v>
      </c>
      <c r="D28" s="1148">
        <f t="shared" si="6"/>
        <v>48144600</v>
      </c>
      <c r="E28" s="1149">
        <f t="shared" si="7"/>
        <v>3145000</v>
      </c>
      <c r="F28" s="441">
        <f>'Проверочная  таблица'!BL29+'Проверочная  таблица'!BN29</f>
        <v>0</v>
      </c>
      <c r="G28" s="442">
        <f>'Проверочная  таблица'!BM29+'Проверочная  таблица'!BO29</f>
        <v>0</v>
      </c>
      <c r="H28" s="1161">
        <f>'Проверочная  таблица'!BU29</f>
        <v>28613600</v>
      </c>
      <c r="I28" s="1162">
        <f>'Проверочная  таблица'!BX29</f>
        <v>0</v>
      </c>
      <c r="J28" s="1161">
        <f>'Проверочная  таблица'!BV29</f>
        <v>19531000</v>
      </c>
      <c r="K28" s="1162">
        <f>'Проверочная  таблица'!BY29</f>
        <v>3145000</v>
      </c>
      <c r="L28" s="94">
        <f t="shared" si="2"/>
        <v>117353385.47</v>
      </c>
      <c r="M28" s="466">
        <f t="shared" si="3"/>
        <v>61119051.979999997</v>
      </c>
      <c r="N28" s="69">
        <f t="shared" si="8"/>
        <v>77660806.140000001</v>
      </c>
      <c r="O28" s="69">
        <f t="shared" si="9"/>
        <v>30298496.859999999</v>
      </c>
      <c r="P28" s="95">
        <f>'Проверочная  таблица'!CP29</f>
        <v>0</v>
      </c>
      <c r="Q28" s="95">
        <f>'Проверочная  таблица'!CW29</f>
        <v>0</v>
      </c>
      <c r="R28" s="95">
        <f>'Проверочная  таблица'!CR29+'Проверочная  таблица'!DD29</f>
        <v>0</v>
      </c>
      <c r="S28" s="89">
        <f>'Проверочная  таблица'!CY29+'Проверочная  таблица'!DG29</f>
        <v>0</v>
      </c>
      <c r="T28" s="94">
        <f>'Проверочная  таблица'!CT29</f>
        <v>0</v>
      </c>
      <c r="U28" s="89">
        <f>'Проверочная  таблица'!DA29</f>
        <v>0</v>
      </c>
      <c r="V28" s="96">
        <f>'Проверочная  таблица'!DV29</f>
        <v>0</v>
      </c>
      <c r="W28" s="95">
        <f>'Проверочная  таблица'!DY29</f>
        <v>0</v>
      </c>
      <c r="X28" s="95">
        <f>'Проверочная  таблица'!EB29</f>
        <v>0</v>
      </c>
      <c r="Y28" s="89">
        <f>'Проверочная  таблица'!EE29</f>
        <v>0</v>
      </c>
      <c r="Z28" s="89">
        <f>'Проверочная  таблица'!EI29</f>
        <v>0</v>
      </c>
      <c r="AA28" s="89">
        <f>'Проверочная  таблица'!EM29</f>
        <v>0</v>
      </c>
      <c r="AB28" s="95">
        <f>'Проверочная  таблица'!EP29</f>
        <v>0</v>
      </c>
      <c r="AC28" s="89">
        <f>'Проверочная  таблица'!ES29</f>
        <v>0</v>
      </c>
      <c r="AD28" s="94">
        <f>'Проверочная  таблица'!EV29+'Проверочная  таблица'!FB29</f>
        <v>224762.96</v>
      </c>
      <c r="AE28" s="95">
        <f>'Проверочная  таблица'!EY29+'Проверочная  таблица'!FE29</f>
        <v>224762.97</v>
      </c>
      <c r="AF28" s="95">
        <f>'Проверочная  таблица'!FT29</f>
        <v>0</v>
      </c>
      <c r="AG28" s="95">
        <f>'Проверочная  таблица'!FW29</f>
        <v>0</v>
      </c>
      <c r="AH28" s="95">
        <f>'Проверочная  таблица'!FZ29+'Проверочная  таблица'!GF29</f>
        <v>0</v>
      </c>
      <c r="AI28" s="89">
        <f>'Проверочная  таблица'!GC29+'Проверочная  таблица'!GI29</f>
        <v>0</v>
      </c>
      <c r="AJ28" s="96">
        <f>'Проверочная  таблица'!GP29</f>
        <v>28177208.5</v>
      </c>
      <c r="AK28" s="95">
        <f>'Проверочная  таблица'!GT29</f>
        <v>0</v>
      </c>
      <c r="AL28" s="95">
        <f>'Проверочная  таблица'!HF29</f>
        <v>0</v>
      </c>
      <c r="AM28" s="95">
        <f>'Проверочная  таблица'!HI29</f>
        <v>0</v>
      </c>
      <c r="AN28" s="95">
        <f>'Проверочная  таблица'!HL29+'Проверочная  таблица'!HR29</f>
        <v>821052.83999999985</v>
      </c>
      <c r="AO28" s="95">
        <f>'Проверочная  таблица'!HO29+'Проверочная  таблица'!HU29</f>
        <v>0</v>
      </c>
      <c r="AP28" s="95">
        <f>'Проверочная  таблица'!IJ29+'Проверочная  таблица'!IP29</f>
        <v>2500000</v>
      </c>
      <c r="AQ28" s="89">
        <f>'Проверочная  таблица'!IM29+'Проверочная  таблица'!IS29</f>
        <v>2500000</v>
      </c>
      <c r="AR28" s="94">
        <f>'Проверочная  таблица'!IZ29</f>
        <v>7600000</v>
      </c>
      <c r="AS28" s="89">
        <f>'Проверочная  таблица'!JC29</f>
        <v>5159351.72</v>
      </c>
      <c r="AT28" s="94">
        <f>'Проверочная  таблица'!JF29</f>
        <v>0</v>
      </c>
      <c r="AU28" s="89">
        <f>'Проверочная  таблица'!JI29</f>
        <v>0</v>
      </c>
      <c r="AV28" s="94">
        <f>'Проверочная  таблица'!JL29+'Проверочная  таблица'!JR29</f>
        <v>0</v>
      </c>
      <c r="AW28" s="95">
        <f>'Проверочная  таблица'!JO29+'Проверочная  таблица'!JU29</f>
        <v>0</v>
      </c>
      <c r="AX28" s="95">
        <f>'Проверочная  таблица'!KJ29+'Проверочная  таблица'!KT29</f>
        <v>194713.62</v>
      </c>
      <c r="AY28" s="89">
        <f>'Проверочная  таблица'!KY29+'Проверочная  таблица'!KO29</f>
        <v>0</v>
      </c>
      <c r="AZ28" s="95">
        <f>'Проверочная  таблица'!KL29+'Проверочная  таблица'!KV29</f>
        <v>96823.49</v>
      </c>
      <c r="BA28" s="89">
        <f>'Проверочная  таблица'!LA29+'Проверочная  таблица'!KQ29</f>
        <v>0</v>
      </c>
      <c r="BB28" s="94">
        <f>'Проверочная  таблица'!LQ29+'Проверочная  таблица'!LY29</f>
        <v>0</v>
      </c>
      <c r="BC28" s="89">
        <f>'Проверочная  таблица'!MC29+'Проверочная  таблица'!LU29</f>
        <v>0</v>
      </c>
      <c r="BD28" s="95">
        <f>'Проверочная  таблица'!MX29</f>
        <v>0</v>
      </c>
      <c r="BE28" s="89">
        <f>'Проверочная  таблица'!NF29</f>
        <v>0</v>
      </c>
      <c r="BF28" s="95">
        <f>'Проверочная  таблица'!MV29</f>
        <v>0</v>
      </c>
      <c r="BG28" s="89">
        <f>'Проверочная  таблица'!ND29</f>
        <v>0</v>
      </c>
      <c r="BH28" s="94">
        <f>'Проверочная  таблица'!NA29+'Проверочная  таблица'!NL29</f>
        <v>188035.01</v>
      </c>
      <c r="BI28" s="95">
        <f>'Проверочная  таблица'!NO29+'Проверочная  таблица'!NI29</f>
        <v>188035.01</v>
      </c>
      <c r="BJ28" s="89">
        <f>'Проверочная  таблица'!OD29</f>
        <v>0</v>
      </c>
      <c r="BK28" s="89">
        <f>'Проверочная  таблица'!OH29</f>
        <v>0</v>
      </c>
      <c r="BL28" s="94">
        <f>'Проверочная  таблица'!OL29+'Проверочная  таблица'!OT29</f>
        <v>28806720.619999997</v>
      </c>
      <c r="BM28" s="95">
        <f>'Проверочная  таблица'!OP29+'Проверочная  таблица'!OX29</f>
        <v>15600000</v>
      </c>
      <c r="BN28" s="95">
        <f>'Проверочная  таблица'!QB29+'Проверочная  таблица'!PR29</f>
        <v>0</v>
      </c>
      <c r="BO28" s="89">
        <f>'Проверочная  таблица'!QE29+'Проверочная  таблица'!PW29</f>
        <v>0</v>
      </c>
      <c r="BP28" s="95"/>
      <c r="BQ28" s="89"/>
      <c r="BR28" s="94">
        <f>'Проверочная  таблица'!QT29</f>
        <v>0</v>
      </c>
      <c r="BS28" s="89">
        <f>'Проверочная  таблица'!QW29</f>
        <v>0</v>
      </c>
      <c r="BT28" s="94">
        <f>'Проверочная  таблица'!QZ29+'Проверочная  таблица'!RF29</f>
        <v>0</v>
      </c>
      <c r="BU28" s="89">
        <f>'Проверочная  таблица'!RC29+'Проверочная  таблица'!RI29</f>
        <v>0</v>
      </c>
      <c r="BV28" s="94">
        <f>'Проверочная  таблица'!RX29</f>
        <v>0</v>
      </c>
      <c r="BW28" s="95">
        <f>'Проверочная  таблица'!SA29</f>
        <v>0</v>
      </c>
      <c r="BX28" s="95">
        <f>'Проверочная  таблица'!SE29</f>
        <v>0</v>
      </c>
      <c r="BY28" s="89">
        <f>'Проверочная  таблица'!SI29</f>
        <v>0</v>
      </c>
      <c r="BZ28" s="94">
        <f>'Проверочная  таблица'!SL29</f>
        <v>0</v>
      </c>
      <c r="CA28" s="95">
        <f>'Проверочная  таблица'!SO29</f>
        <v>0</v>
      </c>
      <c r="CB28" s="95">
        <f>'Проверочная  таблица'!TF29+'Проверочная  таблица'!SR29</f>
        <v>9051489.0999999996</v>
      </c>
      <c r="CC28" s="89">
        <f>'Проверочная  таблица'!TM29+'Проверочная  таблица'!SY29</f>
        <v>6626347.1600000001</v>
      </c>
      <c r="CD28" s="94">
        <f>'Проверочная  таблица'!ST29+'Проверочная  таблица'!TH29</f>
        <v>0</v>
      </c>
      <c r="CE28" s="95">
        <f>'Проверочная  таблица'!TO29+'Проверочная  таблица'!TA29</f>
        <v>0</v>
      </c>
      <c r="CF28" s="95">
        <f>'Проверочная  таблица'!TJ29+'Проверочная  таблица'!SV29</f>
        <v>0</v>
      </c>
      <c r="CG28" s="89">
        <f>'Проверочная  таблица'!TQ29+'Проверочная  таблица'!TC29</f>
        <v>0</v>
      </c>
      <c r="CH28" s="95">
        <f t="shared" si="10"/>
        <v>14629176.16</v>
      </c>
      <c r="CI28" s="95">
        <f t="shared" si="10"/>
        <v>9759099.4000000004</v>
      </c>
      <c r="CJ28" s="101">
        <f>'Проверочная  таблица'!VN29+'Проверочная  таблица'!VL29</f>
        <v>3193500</v>
      </c>
      <c r="CK28" s="101">
        <f>'Проверочная  таблица'!VO29+'Проверочная  таблица'!VM29</f>
        <v>1986522.3399999999</v>
      </c>
      <c r="CL28" s="77">
        <f>'Проверочная  таблица'!VP29</f>
        <v>0</v>
      </c>
      <c r="CM28" s="77">
        <f>'Проверочная  таблица'!VQ29</f>
        <v>0</v>
      </c>
      <c r="CN28" s="467">
        <f>'Проверочная  таблица'!VR29</f>
        <v>0</v>
      </c>
      <c r="CO28" s="468">
        <f>'Проверочная  таблица'!VS29</f>
        <v>0</v>
      </c>
      <c r="CP28" s="469">
        <f>'Проверочная  таблица'!VT29</f>
        <v>0</v>
      </c>
      <c r="CQ28" s="468">
        <f>'Проверочная  таблица'!VU29</f>
        <v>0</v>
      </c>
      <c r="CR28" s="469">
        <f>'Проверочная  таблица'!VV29</f>
        <v>0</v>
      </c>
      <c r="CS28" s="467">
        <f>'Проверочная  таблица'!VW29</f>
        <v>0</v>
      </c>
      <c r="CT28" s="95">
        <f>'Проверочная  таблица'!VZ29</f>
        <v>10000676.16</v>
      </c>
      <c r="CU28" s="95">
        <f>'Проверочная  таблица'!WC29</f>
        <v>6867054.4900000002</v>
      </c>
      <c r="CV28" s="95">
        <f>'Проверочная  таблица'!WF29</f>
        <v>1435000</v>
      </c>
      <c r="CW28" s="95">
        <f>'Проверочная  таблица'!WI29</f>
        <v>905522.57</v>
      </c>
      <c r="CX28" s="95">
        <f t="shared" si="11"/>
        <v>25063403.170000002</v>
      </c>
      <c r="CY28" s="89">
        <f t="shared" si="12"/>
        <v>21061455.719999999</v>
      </c>
      <c r="CZ28" s="94">
        <f>'Проверочная  таблица'!WN29</f>
        <v>0</v>
      </c>
      <c r="DA28" s="89">
        <f>'Проверочная  таблица'!WQ29</f>
        <v>0</v>
      </c>
      <c r="DB28" s="94">
        <f>'Проверочная  таблица'!WT29</f>
        <v>3425636.5300000003</v>
      </c>
      <c r="DC28" s="89">
        <f>'Проверочная  таблица'!WW29</f>
        <v>0</v>
      </c>
      <c r="DD28" s="94">
        <f>'Проверочная  таблица'!WZ29</f>
        <v>2305243.64</v>
      </c>
      <c r="DE28" s="89">
        <f>'Проверочная  таблица'!XC29</f>
        <v>1728932.72</v>
      </c>
      <c r="DF28" s="94">
        <f>'Проверочная  таблица'!XF29</f>
        <v>19332523</v>
      </c>
      <c r="DG28" s="89">
        <f>'Проверочная  таблица'!XI29</f>
        <v>19332523</v>
      </c>
      <c r="DI28" s="452">
        <f t="shared" si="4"/>
        <v>11435.676160000001</v>
      </c>
      <c r="DJ28" s="452">
        <f t="shared" si="5"/>
        <v>7772.5770600000005</v>
      </c>
    </row>
    <row r="29" spans="1:114" ht="25.5" customHeight="1" thickBot="1" x14ac:dyDescent="0.3">
      <c r="A29" s="1204" t="s">
        <v>335</v>
      </c>
      <c r="B29" s="105">
        <f t="shared" ref="B29:E29" si="13">SUM(B11:B28)</f>
        <v>4849454142.8200006</v>
      </c>
      <c r="C29" s="154">
        <f t="shared" si="13"/>
        <v>2284554461.54</v>
      </c>
      <c r="D29" s="107">
        <f t="shared" si="13"/>
        <v>1181351729.7800002</v>
      </c>
      <c r="E29" s="114">
        <f t="shared" si="13"/>
        <v>37574331.689999998</v>
      </c>
      <c r="F29" s="470">
        <f t="shared" ref="F29:BU29" si="14">SUM(F11:F28)</f>
        <v>0</v>
      </c>
      <c r="G29" s="471">
        <f t="shared" si="14"/>
        <v>0</v>
      </c>
      <c r="H29" s="1163">
        <f t="shared" ref="H29:I29" si="15">SUM(H11:H28)</f>
        <v>865675729.78000021</v>
      </c>
      <c r="I29" s="470">
        <f t="shared" si="15"/>
        <v>0</v>
      </c>
      <c r="J29" s="1163">
        <f t="shared" si="14"/>
        <v>315676000</v>
      </c>
      <c r="K29" s="470">
        <f t="shared" si="14"/>
        <v>37574331.689999998</v>
      </c>
      <c r="L29" s="107">
        <f t="shared" si="14"/>
        <v>3668102413.0399995</v>
      </c>
      <c r="M29" s="105">
        <f t="shared" si="14"/>
        <v>2246980129.8499999</v>
      </c>
      <c r="N29" s="153">
        <f t="shared" si="14"/>
        <v>3040803870.9099998</v>
      </c>
      <c r="O29" s="153">
        <f t="shared" si="14"/>
        <v>1755779938.1899996</v>
      </c>
      <c r="P29" s="153">
        <f t="shared" si="14"/>
        <v>243864.57</v>
      </c>
      <c r="Q29" s="153">
        <f t="shared" si="14"/>
        <v>0</v>
      </c>
      <c r="R29" s="153">
        <f t="shared" si="14"/>
        <v>291338100</v>
      </c>
      <c r="S29" s="153">
        <f t="shared" si="14"/>
        <v>143673617.06999999</v>
      </c>
      <c r="T29" s="153">
        <f t="shared" si="14"/>
        <v>0</v>
      </c>
      <c r="U29" s="153">
        <f t="shared" si="14"/>
        <v>0</v>
      </c>
      <c r="V29" s="153">
        <f t="shared" si="14"/>
        <v>5982800</v>
      </c>
      <c r="W29" s="153">
        <f t="shared" si="14"/>
        <v>4526356.16</v>
      </c>
      <c r="X29" s="153">
        <f t="shared" si="14"/>
        <v>0</v>
      </c>
      <c r="Y29" s="153">
        <f t="shared" si="14"/>
        <v>0</v>
      </c>
      <c r="Z29" s="153">
        <f t="shared" si="14"/>
        <v>0</v>
      </c>
      <c r="AA29" s="153">
        <f t="shared" si="14"/>
        <v>0</v>
      </c>
      <c r="AB29" s="153">
        <f t="shared" si="14"/>
        <v>82494836.710000008</v>
      </c>
      <c r="AC29" s="153">
        <f t="shared" si="14"/>
        <v>0</v>
      </c>
      <c r="AD29" s="153">
        <f t="shared" si="14"/>
        <v>4365720.21</v>
      </c>
      <c r="AE29" s="153">
        <f t="shared" si="14"/>
        <v>2547532.0500000003</v>
      </c>
      <c r="AF29" s="153">
        <f t="shared" si="14"/>
        <v>0</v>
      </c>
      <c r="AG29" s="153">
        <f t="shared" si="14"/>
        <v>0</v>
      </c>
      <c r="AH29" s="111">
        <f t="shared" si="14"/>
        <v>234131380.22999999</v>
      </c>
      <c r="AI29" s="114">
        <f t="shared" si="14"/>
        <v>225612167.53</v>
      </c>
      <c r="AJ29" s="153">
        <f t="shared" si="14"/>
        <v>75265211.599999994</v>
      </c>
      <c r="AK29" s="153">
        <f t="shared" si="14"/>
        <v>0</v>
      </c>
      <c r="AL29" s="153">
        <f t="shared" si="14"/>
        <v>0</v>
      </c>
      <c r="AM29" s="153">
        <f t="shared" si="14"/>
        <v>0</v>
      </c>
      <c r="AN29" s="153">
        <f t="shared" si="14"/>
        <v>167793311.36000001</v>
      </c>
      <c r="AO29" s="153">
        <f t="shared" si="14"/>
        <v>164509100</v>
      </c>
      <c r="AP29" s="111">
        <f t="shared" si="14"/>
        <v>2500000</v>
      </c>
      <c r="AQ29" s="114">
        <f t="shared" si="14"/>
        <v>2500000</v>
      </c>
      <c r="AR29" s="111">
        <f t="shared" si="14"/>
        <v>21850000</v>
      </c>
      <c r="AS29" s="114">
        <f t="shared" si="14"/>
        <v>19409351.73</v>
      </c>
      <c r="AT29" s="153">
        <f t="shared" si="14"/>
        <v>0</v>
      </c>
      <c r="AU29" s="153">
        <f t="shared" si="14"/>
        <v>0</v>
      </c>
      <c r="AV29" s="153">
        <f t="shared" si="14"/>
        <v>36716.63999999997</v>
      </c>
      <c r="AW29" s="153">
        <f t="shared" si="14"/>
        <v>0</v>
      </c>
      <c r="AX29" s="153">
        <f t="shared" si="14"/>
        <v>6341171.7000000002</v>
      </c>
      <c r="AY29" s="153">
        <f t="shared" si="14"/>
        <v>0</v>
      </c>
      <c r="AZ29" s="153">
        <f t="shared" si="14"/>
        <v>4382056.9399999995</v>
      </c>
      <c r="BA29" s="153">
        <f t="shared" si="14"/>
        <v>117858.24000000001</v>
      </c>
      <c r="BB29" s="153">
        <f t="shared" si="14"/>
        <v>29785800</v>
      </c>
      <c r="BC29" s="153">
        <f t="shared" si="14"/>
        <v>18671574.310000002</v>
      </c>
      <c r="BD29" s="153">
        <f t="shared" si="14"/>
        <v>4757600</v>
      </c>
      <c r="BE29" s="153">
        <f t="shared" si="14"/>
        <v>484797.61</v>
      </c>
      <c r="BF29" s="153">
        <f t="shared" si="14"/>
        <v>0</v>
      </c>
      <c r="BG29" s="153">
        <f t="shared" si="14"/>
        <v>0</v>
      </c>
      <c r="BH29" s="153">
        <f t="shared" si="14"/>
        <v>166970819.07999995</v>
      </c>
      <c r="BI29" s="153">
        <f t="shared" si="14"/>
        <v>2461719.0699999994</v>
      </c>
      <c r="BJ29" s="153">
        <f t="shared" si="14"/>
        <v>0</v>
      </c>
      <c r="BK29" s="153">
        <f t="shared" si="14"/>
        <v>0</v>
      </c>
      <c r="BL29" s="153">
        <f t="shared" si="14"/>
        <v>248560414.10999998</v>
      </c>
      <c r="BM29" s="153">
        <f t="shared" si="14"/>
        <v>102323262.37</v>
      </c>
      <c r="BN29" s="153">
        <f t="shared" si="14"/>
        <v>10309200</v>
      </c>
      <c r="BO29" s="153">
        <f t="shared" si="14"/>
        <v>7182782.2999999998</v>
      </c>
      <c r="BP29" s="153">
        <f t="shared" si="14"/>
        <v>160369500</v>
      </c>
      <c r="BQ29" s="153">
        <f t="shared" si="14"/>
        <v>88227136.870000005</v>
      </c>
      <c r="BR29" s="153">
        <f t="shared" si="14"/>
        <v>0</v>
      </c>
      <c r="BS29" s="153">
        <f t="shared" si="14"/>
        <v>0</v>
      </c>
      <c r="BT29" s="153">
        <f t="shared" si="14"/>
        <v>0</v>
      </c>
      <c r="BU29" s="153">
        <f t="shared" si="14"/>
        <v>0</v>
      </c>
      <c r="BV29" s="153">
        <f t="shared" ref="BV29:DG29" si="16">SUM(BV11:BV28)</f>
        <v>0</v>
      </c>
      <c r="BW29" s="153">
        <f t="shared" si="16"/>
        <v>0</v>
      </c>
      <c r="BX29" s="153">
        <f t="shared" si="16"/>
        <v>75218600</v>
      </c>
      <c r="BY29" s="153">
        <f t="shared" si="16"/>
        <v>7259789.8700000001</v>
      </c>
      <c r="BZ29" s="153">
        <f t="shared" si="16"/>
        <v>0</v>
      </c>
      <c r="CA29" s="153">
        <f t="shared" si="16"/>
        <v>0</v>
      </c>
      <c r="CB29" s="153">
        <f t="shared" si="16"/>
        <v>211966499.99999997</v>
      </c>
      <c r="CC29" s="153">
        <f t="shared" si="16"/>
        <v>109364503.24999999</v>
      </c>
      <c r="CD29" s="153">
        <f t="shared" si="16"/>
        <v>3243333.44</v>
      </c>
      <c r="CE29" s="153">
        <f t="shared" si="16"/>
        <v>0</v>
      </c>
      <c r="CF29" s="153">
        <f t="shared" si="16"/>
        <v>1232896934.3200002</v>
      </c>
      <c r="CG29" s="153">
        <f t="shared" si="16"/>
        <v>856908389.75999999</v>
      </c>
      <c r="CH29" s="153">
        <f t="shared" si="16"/>
        <v>234939640.48000002</v>
      </c>
      <c r="CI29" s="153">
        <f t="shared" si="16"/>
        <v>157410047.37</v>
      </c>
      <c r="CJ29" s="153">
        <f t="shared" si="16"/>
        <v>46452800</v>
      </c>
      <c r="CK29" s="153">
        <f t="shared" si="16"/>
        <v>24185333.350000001</v>
      </c>
      <c r="CL29" s="153">
        <f t="shared" si="16"/>
        <v>0</v>
      </c>
      <c r="CM29" s="153">
        <f t="shared" si="16"/>
        <v>0</v>
      </c>
      <c r="CN29" s="153">
        <f t="shared" si="16"/>
        <v>0</v>
      </c>
      <c r="CO29" s="153">
        <f t="shared" si="16"/>
        <v>0</v>
      </c>
      <c r="CP29" s="153">
        <f t="shared" si="16"/>
        <v>1553000</v>
      </c>
      <c r="CQ29" s="153">
        <f t="shared" si="16"/>
        <v>1553000</v>
      </c>
      <c r="CR29" s="153">
        <f t="shared" si="16"/>
        <v>0</v>
      </c>
      <c r="CS29" s="153">
        <f t="shared" si="16"/>
        <v>0</v>
      </c>
      <c r="CT29" s="153">
        <f t="shared" si="16"/>
        <v>171342840.47999999</v>
      </c>
      <c r="CU29" s="153">
        <f t="shared" si="16"/>
        <v>118740563.34</v>
      </c>
      <c r="CV29" s="153">
        <f t="shared" si="16"/>
        <v>15591000</v>
      </c>
      <c r="CW29" s="153">
        <f t="shared" si="16"/>
        <v>12931150.679999998</v>
      </c>
      <c r="CX29" s="111">
        <f t="shared" si="16"/>
        <v>392358901.65000004</v>
      </c>
      <c r="CY29" s="114">
        <f t="shared" si="16"/>
        <v>333790144.28999996</v>
      </c>
      <c r="CZ29" s="111">
        <f t="shared" ref="CZ29:DA29" si="17">SUM(CZ11:CZ28)</f>
        <v>0</v>
      </c>
      <c r="DA29" s="114">
        <f t="shared" si="17"/>
        <v>0</v>
      </c>
      <c r="DB29" s="153">
        <f t="shared" si="16"/>
        <v>44791312.649999999</v>
      </c>
      <c r="DC29" s="153">
        <f t="shared" si="16"/>
        <v>0</v>
      </c>
      <c r="DD29" s="153">
        <f t="shared" si="16"/>
        <v>36627760</v>
      </c>
      <c r="DE29" s="153">
        <f t="shared" si="16"/>
        <v>27602273.779999997</v>
      </c>
      <c r="DF29" s="153">
        <f t="shared" si="16"/>
        <v>310939829</v>
      </c>
      <c r="DG29" s="153">
        <f t="shared" si="16"/>
        <v>306187870.50999999</v>
      </c>
      <c r="DI29" s="452">
        <f t="shared" si="4"/>
        <v>188486.84048000001</v>
      </c>
      <c r="DJ29" s="452">
        <f t="shared" si="5"/>
        <v>133224.71402000001</v>
      </c>
    </row>
    <row r="30" spans="1:114" ht="25.5" customHeight="1" x14ac:dyDescent="0.25">
      <c r="A30" s="52"/>
      <c r="B30" s="472"/>
      <c r="C30" s="425"/>
      <c r="D30" s="52"/>
      <c r="E30" s="472"/>
      <c r="F30" s="473"/>
      <c r="G30" s="473"/>
      <c r="H30" s="474"/>
      <c r="I30" s="473"/>
      <c r="J30" s="474"/>
      <c r="K30" s="473"/>
      <c r="L30" s="475"/>
      <c r="M30" s="124"/>
      <c r="N30" s="126"/>
      <c r="O30" s="124"/>
      <c r="P30" s="126"/>
      <c r="Q30" s="124"/>
      <c r="R30" s="126"/>
      <c r="S30" s="137"/>
      <c r="T30" s="126"/>
      <c r="U30" s="137"/>
      <c r="V30" s="126"/>
      <c r="W30" s="129"/>
      <c r="X30" s="120"/>
      <c r="Y30" s="135"/>
      <c r="Z30" s="120"/>
      <c r="AA30" s="135"/>
      <c r="AB30" s="120"/>
      <c r="AC30" s="135"/>
      <c r="AD30" s="120"/>
      <c r="AE30" s="135"/>
      <c r="AF30" s="120"/>
      <c r="AG30" s="135"/>
      <c r="AH30" s="120"/>
      <c r="AI30" s="135"/>
      <c r="AJ30" s="120"/>
      <c r="AK30" s="135"/>
      <c r="AL30" s="120"/>
      <c r="AM30" s="135"/>
      <c r="AN30" s="120"/>
      <c r="AO30" s="135"/>
      <c r="AP30" s="120"/>
      <c r="AQ30" s="135"/>
      <c r="AR30" s="126"/>
      <c r="AS30" s="135"/>
      <c r="AT30" s="126"/>
      <c r="AU30" s="135"/>
      <c r="AV30" s="120"/>
      <c r="AW30" s="135"/>
      <c r="AX30" s="120"/>
      <c r="AY30" s="135"/>
      <c r="AZ30" s="120"/>
      <c r="BA30" s="135"/>
      <c r="BB30" s="120"/>
      <c r="BC30" s="135"/>
      <c r="BD30" s="120"/>
      <c r="BE30" s="135"/>
      <c r="BF30" s="120"/>
      <c r="BG30" s="135"/>
      <c r="BH30" s="130"/>
      <c r="BI30" s="132"/>
      <c r="BJ30" s="120"/>
      <c r="BK30" s="135"/>
      <c r="BL30" s="120"/>
      <c r="BM30" s="135"/>
      <c r="BN30" s="120"/>
      <c r="BO30" s="135"/>
      <c r="BP30" s="120"/>
      <c r="BQ30" s="135"/>
      <c r="BR30" s="120"/>
      <c r="BS30" s="135"/>
      <c r="BT30" s="120"/>
      <c r="BU30" s="135"/>
      <c r="BV30" s="120"/>
      <c r="BW30" s="135"/>
      <c r="BX30" s="120"/>
      <c r="BY30" s="135"/>
      <c r="BZ30" s="120"/>
      <c r="CA30" s="135"/>
      <c r="CB30" s="120"/>
      <c r="CC30" s="135"/>
      <c r="CD30" s="120"/>
      <c r="CE30" s="135"/>
      <c r="CF30" s="120"/>
      <c r="CG30" s="135"/>
      <c r="CH30" s="476"/>
      <c r="CI30" s="118"/>
      <c r="CJ30" s="126"/>
      <c r="CK30" s="135"/>
      <c r="CL30" s="137"/>
      <c r="CM30" s="137"/>
      <c r="CN30" s="477"/>
      <c r="CO30" s="478"/>
      <c r="CP30" s="479"/>
      <c r="CQ30" s="478"/>
      <c r="CR30" s="479"/>
      <c r="CS30" s="478"/>
      <c r="CT30" s="120"/>
      <c r="CU30" s="124"/>
      <c r="CV30" s="120"/>
      <c r="CW30" s="124"/>
      <c r="CX30" s="480"/>
      <c r="CY30" s="118"/>
      <c r="CZ30" s="120"/>
      <c r="DA30" s="135"/>
      <c r="DB30" s="120"/>
      <c r="DC30" s="135"/>
      <c r="DD30" s="120"/>
      <c r="DE30" s="135"/>
      <c r="DF30" s="120"/>
      <c r="DG30" s="135"/>
      <c r="DI30" s="452">
        <f t="shared" si="4"/>
        <v>0</v>
      </c>
      <c r="DJ30" s="452">
        <f t="shared" si="5"/>
        <v>0</v>
      </c>
    </row>
    <row r="31" spans="1:114" ht="25.5" customHeight="1" x14ac:dyDescent="0.25">
      <c r="A31" s="68" t="s">
        <v>1299</v>
      </c>
      <c r="B31" s="453">
        <f>D31+L31</f>
        <v>342597383.06</v>
      </c>
      <c r="C31" s="454">
        <f>E31+M31</f>
        <v>208937599.19</v>
      </c>
      <c r="D31" s="1144">
        <f t="shared" ref="D31:D32" si="18">F31+J31+H31</f>
        <v>37759000</v>
      </c>
      <c r="E31" s="1145">
        <f t="shared" ref="E31:E32" si="19">G31+K31+I31</f>
        <v>0</v>
      </c>
      <c r="F31" s="443">
        <f>'Проверочная  таблица'!BL32+'Проверочная  таблица'!BN32</f>
        <v>0</v>
      </c>
      <c r="G31" s="442">
        <f>'Проверочная  таблица'!BM32+'Проверочная  таблица'!BO32</f>
        <v>0</v>
      </c>
      <c r="H31" s="442">
        <f>'Проверочная  таблица'!BU32</f>
        <v>37759000</v>
      </c>
      <c r="I31" s="443">
        <f>'Проверочная  таблица'!BX32</f>
        <v>0</v>
      </c>
      <c r="J31" s="442">
        <f>'Проверочная  таблица'!BV32</f>
        <v>0</v>
      </c>
      <c r="K31" s="443">
        <f>'Проверочная  таблица'!BY32</f>
        <v>0</v>
      </c>
      <c r="L31" s="76">
        <f>N31+CH31+CX31</f>
        <v>304838383.06</v>
      </c>
      <c r="M31" s="71">
        <f>O31+CI31+CY31</f>
        <v>208937599.19</v>
      </c>
      <c r="N31" s="69">
        <f t="shared" ref="N31:N32" si="20">V31+BH31+AV31+BL31+BJ31+AT31+X31+BB31+AD31+P31+BN31+CB31+CF31+Z31+BD31+BF31+AB31+CD31+R31+BZ31+AJ31+BT31+BV31+AX31+T31+BX31+BR31+AZ31+AL31+AH31+AN31+AF31+AP31+AR31+BP31</f>
        <v>133407787.51000001</v>
      </c>
      <c r="O31" s="69">
        <f t="shared" ref="O31:O32" si="21">W31+BI31+AW31+BM31+BK31+AU31+Y31+BC31+AE31+Q31+BO31+CC31+CG31+AA31+BE31+BG31+AC31+CE31+S31+CA31+AK31+BU31+BW31+AY31+U31+BY31+BS31+BA31+AM31+AI31+AO31+AG31+AQ31+AS31+BQ31</f>
        <v>126600146.53999999</v>
      </c>
      <c r="P31" s="76">
        <f>'Проверочная  таблица'!CP32</f>
        <v>0</v>
      </c>
      <c r="Q31" s="71">
        <f>'Проверочная  таблица'!CW32</f>
        <v>0</v>
      </c>
      <c r="R31" s="76">
        <f>'Проверочная  таблица'!CR32</f>
        <v>0</v>
      </c>
      <c r="S31" s="71">
        <f>'Проверочная  таблица'!CY32</f>
        <v>0</v>
      </c>
      <c r="T31" s="76">
        <f>'Проверочная  таблица'!CT32</f>
        <v>0</v>
      </c>
      <c r="U31" s="71">
        <f>'Проверочная  таблица'!DA32</f>
        <v>0</v>
      </c>
      <c r="V31" s="75">
        <f>'Проверочная  таблица'!DV32</f>
        <v>0</v>
      </c>
      <c r="W31" s="76">
        <f>'Проверочная  таблица'!DY32</f>
        <v>0</v>
      </c>
      <c r="X31" s="76">
        <f>'Проверочная  таблица'!EB32</f>
        <v>0</v>
      </c>
      <c r="Y31" s="71">
        <f>'Проверочная  таблица'!EE32</f>
        <v>0</v>
      </c>
      <c r="Z31" s="76">
        <f>'Проверочная  таблица'!EI32</f>
        <v>0</v>
      </c>
      <c r="AA31" s="71">
        <f>'Проверочная  таблица'!EM32</f>
        <v>0</v>
      </c>
      <c r="AB31" s="76">
        <f>'Проверочная  таблица'!EP32</f>
        <v>0</v>
      </c>
      <c r="AC31" s="71">
        <f>'Проверочная  таблица'!ES32</f>
        <v>0</v>
      </c>
      <c r="AD31" s="76">
        <f>'Проверочная  таблица'!EV32+'Проверочная  таблица'!FB32</f>
        <v>0</v>
      </c>
      <c r="AE31" s="71">
        <f>'Проверочная  таблица'!EY32+'Проверочная  таблица'!FE32</f>
        <v>0</v>
      </c>
      <c r="AF31" s="76">
        <f>'Проверочная  таблица'!FT32</f>
        <v>0</v>
      </c>
      <c r="AG31" s="71">
        <f>'Проверочная  таблица'!FW32</f>
        <v>0</v>
      </c>
      <c r="AH31" s="76">
        <f>'Проверочная  таблица'!FZ32+'Проверочная  таблица'!GF32</f>
        <v>0</v>
      </c>
      <c r="AI31" s="71">
        <f>'Проверочная  таблица'!GC32+'Проверочная  таблица'!GI32</f>
        <v>0</v>
      </c>
      <c r="AJ31" s="76">
        <f>'Проверочная  таблица'!GP32</f>
        <v>0</v>
      </c>
      <c r="AK31" s="71">
        <f>'Проверочная  таблица'!GT32</f>
        <v>0</v>
      </c>
      <c r="AL31" s="76">
        <f>'Проверочная  таблица'!HF32</f>
        <v>0</v>
      </c>
      <c r="AM31" s="71">
        <f>'Проверочная  таблица'!HI32</f>
        <v>0</v>
      </c>
      <c r="AN31" s="76">
        <f>'Проверочная  таблица'!HL32+'Проверочная  таблица'!HR32</f>
        <v>0</v>
      </c>
      <c r="AO31" s="71">
        <f>'Проверочная  таблица'!HO32+'Проверочная  таблица'!HU32</f>
        <v>0</v>
      </c>
      <c r="AP31" s="76">
        <f>'Проверочная  таблица'!IJ32+'Проверочная  таблица'!IP32</f>
        <v>0</v>
      </c>
      <c r="AQ31" s="71">
        <f>'Проверочная  таблица'!IM32+'Проверочная  таблица'!IS32</f>
        <v>0</v>
      </c>
      <c r="AR31" s="75">
        <f>'Проверочная  таблица'!IZ32</f>
        <v>0</v>
      </c>
      <c r="AS31" s="71">
        <f>'Проверочная  таблица'!JC32</f>
        <v>0</v>
      </c>
      <c r="AT31" s="75">
        <f>'Проверочная  таблица'!JF32</f>
        <v>2488300</v>
      </c>
      <c r="AU31" s="71">
        <f>'Проверочная  таблица'!JI32</f>
        <v>2488300</v>
      </c>
      <c r="AV31" s="76">
        <f>'Проверочная  таблица'!JL32+'Проверочная  таблица'!JR32</f>
        <v>0</v>
      </c>
      <c r="AW31" s="71">
        <f>'Проверочная  таблица'!JO32+'Проверочная  таблица'!JU32</f>
        <v>0</v>
      </c>
      <c r="AX31" s="76">
        <f>'Проверочная  таблица'!KJ32+'Проверочная  таблица'!KT32</f>
        <v>826233.13</v>
      </c>
      <c r="AY31" s="71">
        <f>'Проверочная  таблица'!KY32+'Проверочная  таблица'!KO32</f>
        <v>0</v>
      </c>
      <c r="AZ31" s="76">
        <f>'Проверочная  таблица'!KL32+'Проверочная  таблица'!KV32</f>
        <v>35144.9</v>
      </c>
      <c r="BA31" s="71">
        <f>'Проверочная  таблица'!LA32+'Проверочная  таблица'!KQ32</f>
        <v>0</v>
      </c>
      <c r="BB31" s="76">
        <f>'Проверочная  таблица'!LQ32+'Проверочная  таблица'!LY32</f>
        <v>0</v>
      </c>
      <c r="BC31" s="71">
        <f>'Проверочная  таблица'!MC32+'Проверочная  таблица'!LU32</f>
        <v>0</v>
      </c>
      <c r="BD31" s="76">
        <f>'Проверочная  таблица'!MX32</f>
        <v>0</v>
      </c>
      <c r="BE31" s="71">
        <f>'Проверочная  таблица'!NF32</f>
        <v>0</v>
      </c>
      <c r="BF31" s="76">
        <f>'Проверочная  таблица'!MV32</f>
        <v>0</v>
      </c>
      <c r="BG31" s="71">
        <f>'Проверочная  таблица'!ND32</f>
        <v>0</v>
      </c>
      <c r="BH31" s="76">
        <f>'Проверочная  таблица'!NA32+'Проверочная  таблица'!NL32</f>
        <v>329409.48</v>
      </c>
      <c r="BI31" s="71">
        <f>'Проверочная  таблица'!NO32+'Проверочная  таблица'!NI32</f>
        <v>329409.48</v>
      </c>
      <c r="BJ31" s="76">
        <f>'Проверочная  таблица'!OD32</f>
        <v>0</v>
      </c>
      <c r="BK31" s="71">
        <f>'Проверочная  таблица'!OH32</f>
        <v>0</v>
      </c>
      <c r="BL31" s="76">
        <f>'Проверочная  таблица'!OL32+'Проверочная  таблица'!OT32</f>
        <v>29000000</v>
      </c>
      <c r="BM31" s="71">
        <f>'Проверочная  таблица'!OP32+'Проверочная  таблица'!OX32</f>
        <v>23053737.059999999</v>
      </c>
      <c r="BN31" s="76">
        <f>'Проверочная  таблица'!QB32+'Проверочная  таблица'!PR32</f>
        <v>0</v>
      </c>
      <c r="BO31" s="71">
        <f>'Проверочная  таблица'!QE32+'Проверочная  таблица'!PW32</f>
        <v>0</v>
      </c>
      <c r="BP31" s="76"/>
      <c r="BQ31" s="71"/>
      <c r="BR31" s="76">
        <f>'Проверочная  таблица'!QT32</f>
        <v>0</v>
      </c>
      <c r="BS31" s="71">
        <f>'Проверочная  таблица'!QW32</f>
        <v>0</v>
      </c>
      <c r="BT31" s="76">
        <f>'Проверочная  таблица'!QZ32+'Проверочная  таблица'!RF32</f>
        <v>0</v>
      </c>
      <c r="BU31" s="71">
        <f>'Проверочная  таблица'!RC32+'Проверочная  таблица'!RI32</f>
        <v>0</v>
      </c>
      <c r="BV31" s="76">
        <f>'Проверочная  таблица'!RX32</f>
        <v>0</v>
      </c>
      <c r="BW31" s="71">
        <f>'Проверочная  таблица'!SA32</f>
        <v>0</v>
      </c>
      <c r="BX31" s="76">
        <f>'Проверочная  таблица'!SE32</f>
        <v>100728700</v>
      </c>
      <c r="BY31" s="71">
        <f>'Проверочная  таблица'!SI32</f>
        <v>100728700</v>
      </c>
      <c r="BZ31" s="76">
        <f>'Проверочная  таблица'!SL32</f>
        <v>0</v>
      </c>
      <c r="CA31" s="71">
        <f>'Проверочная  таблица'!SO32</f>
        <v>0</v>
      </c>
      <c r="CB31" s="76">
        <f>'Проверочная  таблица'!TF32+'Проверочная  таблица'!SR32</f>
        <v>0</v>
      </c>
      <c r="CC31" s="71">
        <f>'Проверочная  таблица'!TM32+'Проверочная  таблица'!SY32</f>
        <v>0</v>
      </c>
      <c r="CD31" s="76">
        <f>'Проверочная  таблица'!ST32+'Проверочная  таблица'!TH32</f>
        <v>0</v>
      </c>
      <c r="CE31" s="71">
        <f>'Проверочная  таблица'!TO32+'Проверочная  таблица'!TA32</f>
        <v>0</v>
      </c>
      <c r="CF31" s="76">
        <f>'Проверочная  таблица'!TJ32+'Проверочная  таблица'!SV32</f>
        <v>0</v>
      </c>
      <c r="CG31" s="71">
        <f>'Проверочная  таблица'!TQ32+'Проверочная  таблица'!TC32</f>
        <v>0</v>
      </c>
      <c r="CH31" s="76">
        <f t="shared" ref="CH31:CI32" si="22">CV31+CJ31+CP31+CL31+CN31+CR31+CT31</f>
        <v>39412696.710000001</v>
      </c>
      <c r="CI31" s="71">
        <f t="shared" si="22"/>
        <v>27051464.280000001</v>
      </c>
      <c r="CJ31" s="75">
        <f>'Проверочная  таблица'!VN32</f>
        <v>0</v>
      </c>
      <c r="CK31" s="71">
        <f>'Проверочная  таблица'!VO32</f>
        <v>0</v>
      </c>
      <c r="CL31" s="77">
        <f>'Проверочная  таблица'!VP32</f>
        <v>0</v>
      </c>
      <c r="CM31" s="77">
        <f>'Проверочная  таблица'!VQ32</f>
        <v>0</v>
      </c>
      <c r="CN31" s="457">
        <f>'Проверочная  таблица'!VR32</f>
        <v>0</v>
      </c>
      <c r="CO31" s="458">
        <f>'Проверочная  таблица'!VS32</f>
        <v>0</v>
      </c>
      <c r="CP31" s="481">
        <f>'Проверочная  таблица'!VT32</f>
        <v>0</v>
      </c>
      <c r="CQ31" s="458">
        <f>'Проверочная  таблица'!VU32</f>
        <v>0</v>
      </c>
      <c r="CR31" s="481">
        <f>'Проверочная  таблица'!VV32</f>
        <v>1567098.0000000002</v>
      </c>
      <c r="CS31" s="458">
        <f>'Проверочная  таблица'!VW32</f>
        <v>1567098</v>
      </c>
      <c r="CT31" s="76">
        <f>'Проверочная  таблица'!VZ32</f>
        <v>36730598.710000001</v>
      </c>
      <c r="CU31" s="71">
        <f>'Проверочная  таблица'!WC32</f>
        <v>24568878</v>
      </c>
      <c r="CV31" s="76">
        <f>'Проверочная  таблица'!WF32</f>
        <v>1115000</v>
      </c>
      <c r="CW31" s="71">
        <f>'Проверочная  таблица'!WI32</f>
        <v>915488.28</v>
      </c>
      <c r="CX31" s="76">
        <f t="shared" ref="CX31:CX32" si="23">DF31+DD31+DB31+CZ31</f>
        <v>132017898.84</v>
      </c>
      <c r="CY31" s="71">
        <f t="shared" ref="CY31:CY32" si="24">DG31+DE31+DC31+DA31</f>
        <v>55285988.369999997</v>
      </c>
      <c r="CZ31" s="76">
        <f>'Проверочная  таблица'!WN32</f>
        <v>0</v>
      </c>
      <c r="DA31" s="71">
        <f>'Проверочная  таблица'!WQ32</f>
        <v>0</v>
      </c>
      <c r="DB31" s="76">
        <f>'Проверочная  таблица'!WT32</f>
        <v>91214000.659999996</v>
      </c>
      <c r="DC31" s="71">
        <f>'Проверочная  таблица'!WW32</f>
        <v>15165125.710000001</v>
      </c>
      <c r="DD31" s="76">
        <f>'Проверочная  таблица'!WZ32</f>
        <v>3073658.1799999997</v>
      </c>
      <c r="DE31" s="71">
        <f>'Проверочная  таблица'!XC32</f>
        <v>2390622.66</v>
      </c>
      <c r="DF31" s="76">
        <f>'Проверочная  таблица'!XF32</f>
        <v>37730240</v>
      </c>
      <c r="DG31" s="71">
        <f>'Проверочная  таблица'!XI32</f>
        <v>37730240</v>
      </c>
      <c r="DI31" s="452">
        <f t="shared" si="4"/>
        <v>39412.696710000004</v>
      </c>
      <c r="DJ31" s="452">
        <f t="shared" si="5"/>
        <v>27051.46428</v>
      </c>
    </row>
    <row r="32" spans="1:114" ht="25.5" customHeight="1" thickBot="1" x14ac:dyDescent="0.3">
      <c r="A32" s="52" t="s">
        <v>1300</v>
      </c>
      <c r="B32" s="453">
        <f>D32+L32</f>
        <v>4330911343.46</v>
      </c>
      <c r="C32" s="454">
        <f>E32+M32</f>
        <v>2701131090.96</v>
      </c>
      <c r="D32" s="1144">
        <f t="shared" si="18"/>
        <v>0</v>
      </c>
      <c r="E32" s="1145">
        <f t="shared" si="19"/>
        <v>0</v>
      </c>
      <c r="F32" s="443">
        <f>'Проверочная  таблица'!BL33+'Проверочная  таблица'!BN33</f>
        <v>0</v>
      </c>
      <c r="G32" s="442">
        <f>'Проверочная  таблица'!BM33+'Проверочная  таблица'!BO33</f>
        <v>0</v>
      </c>
      <c r="H32" s="442">
        <f>'Проверочная  таблица'!BU33</f>
        <v>0</v>
      </c>
      <c r="I32" s="443">
        <f>'Проверочная  таблица'!BX33</f>
        <v>0</v>
      </c>
      <c r="J32" s="442">
        <f>'Проверочная  таблица'!BV33</f>
        <v>0</v>
      </c>
      <c r="K32" s="443">
        <f>'Проверочная  таблица'!BY33</f>
        <v>0</v>
      </c>
      <c r="L32" s="76">
        <f>N32+CH32+CX32</f>
        <v>4330911343.46</v>
      </c>
      <c r="M32" s="71">
        <f>O32+CI32+CY32</f>
        <v>2701131090.96</v>
      </c>
      <c r="N32" s="69">
        <f t="shared" si="20"/>
        <v>3908739524.3400002</v>
      </c>
      <c r="O32" s="69">
        <f t="shared" si="21"/>
        <v>2407912288.96</v>
      </c>
      <c r="P32" s="76">
        <f>'Проверочная  таблица'!CP33</f>
        <v>21770300</v>
      </c>
      <c r="Q32" s="71">
        <f>'Проверочная  таблица'!CW33</f>
        <v>6326925.6400000006</v>
      </c>
      <c r="R32" s="76">
        <f>'Проверочная  таблица'!CR33</f>
        <v>720202200</v>
      </c>
      <c r="S32" s="71">
        <f>'Проверочная  таблица'!CY33</f>
        <v>233933281.38</v>
      </c>
      <c r="T32" s="76">
        <f>'Проверочная  таблица'!CT33</f>
        <v>75345743.200000003</v>
      </c>
      <c r="U32" s="71">
        <f>'Проверочная  таблица'!DA33</f>
        <v>66279834.93</v>
      </c>
      <c r="V32" s="75">
        <f>'Проверочная  таблица'!DV33</f>
        <v>0</v>
      </c>
      <c r="W32" s="76">
        <f>'Проверочная  таблица'!DY33</f>
        <v>0</v>
      </c>
      <c r="X32" s="76">
        <f>'Проверочная  таблица'!EB33</f>
        <v>0</v>
      </c>
      <c r="Y32" s="71">
        <f>'Проверочная  таблица'!EE33</f>
        <v>0</v>
      </c>
      <c r="Z32" s="76">
        <f>'Проверочная  таблица'!EI33</f>
        <v>844127500</v>
      </c>
      <c r="AA32" s="71">
        <f>'Проверочная  таблица'!EM33</f>
        <v>721311012.22000003</v>
      </c>
      <c r="AB32" s="76">
        <f>'Проверочная  таблица'!EP33</f>
        <v>115116800</v>
      </c>
      <c r="AC32" s="71">
        <f>'Проверочная  таблица'!ES33</f>
        <v>104137919.87</v>
      </c>
      <c r="AD32" s="76">
        <f>'Проверочная  таблица'!EV33+'Проверочная  таблица'!FB33</f>
        <v>14320379.789999999</v>
      </c>
      <c r="AE32" s="71">
        <f>'Проверочная  таблица'!EY33+'Проверочная  таблица'!FE33</f>
        <v>0</v>
      </c>
      <c r="AF32" s="76">
        <f>'Проверочная  таблица'!FT33</f>
        <v>0</v>
      </c>
      <c r="AG32" s="71">
        <f>'Проверочная  таблица'!FW33</f>
        <v>0</v>
      </c>
      <c r="AH32" s="76">
        <f>'Проверочная  таблица'!FZ33+'Проверочная  таблица'!GF33</f>
        <v>0</v>
      </c>
      <c r="AI32" s="71">
        <f>'Проверочная  таблица'!GC33+'Проверочная  таблица'!GI33</f>
        <v>0</v>
      </c>
      <c r="AJ32" s="76">
        <f>'Проверочная  таблица'!GP33</f>
        <v>260033228.37</v>
      </c>
      <c r="AK32" s="71">
        <f>'Проверочная  таблица'!GT33</f>
        <v>181521985.75</v>
      </c>
      <c r="AL32" s="76">
        <f>'Проверочная  таблица'!HF33</f>
        <v>1404739120.51</v>
      </c>
      <c r="AM32" s="71">
        <f>'Проверочная  таблица'!HI33</f>
        <v>715988056.25999999</v>
      </c>
      <c r="AN32" s="76">
        <f>'Проверочная  таблица'!HL33+'Проверочная  таблица'!HR33</f>
        <v>0</v>
      </c>
      <c r="AO32" s="71">
        <f>'Проверочная  таблица'!HO33+'Проверочная  таблица'!HU33</f>
        <v>0</v>
      </c>
      <c r="AP32" s="76">
        <f>'Проверочная  таблица'!IJ33+'Проверочная  таблица'!IP33</f>
        <v>0</v>
      </c>
      <c r="AQ32" s="71">
        <f>'Проверочная  таблица'!IM33+'Проверочная  таблица'!IS33</f>
        <v>0</v>
      </c>
      <c r="AR32" s="75">
        <f>'Проверочная  таблица'!IZ33</f>
        <v>0</v>
      </c>
      <c r="AS32" s="71">
        <f>'Проверочная  таблица'!JC33</f>
        <v>0</v>
      </c>
      <c r="AT32" s="94">
        <f>'Проверочная  таблица'!JF33</f>
        <v>0</v>
      </c>
      <c r="AU32" s="89">
        <f>'Проверочная  таблица'!JI33</f>
        <v>0</v>
      </c>
      <c r="AV32" s="76">
        <f>'Проверочная  таблица'!JL33+'Проверочная  таблица'!JR33</f>
        <v>0</v>
      </c>
      <c r="AW32" s="71">
        <f>'Проверочная  таблица'!JO33+'Проверочная  таблица'!JU33</f>
        <v>0</v>
      </c>
      <c r="AX32" s="76">
        <f>'Проверочная  таблица'!KJ33+'Проверочная  таблица'!KT33</f>
        <v>1888482.88</v>
      </c>
      <c r="AY32" s="71">
        <f>'Проверочная  таблица'!KY33+'Проверочная  таблица'!KO33</f>
        <v>0</v>
      </c>
      <c r="AZ32" s="76">
        <f>'Проверочная  таблица'!KL33+'Проверочная  таблица'!KV33</f>
        <v>2107198.16</v>
      </c>
      <c r="BA32" s="71">
        <f>'Проверочная  таблица'!LA33+'Проверочная  таблица'!KQ33</f>
        <v>0</v>
      </c>
      <c r="BB32" s="76">
        <f>'Проверочная  таблица'!LQ33+'Проверочная  таблица'!LY33</f>
        <v>0</v>
      </c>
      <c r="BC32" s="71">
        <f>'Проверочная  таблица'!MC33+'Проверочная  таблица'!LU33</f>
        <v>0</v>
      </c>
      <c r="BD32" s="76">
        <f>'Проверочная  таблица'!MX33</f>
        <v>0</v>
      </c>
      <c r="BE32" s="71">
        <f>'Проверочная  таблица'!NF33</f>
        <v>0</v>
      </c>
      <c r="BF32" s="76">
        <f>'Проверочная  таблица'!MV33</f>
        <v>0</v>
      </c>
      <c r="BG32" s="71">
        <f>'Проверочная  таблица'!ND33</f>
        <v>0</v>
      </c>
      <c r="BH32" s="145">
        <f>'Проверочная  таблица'!NA33+'Проверочная  таблица'!NL33</f>
        <v>892171.43</v>
      </c>
      <c r="BI32" s="69">
        <f>'Проверочная  таблица'!NO33+'Проверочная  таблица'!NI33</f>
        <v>892171.42</v>
      </c>
      <c r="BJ32" s="76">
        <f>'Проверочная  таблица'!OD33</f>
        <v>0</v>
      </c>
      <c r="BK32" s="71">
        <f>'Проверочная  таблица'!OH33</f>
        <v>0</v>
      </c>
      <c r="BL32" s="76">
        <f>'Проверочная  таблица'!OL33+'Проверочная  таблица'!OT33</f>
        <v>139384500</v>
      </c>
      <c r="BM32" s="71">
        <f>'Проверочная  таблица'!OP33+'Проверочная  таблица'!OX33</f>
        <v>96023172.590000004</v>
      </c>
      <c r="BN32" s="76">
        <f>'Проверочная  таблица'!QB33+'Проверочная  таблица'!PR33</f>
        <v>0</v>
      </c>
      <c r="BO32" s="71">
        <f>'Проверочная  таблица'!QE33+'Проверочная  таблица'!PW33</f>
        <v>0</v>
      </c>
      <c r="BP32" s="76"/>
      <c r="BQ32" s="71"/>
      <c r="BR32" s="76">
        <f>'Проверочная  таблица'!QT33</f>
        <v>6625800</v>
      </c>
      <c r="BS32" s="71">
        <f>'Проверочная  таблица'!QW33</f>
        <v>3117823.01</v>
      </c>
      <c r="BT32" s="76">
        <f>'Проверочная  таблица'!QZ33+'Проверочная  таблица'!RF33</f>
        <v>0</v>
      </c>
      <c r="BU32" s="71">
        <f>'Проверочная  таблица'!RC33+'Проверочная  таблица'!RI33</f>
        <v>0</v>
      </c>
      <c r="BV32" s="76">
        <f>'Проверочная  таблица'!RX33</f>
        <v>0</v>
      </c>
      <c r="BW32" s="71">
        <f>'Проверочная  таблица'!SA33</f>
        <v>0</v>
      </c>
      <c r="BX32" s="76">
        <f>'Проверочная  таблица'!SE33</f>
        <v>302186100</v>
      </c>
      <c r="BY32" s="71">
        <f>'Проверочная  таблица'!SI33</f>
        <v>278380105.88999999</v>
      </c>
      <c r="BZ32" s="76">
        <f>'Проверочная  таблица'!SL33</f>
        <v>0</v>
      </c>
      <c r="CA32" s="71">
        <f>'Проверочная  таблица'!SO33</f>
        <v>0</v>
      </c>
      <c r="CB32" s="76">
        <f>'Проверочная  таблица'!TF33+'Проверочная  таблица'!SR33</f>
        <v>0</v>
      </c>
      <c r="CC32" s="71">
        <f>'Проверочная  таблица'!TM33+'Проверочная  таблица'!SY33</f>
        <v>0</v>
      </c>
      <c r="CD32" s="76">
        <f>'Проверочная  таблица'!ST33+'Проверочная  таблица'!TH33</f>
        <v>0</v>
      </c>
      <c r="CE32" s="71">
        <f>'Проверочная  таблица'!TO33+'Проверочная  таблица'!TA33</f>
        <v>0</v>
      </c>
      <c r="CF32" s="76">
        <f>'Проверочная  таблица'!TJ33+'Проверочная  таблица'!SV33</f>
        <v>0</v>
      </c>
      <c r="CG32" s="71">
        <f>'Проверочная  таблица'!TQ33+'Проверочная  таблица'!TC33</f>
        <v>0</v>
      </c>
      <c r="CH32" s="76">
        <f t="shared" si="22"/>
        <v>220911062.81</v>
      </c>
      <c r="CI32" s="71">
        <f t="shared" si="22"/>
        <v>143072202</v>
      </c>
      <c r="CJ32" s="75">
        <f>'Проверочная  таблица'!VN33</f>
        <v>0</v>
      </c>
      <c r="CK32" s="71">
        <f>'Проверочная  таблица'!VO33</f>
        <v>0</v>
      </c>
      <c r="CL32" s="77">
        <f>'Проверочная  таблица'!VP33</f>
        <v>63100</v>
      </c>
      <c r="CM32" s="77">
        <f>'Проверочная  таблица'!VQ33</f>
        <v>0</v>
      </c>
      <c r="CN32" s="457">
        <f>'Проверочная  таблица'!VR33</f>
        <v>0</v>
      </c>
      <c r="CO32" s="458">
        <f>'Проверочная  таблица'!VS33</f>
        <v>0</v>
      </c>
      <c r="CP32" s="481">
        <f>'Проверочная  таблица'!VT33</f>
        <v>0</v>
      </c>
      <c r="CQ32" s="458">
        <f>'Проверочная  таблица'!VU33</f>
        <v>0</v>
      </c>
      <c r="CR32" s="481">
        <f>'Проверочная  таблица'!VV33</f>
        <v>6107502</v>
      </c>
      <c r="CS32" s="458">
        <f>'Проверочная  таблица'!VW33</f>
        <v>6107502</v>
      </c>
      <c r="CT32" s="76">
        <f>'Проверочная  таблица'!VZ33</f>
        <v>214740460.81</v>
      </c>
      <c r="CU32" s="71">
        <f>'Проверочная  таблица'!WC33</f>
        <v>136964700</v>
      </c>
      <c r="CV32" s="76">
        <f>'Проверочная  таблица'!WF33</f>
        <v>0</v>
      </c>
      <c r="CW32" s="71">
        <f>'Проверочная  таблица'!WI33</f>
        <v>0</v>
      </c>
      <c r="CX32" s="76">
        <f t="shared" si="23"/>
        <v>201260756.31</v>
      </c>
      <c r="CY32" s="71">
        <f t="shared" si="24"/>
        <v>150146600</v>
      </c>
      <c r="CZ32" s="76">
        <f>'Проверочная  таблица'!WN33</f>
        <v>0</v>
      </c>
      <c r="DA32" s="71">
        <f>'Проверочная  таблица'!WQ33</f>
        <v>0</v>
      </c>
      <c r="DB32" s="76">
        <f>'Проверочная  таблица'!WT33</f>
        <v>0</v>
      </c>
      <c r="DC32" s="71">
        <f>'Проверочная  таблица'!WW33</f>
        <v>0</v>
      </c>
      <c r="DD32" s="76">
        <f>'Проверочная  таблица'!WZ33</f>
        <v>16488425.310000001</v>
      </c>
      <c r="DE32" s="71">
        <f>'Проверочная  таблица'!XC33</f>
        <v>12486600</v>
      </c>
      <c r="DF32" s="76">
        <f>'Проверочная  таблица'!XF33</f>
        <v>184772331</v>
      </c>
      <c r="DG32" s="71">
        <f>'Проверочная  таблица'!XI33</f>
        <v>137660000</v>
      </c>
      <c r="DI32" s="452">
        <f t="shared" si="4"/>
        <v>220911.06281</v>
      </c>
      <c r="DJ32" s="452">
        <f t="shared" si="5"/>
        <v>143072.20199999999</v>
      </c>
    </row>
    <row r="33" spans="1:114" ht="25.5" customHeight="1" thickBot="1" x14ac:dyDescent="0.3">
      <c r="A33" s="1204" t="s">
        <v>338</v>
      </c>
      <c r="B33" s="132">
        <f t="shared" ref="B33:E33" si="25">SUM(B31:B32)</f>
        <v>4673508726.5200005</v>
      </c>
      <c r="C33" s="134">
        <f t="shared" si="25"/>
        <v>2910068690.1500001</v>
      </c>
      <c r="D33" s="139">
        <f t="shared" si="25"/>
        <v>37759000</v>
      </c>
      <c r="E33" s="105">
        <f t="shared" si="25"/>
        <v>0</v>
      </c>
      <c r="F33" s="482">
        <f t="shared" ref="F33:U33" si="26">SUM(F31:F32)</f>
        <v>0</v>
      </c>
      <c r="G33" s="482">
        <f t="shared" si="26"/>
        <v>0</v>
      </c>
      <c r="H33" s="483">
        <f t="shared" ref="H33:I33" si="27">SUM(H31:H32)</f>
        <v>37759000</v>
      </c>
      <c r="I33" s="470">
        <f t="shared" si="27"/>
        <v>0</v>
      </c>
      <c r="J33" s="483">
        <f t="shared" si="26"/>
        <v>0</v>
      </c>
      <c r="K33" s="470">
        <f t="shared" si="26"/>
        <v>0</v>
      </c>
      <c r="L33" s="152">
        <f t="shared" si="26"/>
        <v>4635749726.5200005</v>
      </c>
      <c r="M33" s="105">
        <f t="shared" si="26"/>
        <v>2910068690.1500001</v>
      </c>
      <c r="N33" s="154">
        <f t="shared" si="26"/>
        <v>4042147311.8500004</v>
      </c>
      <c r="O33" s="105">
        <f t="shared" si="26"/>
        <v>2534512435.5</v>
      </c>
      <c r="P33" s="134">
        <f t="shared" si="26"/>
        <v>21770300</v>
      </c>
      <c r="Q33" s="132">
        <f t="shared" si="26"/>
        <v>6326925.6400000006</v>
      </c>
      <c r="R33" s="134">
        <f t="shared" si="26"/>
        <v>720202200</v>
      </c>
      <c r="S33" s="132">
        <f t="shared" si="26"/>
        <v>233933281.38</v>
      </c>
      <c r="T33" s="134">
        <f t="shared" si="26"/>
        <v>75345743.200000003</v>
      </c>
      <c r="U33" s="105">
        <f t="shared" si="26"/>
        <v>66279834.93</v>
      </c>
      <c r="V33" s="154">
        <f>SUM(V31:V32)</f>
        <v>0</v>
      </c>
      <c r="W33" s="139">
        <f>SUM(W31:W32)</f>
        <v>0</v>
      </c>
      <c r="X33" s="152">
        <f t="shared" ref="X33:CK33" si="28">SUM(X31:X32)</f>
        <v>0</v>
      </c>
      <c r="Y33" s="105">
        <f t="shared" si="28"/>
        <v>0</v>
      </c>
      <c r="Z33" s="152">
        <f t="shared" si="28"/>
        <v>844127500</v>
      </c>
      <c r="AA33" s="105">
        <f t="shared" si="28"/>
        <v>721311012.22000003</v>
      </c>
      <c r="AB33" s="152">
        <f t="shared" si="28"/>
        <v>115116800</v>
      </c>
      <c r="AC33" s="105">
        <f t="shared" si="28"/>
        <v>104137919.87</v>
      </c>
      <c r="AD33" s="152">
        <f t="shared" si="28"/>
        <v>14320379.789999999</v>
      </c>
      <c r="AE33" s="105">
        <f t="shared" si="28"/>
        <v>0</v>
      </c>
      <c r="AF33" s="152">
        <f t="shared" si="28"/>
        <v>0</v>
      </c>
      <c r="AG33" s="105">
        <f t="shared" si="28"/>
        <v>0</v>
      </c>
      <c r="AH33" s="152">
        <f t="shared" si="28"/>
        <v>0</v>
      </c>
      <c r="AI33" s="105">
        <f t="shared" si="28"/>
        <v>0</v>
      </c>
      <c r="AJ33" s="152">
        <f t="shared" si="28"/>
        <v>260033228.37</v>
      </c>
      <c r="AK33" s="105">
        <f t="shared" si="28"/>
        <v>181521985.75</v>
      </c>
      <c r="AL33" s="152">
        <f t="shared" si="28"/>
        <v>1404739120.51</v>
      </c>
      <c r="AM33" s="105">
        <f t="shared" si="28"/>
        <v>715988056.25999999</v>
      </c>
      <c r="AN33" s="152">
        <f t="shared" si="28"/>
        <v>0</v>
      </c>
      <c r="AO33" s="105">
        <f t="shared" si="28"/>
        <v>0</v>
      </c>
      <c r="AP33" s="152">
        <f t="shared" si="28"/>
        <v>0</v>
      </c>
      <c r="AQ33" s="105">
        <f t="shared" si="28"/>
        <v>0</v>
      </c>
      <c r="AR33" s="154">
        <f t="shared" si="28"/>
        <v>0</v>
      </c>
      <c r="AS33" s="105">
        <f t="shared" si="28"/>
        <v>0</v>
      </c>
      <c r="AT33" s="154">
        <f t="shared" si="28"/>
        <v>2488300</v>
      </c>
      <c r="AU33" s="105">
        <f t="shared" si="28"/>
        <v>2488300</v>
      </c>
      <c r="AV33" s="152">
        <f t="shared" si="28"/>
        <v>0</v>
      </c>
      <c r="AW33" s="105">
        <f t="shared" si="28"/>
        <v>0</v>
      </c>
      <c r="AX33" s="152">
        <f t="shared" si="28"/>
        <v>2714716.01</v>
      </c>
      <c r="AY33" s="105">
        <f t="shared" si="28"/>
        <v>0</v>
      </c>
      <c r="AZ33" s="152">
        <f t="shared" si="28"/>
        <v>2142343.06</v>
      </c>
      <c r="BA33" s="105">
        <f t="shared" si="28"/>
        <v>0</v>
      </c>
      <c r="BB33" s="152">
        <f t="shared" si="28"/>
        <v>0</v>
      </c>
      <c r="BC33" s="105">
        <f t="shared" si="28"/>
        <v>0</v>
      </c>
      <c r="BD33" s="152">
        <f t="shared" si="28"/>
        <v>0</v>
      </c>
      <c r="BE33" s="105">
        <f t="shared" si="28"/>
        <v>0</v>
      </c>
      <c r="BF33" s="152">
        <f t="shared" si="28"/>
        <v>0</v>
      </c>
      <c r="BG33" s="105">
        <f t="shared" si="28"/>
        <v>0</v>
      </c>
      <c r="BH33" s="152">
        <f>SUM(BH31:BH32)</f>
        <v>1221580.9100000001</v>
      </c>
      <c r="BI33" s="132">
        <f>SUM(BI31:BI32)</f>
        <v>1221580.8999999999</v>
      </c>
      <c r="BJ33" s="152">
        <f t="shared" si="28"/>
        <v>0</v>
      </c>
      <c r="BK33" s="132">
        <f t="shared" si="28"/>
        <v>0</v>
      </c>
      <c r="BL33" s="152">
        <f t="shared" si="28"/>
        <v>168384500</v>
      </c>
      <c r="BM33" s="132">
        <f t="shared" si="28"/>
        <v>119076909.65000001</v>
      </c>
      <c r="BN33" s="152">
        <f t="shared" si="28"/>
        <v>0</v>
      </c>
      <c r="BO33" s="105">
        <f t="shared" si="28"/>
        <v>0</v>
      </c>
      <c r="BP33" s="152">
        <f t="shared" ref="BP33:BQ33" si="29">SUM(BP31:BP32)</f>
        <v>0</v>
      </c>
      <c r="BQ33" s="105">
        <f t="shared" si="29"/>
        <v>0</v>
      </c>
      <c r="BR33" s="152">
        <f t="shared" si="28"/>
        <v>6625800</v>
      </c>
      <c r="BS33" s="105">
        <f t="shared" si="28"/>
        <v>3117823.01</v>
      </c>
      <c r="BT33" s="152">
        <f t="shared" si="28"/>
        <v>0</v>
      </c>
      <c r="BU33" s="105">
        <f t="shared" si="28"/>
        <v>0</v>
      </c>
      <c r="BV33" s="152">
        <f t="shared" si="28"/>
        <v>0</v>
      </c>
      <c r="BW33" s="105">
        <f t="shared" si="28"/>
        <v>0</v>
      </c>
      <c r="BX33" s="152">
        <f t="shared" si="28"/>
        <v>402914800</v>
      </c>
      <c r="BY33" s="105">
        <f t="shared" si="28"/>
        <v>379108805.88999999</v>
      </c>
      <c r="BZ33" s="152">
        <f t="shared" si="28"/>
        <v>0</v>
      </c>
      <c r="CA33" s="105">
        <f t="shared" si="28"/>
        <v>0</v>
      </c>
      <c r="CB33" s="152">
        <f t="shared" si="28"/>
        <v>0</v>
      </c>
      <c r="CC33" s="105">
        <f t="shared" si="28"/>
        <v>0</v>
      </c>
      <c r="CD33" s="152">
        <f t="shared" si="28"/>
        <v>0</v>
      </c>
      <c r="CE33" s="105">
        <f t="shared" si="28"/>
        <v>0</v>
      </c>
      <c r="CF33" s="152">
        <f t="shared" si="28"/>
        <v>0</v>
      </c>
      <c r="CG33" s="105">
        <f t="shared" si="28"/>
        <v>0</v>
      </c>
      <c r="CH33" s="152">
        <f t="shared" si="28"/>
        <v>260323759.52000001</v>
      </c>
      <c r="CI33" s="105">
        <f t="shared" si="28"/>
        <v>170123666.28</v>
      </c>
      <c r="CJ33" s="154">
        <f t="shared" si="28"/>
        <v>0</v>
      </c>
      <c r="CK33" s="132">
        <f t="shared" si="28"/>
        <v>0</v>
      </c>
      <c r="CL33" s="132">
        <f t="shared" ref="CL33:DG33" si="30">SUM(CL31:CL32)</f>
        <v>63100</v>
      </c>
      <c r="CM33" s="132">
        <f t="shared" si="30"/>
        <v>0</v>
      </c>
      <c r="CN33" s="152">
        <f t="shared" si="30"/>
        <v>0</v>
      </c>
      <c r="CO33" s="132">
        <f t="shared" si="30"/>
        <v>0</v>
      </c>
      <c r="CP33" s="153">
        <f t="shared" si="30"/>
        <v>0</v>
      </c>
      <c r="CQ33" s="132">
        <f t="shared" si="30"/>
        <v>0</v>
      </c>
      <c r="CR33" s="153">
        <f>SUM(CR31:CR32)</f>
        <v>7674600</v>
      </c>
      <c r="CS33" s="132">
        <f>SUM(CS31:CS32)</f>
        <v>7674600</v>
      </c>
      <c r="CT33" s="152">
        <f t="shared" ref="CT33:CU33" si="31">SUM(CT31:CT32)</f>
        <v>251471059.52000001</v>
      </c>
      <c r="CU33" s="105">
        <f t="shared" si="31"/>
        <v>161533578</v>
      </c>
      <c r="CV33" s="152">
        <f t="shared" si="30"/>
        <v>1115000</v>
      </c>
      <c r="CW33" s="105">
        <f t="shared" si="30"/>
        <v>915488.28</v>
      </c>
      <c r="CX33" s="154">
        <f t="shared" si="30"/>
        <v>333278655.14999998</v>
      </c>
      <c r="CY33" s="105">
        <f t="shared" si="30"/>
        <v>205432588.37</v>
      </c>
      <c r="CZ33" s="152">
        <f t="shared" ref="CZ33:DA33" si="32">SUM(CZ31:CZ32)</f>
        <v>0</v>
      </c>
      <c r="DA33" s="105">
        <f t="shared" si="32"/>
        <v>0</v>
      </c>
      <c r="DB33" s="152">
        <f t="shared" si="30"/>
        <v>91214000.659999996</v>
      </c>
      <c r="DC33" s="105">
        <f t="shared" si="30"/>
        <v>15165125.710000001</v>
      </c>
      <c r="DD33" s="152">
        <f t="shared" si="30"/>
        <v>19562083.490000002</v>
      </c>
      <c r="DE33" s="105">
        <f t="shared" si="30"/>
        <v>14877222.66</v>
      </c>
      <c r="DF33" s="152">
        <f t="shared" si="30"/>
        <v>222502571</v>
      </c>
      <c r="DG33" s="105">
        <f t="shared" si="30"/>
        <v>175390240</v>
      </c>
      <c r="DI33" s="452">
        <f t="shared" si="4"/>
        <v>260323.75952000002</v>
      </c>
      <c r="DJ33" s="452">
        <f t="shared" si="5"/>
        <v>170123.66628</v>
      </c>
    </row>
    <row r="34" spans="1:114" ht="25.5" customHeight="1" x14ac:dyDescent="0.25">
      <c r="A34" s="35"/>
      <c r="B34" s="156"/>
      <c r="C34" s="161"/>
      <c r="D34" s="158"/>
      <c r="E34" s="156"/>
      <c r="F34" s="484"/>
      <c r="G34" s="484"/>
      <c r="H34" s="485"/>
      <c r="I34" s="484"/>
      <c r="J34" s="485"/>
      <c r="K34" s="484"/>
      <c r="L34" s="486"/>
      <c r="M34" s="486"/>
      <c r="N34" s="156"/>
      <c r="O34" s="156"/>
      <c r="P34" s="161"/>
      <c r="Q34" s="156"/>
      <c r="R34" s="161"/>
      <c r="S34" s="156"/>
      <c r="T34" s="161"/>
      <c r="U34" s="156"/>
      <c r="V34" s="163"/>
      <c r="W34" s="164"/>
      <c r="X34" s="165"/>
      <c r="Y34" s="166"/>
      <c r="Z34" s="165"/>
      <c r="AA34" s="166"/>
      <c r="AB34" s="165"/>
      <c r="AC34" s="166"/>
      <c r="AD34" s="165"/>
      <c r="AE34" s="166"/>
      <c r="AF34" s="165"/>
      <c r="AG34" s="166"/>
      <c r="AH34" s="165"/>
      <c r="AI34" s="166"/>
      <c r="AJ34" s="165"/>
      <c r="AK34" s="166"/>
      <c r="AL34" s="165"/>
      <c r="AM34" s="166"/>
      <c r="AN34" s="165"/>
      <c r="AO34" s="166"/>
      <c r="AP34" s="165"/>
      <c r="AQ34" s="166"/>
      <c r="AR34" s="163"/>
      <c r="AS34" s="166"/>
      <c r="AT34" s="163"/>
      <c r="AU34" s="166"/>
      <c r="AV34" s="165"/>
      <c r="AW34" s="166"/>
      <c r="AX34" s="165"/>
      <c r="AY34" s="166"/>
      <c r="AZ34" s="165"/>
      <c r="BA34" s="166"/>
      <c r="BB34" s="165"/>
      <c r="BC34" s="166"/>
      <c r="BD34" s="165"/>
      <c r="BE34" s="166"/>
      <c r="BF34" s="165"/>
      <c r="BG34" s="166"/>
      <c r="BH34" s="165"/>
      <c r="BI34" s="166"/>
      <c r="BJ34" s="165"/>
      <c r="BK34" s="166"/>
      <c r="BL34" s="165"/>
      <c r="BM34" s="166"/>
      <c r="BN34" s="165"/>
      <c r="BO34" s="166"/>
      <c r="BP34" s="165"/>
      <c r="BQ34" s="166"/>
      <c r="BR34" s="165"/>
      <c r="BS34" s="166"/>
      <c r="BT34" s="165"/>
      <c r="BU34" s="166"/>
      <c r="BV34" s="165"/>
      <c r="BW34" s="166"/>
      <c r="BX34" s="165"/>
      <c r="BY34" s="166"/>
      <c r="BZ34" s="165"/>
      <c r="CA34" s="166"/>
      <c r="CB34" s="165"/>
      <c r="CC34" s="166"/>
      <c r="CD34" s="165"/>
      <c r="CE34" s="166"/>
      <c r="CF34" s="165"/>
      <c r="CG34" s="166"/>
      <c r="CH34" s="487"/>
      <c r="CI34" s="488"/>
      <c r="CJ34" s="163"/>
      <c r="CK34" s="166"/>
      <c r="CL34" s="156"/>
      <c r="CM34" s="156"/>
      <c r="CN34" s="158"/>
      <c r="CO34" s="156"/>
      <c r="CP34" s="161"/>
      <c r="CQ34" s="156"/>
      <c r="CR34" s="161"/>
      <c r="CS34" s="156"/>
      <c r="CT34" s="164"/>
      <c r="CU34" s="168"/>
      <c r="CV34" s="164"/>
      <c r="CW34" s="168"/>
      <c r="CX34" s="200"/>
      <c r="CY34" s="488"/>
      <c r="CZ34" s="165"/>
      <c r="DA34" s="166"/>
      <c r="DB34" s="165"/>
      <c r="DC34" s="166"/>
      <c r="DD34" s="165"/>
      <c r="DE34" s="166"/>
      <c r="DF34" s="165"/>
      <c r="DG34" s="166"/>
      <c r="DI34" s="452">
        <f t="shared" si="4"/>
        <v>0</v>
      </c>
      <c r="DJ34" s="452">
        <f t="shared" si="5"/>
        <v>0</v>
      </c>
    </row>
    <row r="35" spans="1:114" ht="25.5" customHeight="1" thickBot="1" x14ac:dyDescent="0.3">
      <c r="A35" s="1205"/>
      <c r="B35" s="170"/>
      <c r="C35" s="175"/>
      <c r="D35" s="172"/>
      <c r="E35" s="170"/>
      <c r="F35" s="489"/>
      <c r="G35" s="489"/>
      <c r="H35" s="490"/>
      <c r="I35" s="489"/>
      <c r="J35" s="490"/>
      <c r="K35" s="489"/>
      <c r="L35" s="491"/>
      <c r="M35" s="491"/>
      <c r="N35" s="170"/>
      <c r="O35" s="170"/>
      <c r="P35" s="175"/>
      <c r="Q35" s="170"/>
      <c r="R35" s="175"/>
      <c r="S35" s="170"/>
      <c r="T35" s="175"/>
      <c r="U35" s="170"/>
      <c r="V35" s="177"/>
      <c r="W35" s="178"/>
      <c r="X35" s="178"/>
      <c r="Y35" s="179"/>
      <c r="Z35" s="178"/>
      <c r="AA35" s="179"/>
      <c r="AB35" s="178"/>
      <c r="AC35" s="179"/>
      <c r="AD35" s="178"/>
      <c r="AE35" s="179"/>
      <c r="AF35" s="178"/>
      <c r="AG35" s="179"/>
      <c r="AH35" s="178"/>
      <c r="AI35" s="179"/>
      <c r="AJ35" s="178"/>
      <c r="AK35" s="179"/>
      <c r="AL35" s="178"/>
      <c r="AM35" s="179"/>
      <c r="AN35" s="178"/>
      <c r="AO35" s="179"/>
      <c r="AP35" s="178"/>
      <c r="AQ35" s="179"/>
      <c r="AR35" s="177"/>
      <c r="AS35" s="179"/>
      <c r="AT35" s="177"/>
      <c r="AU35" s="179"/>
      <c r="AV35" s="178"/>
      <c r="AW35" s="179"/>
      <c r="AX35" s="178"/>
      <c r="AY35" s="179"/>
      <c r="AZ35" s="178"/>
      <c r="BA35" s="179"/>
      <c r="BB35" s="178"/>
      <c r="BC35" s="179"/>
      <c r="BD35" s="178"/>
      <c r="BE35" s="179"/>
      <c r="BF35" s="178"/>
      <c r="BG35" s="179"/>
      <c r="BH35" s="178"/>
      <c r="BI35" s="179"/>
      <c r="BJ35" s="178"/>
      <c r="BK35" s="179"/>
      <c r="BL35" s="178"/>
      <c r="BM35" s="179"/>
      <c r="BN35" s="178"/>
      <c r="BO35" s="179"/>
      <c r="BP35" s="178"/>
      <c r="BQ35" s="179"/>
      <c r="BR35" s="178"/>
      <c r="BS35" s="179"/>
      <c r="BT35" s="178"/>
      <c r="BU35" s="179"/>
      <c r="BV35" s="178"/>
      <c r="BW35" s="179"/>
      <c r="BX35" s="178"/>
      <c r="BY35" s="179"/>
      <c r="BZ35" s="178"/>
      <c r="CA35" s="179"/>
      <c r="CB35" s="178"/>
      <c r="CC35" s="179"/>
      <c r="CD35" s="178"/>
      <c r="CE35" s="179"/>
      <c r="CF35" s="178"/>
      <c r="CG35" s="179"/>
      <c r="CH35" s="172"/>
      <c r="CI35" s="170"/>
      <c r="CJ35" s="177"/>
      <c r="CK35" s="179"/>
      <c r="CL35" s="170"/>
      <c r="CM35" s="170"/>
      <c r="CN35" s="172"/>
      <c r="CO35" s="170"/>
      <c r="CP35" s="175"/>
      <c r="CQ35" s="170"/>
      <c r="CR35" s="175"/>
      <c r="CS35" s="170"/>
      <c r="CT35" s="178"/>
      <c r="CU35" s="179"/>
      <c r="CV35" s="178"/>
      <c r="CW35" s="179"/>
      <c r="CX35" s="175"/>
      <c r="CY35" s="170"/>
      <c r="CZ35" s="178"/>
      <c r="DA35" s="179"/>
      <c r="DB35" s="178"/>
      <c r="DC35" s="179"/>
      <c r="DD35" s="178"/>
      <c r="DE35" s="179"/>
      <c r="DF35" s="178"/>
      <c r="DG35" s="179"/>
      <c r="DI35" s="452">
        <f t="shared" si="4"/>
        <v>0</v>
      </c>
      <c r="DJ35" s="452">
        <f t="shared" si="5"/>
        <v>0</v>
      </c>
    </row>
    <row r="36" spans="1:114" ht="25.5" customHeight="1" thickBot="1" x14ac:dyDescent="0.3">
      <c r="A36" s="1204" t="s">
        <v>8</v>
      </c>
      <c r="B36" s="187">
        <f t="shared" ref="B36:U36" si="33">B29+B33</f>
        <v>9522962869.3400002</v>
      </c>
      <c r="C36" s="188">
        <f t="shared" si="33"/>
        <v>5194623151.6900005</v>
      </c>
      <c r="D36" s="183">
        <f t="shared" si="33"/>
        <v>1219110729.7800002</v>
      </c>
      <c r="E36" s="187">
        <f t="shared" si="33"/>
        <v>37574331.689999998</v>
      </c>
      <c r="F36" s="492">
        <f t="shared" si="33"/>
        <v>0</v>
      </c>
      <c r="G36" s="492">
        <f t="shared" si="33"/>
        <v>0</v>
      </c>
      <c r="H36" s="493">
        <f t="shared" ref="H36:I36" si="34">H29+H33</f>
        <v>903434729.78000021</v>
      </c>
      <c r="I36" s="492">
        <f t="shared" si="34"/>
        <v>0</v>
      </c>
      <c r="J36" s="493">
        <f t="shared" si="33"/>
        <v>315676000</v>
      </c>
      <c r="K36" s="492">
        <f t="shared" si="33"/>
        <v>37574331.689999998</v>
      </c>
      <c r="L36" s="191">
        <f t="shared" si="33"/>
        <v>8303852139.5599995</v>
      </c>
      <c r="M36" s="191">
        <f t="shared" si="33"/>
        <v>5157048820</v>
      </c>
      <c r="N36" s="181">
        <f t="shared" si="33"/>
        <v>7082951182.7600002</v>
      </c>
      <c r="O36" s="181">
        <f t="shared" si="33"/>
        <v>4290292373.6899996</v>
      </c>
      <c r="P36" s="188">
        <f t="shared" si="33"/>
        <v>22014164.57</v>
      </c>
      <c r="Q36" s="187">
        <f t="shared" si="33"/>
        <v>6326925.6400000006</v>
      </c>
      <c r="R36" s="188">
        <f t="shared" si="33"/>
        <v>1011540300</v>
      </c>
      <c r="S36" s="187">
        <f t="shared" si="33"/>
        <v>377606898.44999999</v>
      </c>
      <c r="T36" s="188">
        <f t="shared" si="33"/>
        <v>75345743.200000003</v>
      </c>
      <c r="U36" s="187">
        <f t="shared" si="33"/>
        <v>66279834.93</v>
      </c>
      <c r="V36" s="190">
        <f>V29+V33</f>
        <v>5982800</v>
      </c>
      <c r="W36" s="191">
        <f>W29+W33</f>
        <v>4526356.16</v>
      </c>
      <c r="X36" s="191">
        <f t="shared" ref="X36:Y36" si="35">X29+X33</f>
        <v>0</v>
      </c>
      <c r="Y36" s="192">
        <f t="shared" si="35"/>
        <v>0</v>
      </c>
      <c r="Z36" s="191">
        <f>Z29+Z33</f>
        <v>844127500</v>
      </c>
      <c r="AA36" s="192">
        <f>AA29+AA33</f>
        <v>721311012.22000003</v>
      </c>
      <c r="AB36" s="191">
        <f t="shared" ref="AB36:BA36" si="36">AB29+AB33</f>
        <v>197611636.71000001</v>
      </c>
      <c r="AC36" s="192">
        <f t="shared" si="36"/>
        <v>104137919.87</v>
      </c>
      <c r="AD36" s="191">
        <f t="shared" si="36"/>
        <v>18686100</v>
      </c>
      <c r="AE36" s="192">
        <f t="shared" si="36"/>
        <v>2547532.0500000003</v>
      </c>
      <c r="AF36" s="191">
        <f t="shared" si="36"/>
        <v>0</v>
      </c>
      <c r="AG36" s="192">
        <f t="shared" si="36"/>
        <v>0</v>
      </c>
      <c r="AH36" s="191">
        <f t="shared" si="36"/>
        <v>234131380.22999999</v>
      </c>
      <c r="AI36" s="192">
        <f t="shared" si="36"/>
        <v>225612167.53</v>
      </c>
      <c r="AJ36" s="191">
        <f t="shared" si="36"/>
        <v>335298439.97000003</v>
      </c>
      <c r="AK36" s="192">
        <f t="shared" si="36"/>
        <v>181521985.75</v>
      </c>
      <c r="AL36" s="191">
        <f t="shared" si="36"/>
        <v>1404739120.51</v>
      </c>
      <c r="AM36" s="192">
        <f t="shared" si="36"/>
        <v>715988056.25999999</v>
      </c>
      <c r="AN36" s="191">
        <f t="shared" si="36"/>
        <v>167793311.36000001</v>
      </c>
      <c r="AO36" s="192">
        <f t="shared" si="36"/>
        <v>164509100</v>
      </c>
      <c r="AP36" s="191">
        <f t="shared" si="36"/>
        <v>2500000</v>
      </c>
      <c r="AQ36" s="192">
        <f t="shared" si="36"/>
        <v>2500000</v>
      </c>
      <c r="AR36" s="190">
        <f t="shared" si="36"/>
        <v>21850000</v>
      </c>
      <c r="AS36" s="192">
        <f t="shared" si="36"/>
        <v>19409351.73</v>
      </c>
      <c r="AT36" s="190">
        <f t="shared" si="36"/>
        <v>2488300</v>
      </c>
      <c r="AU36" s="192">
        <f t="shared" si="36"/>
        <v>2488300</v>
      </c>
      <c r="AV36" s="191">
        <f t="shared" si="36"/>
        <v>36716.63999999997</v>
      </c>
      <c r="AW36" s="192">
        <f t="shared" si="36"/>
        <v>0</v>
      </c>
      <c r="AX36" s="191">
        <f t="shared" si="36"/>
        <v>9055887.7100000009</v>
      </c>
      <c r="AY36" s="192">
        <f t="shared" si="36"/>
        <v>0</v>
      </c>
      <c r="AZ36" s="191">
        <f t="shared" si="36"/>
        <v>6524400</v>
      </c>
      <c r="BA36" s="192">
        <f t="shared" si="36"/>
        <v>117858.24000000001</v>
      </c>
      <c r="BB36" s="191">
        <f>BB29+BB33</f>
        <v>29785800</v>
      </c>
      <c r="BC36" s="192">
        <f>BC29+BC33</f>
        <v>18671574.310000002</v>
      </c>
      <c r="BD36" s="191">
        <f t="shared" ref="BD36:BE36" si="37">BD29+BD33</f>
        <v>4757600</v>
      </c>
      <c r="BE36" s="192">
        <f t="shared" si="37"/>
        <v>484797.61</v>
      </c>
      <c r="BF36" s="191">
        <f>BF29+BF33</f>
        <v>0</v>
      </c>
      <c r="BG36" s="192">
        <f>BG29+BG33</f>
        <v>0</v>
      </c>
      <c r="BH36" s="191">
        <f>BH29+BH33</f>
        <v>168192399.98999995</v>
      </c>
      <c r="BI36" s="192">
        <f>BI29+BI33</f>
        <v>3683299.9699999993</v>
      </c>
      <c r="BJ36" s="191">
        <f t="shared" ref="BJ36:BM36" si="38">BJ29+BJ33</f>
        <v>0</v>
      </c>
      <c r="BK36" s="192">
        <f t="shared" si="38"/>
        <v>0</v>
      </c>
      <c r="BL36" s="191">
        <f t="shared" si="38"/>
        <v>416944914.11000001</v>
      </c>
      <c r="BM36" s="192">
        <f t="shared" si="38"/>
        <v>221400172.02000001</v>
      </c>
      <c r="BN36" s="191">
        <f>BN29+BN33</f>
        <v>10309200</v>
      </c>
      <c r="BO36" s="192">
        <f>BO29+BO33</f>
        <v>7182782.2999999998</v>
      </c>
      <c r="BP36" s="191">
        <f t="shared" ref="BP36:BQ36" si="39">BP29+BP33</f>
        <v>160369500</v>
      </c>
      <c r="BQ36" s="192">
        <f t="shared" si="39"/>
        <v>88227136.870000005</v>
      </c>
      <c r="BR36" s="191">
        <f t="shared" ref="BR36:DG36" si="40">BR29+BR33</f>
        <v>6625800</v>
      </c>
      <c r="BS36" s="192">
        <f t="shared" si="40"/>
        <v>3117823.01</v>
      </c>
      <c r="BT36" s="191">
        <f t="shared" si="40"/>
        <v>0</v>
      </c>
      <c r="BU36" s="192">
        <f t="shared" si="40"/>
        <v>0</v>
      </c>
      <c r="BV36" s="191">
        <f t="shared" si="40"/>
        <v>0</v>
      </c>
      <c r="BW36" s="192">
        <f t="shared" si="40"/>
        <v>0</v>
      </c>
      <c r="BX36" s="191">
        <f t="shared" si="40"/>
        <v>478133400</v>
      </c>
      <c r="BY36" s="192">
        <f t="shared" si="40"/>
        <v>386368595.75999999</v>
      </c>
      <c r="BZ36" s="191">
        <f t="shared" si="40"/>
        <v>0</v>
      </c>
      <c r="CA36" s="192">
        <f t="shared" si="40"/>
        <v>0</v>
      </c>
      <c r="CB36" s="191">
        <f t="shared" si="40"/>
        <v>211966499.99999997</v>
      </c>
      <c r="CC36" s="192">
        <f t="shared" si="40"/>
        <v>109364503.24999999</v>
      </c>
      <c r="CD36" s="191">
        <f t="shared" si="40"/>
        <v>3243333.44</v>
      </c>
      <c r="CE36" s="192">
        <f t="shared" si="40"/>
        <v>0</v>
      </c>
      <c r="CF36" s="191">
        <f t="shared" si="40"/>
        <v>1232896934.3200002</v>
      </c>
      <c r="CG36" s="192">
        <f t="shared" si="40"/>
        <v>856908389.75999999</v>
      </c>
      <c r="CH36" s="183">
        <f t="shared" si="40"/>
        <v>495263400</v>
      </c>
      <c r="CI36" s="187">
        <f t="shared" si="40"/>
        <v>327533713.64999998</v>
      </c>
      <c r="CJ36" s="190">
        <f t="shared" si="40"/>
        <v>46452800</v>
      </c>
      <c r="CK36" s="192">
        <f t="shared" si="40"/>
        <v>24185333.350000001</v>
      </c>
      <c r="CL36" s="187">
        <f t="shared" si="40"/>
        <v>63100</v>
      </c>
      <c r="CM36" s="187">
        <f t="shared" si="40"/>
        <v>0</v>
      </c>
      <c r="CN36" s="183">
        <f t="shared" si="40"/>
        <v>0</v>
      </c>
      <c r="CO36" s="187">
        <f t="shared" si="40"/>
        <v>0</v>
      </c>
      <c r="CP36" s="188">
        <f t="shared" si="40"/>
        <v>1553000</v>
      </c>
      <c r="CQ36" s="187">
        <f t="shared" si="40"/>
        <v>1553000</v>
      </c>
      <c r="CR36" s="188">
        <f>CR29+CR33</f>
        <v>7674600</v>
      </c>
      <c r="CS36" s="187">
        <f>CS29+CS33</f>
        <v>7674600</v>
      </c>
      <c r="CT36" s="183">
        <f t="shared" ref="CT36:CU36" si="41">CT29+CT33</f>
        <v>422813900</v>
      </c>
      <c r="CU36" s="187">
        <f t="shared" si="41"/>
        <v>280274141.34000003</v>
      </c>
      <c r="CV36" s="183">
        <f t="shared" si="40"/>
        <v>16706000</v>
      </c>
      <c r="CW36" s="187">
        <f t="shared" si="40"/>
        <v>13846638.959999997</v>
      </c>
      <c r="CX36" s="188">
        <f t="shared" si="40"/>
        <v>725637556.79999995</v>
      </c>
      <c r="CY36" s="187">
        <f t="shared" si="40"/>
        <v>539222732.65999997</v>
      </c>
      <c r="CZ36" s="191">
        <f t="shared" ref="CZ36:DA36" si="42">CZ29+CZ33</f>
        <v>0</v>
      </c>
      <c r="DA36" s="192">
        <f t="shared" si="42"/>
        <v>0</v>
      </c>
      <c r="DB36" s="191">
        <f t="shared" si="40"/>
        <v>136005313.31</v>
      </c>
      <c r="DC36" s="192">
        <f t="shared" si="40"/>
        <v>15165125.710000001</v>
      </c>
      <c r="DD36" s="191">
        <f t="shared" si="40"/>
        <v>56189843.490000002</v>
      </c>
      <c r="DE36" s="192">
        <f t="shared" si="40"/>
        <v>42479496.439999998</v>
      </c>
      <c r="DF36" s="191">
        <f t="shared" si="40"/>
        <v>533442400</v>
      </c>
      <c r="DG36" s="192">
        <f t="shared" si="40"/>
        <v>481578110.50999999</v>
      </c>
      <c r="DI36" s="452">
        <f t="shared" si="4"/>
        <v>448810.6</v>
      </c>
      <c r="DJ36" s="452">
        <f t="shared" si="5"/>
        <v>303348.38029999996</v>
      </c>
    </row>
    <row r="37" spans="1:114" s="200" customFormat="1" ht="16.5" customHeight="1" x14ac:dyDescent="0.25">
      <c r="A37" s="194"/>
      <c r="B37" s="194"/>
      <c r="C37" s="194"/>
      <c r="D37" s="494">
        <f>D36-Субсидия!D539</f>
        <v>865675729.78000021</v>
      </c>
      <c r="E37" s="494">
        <f>E36-Субсидия!F539</f>
        <v>0</v>
      </c>
      <c r="F37" s="198"/>
      <c r="G37" s="198"/>
      <c r="H37" s="197"/>
      <c r="I37" s="197"/>
      <c r="J37" s="197"/>
      <c r="K37" s="197"/>
      <c r="L37" s="198">
        <f>L36/1000-'Федеральные  средства'!B64</f>
        <v>0</v>
      </c>
      <c r="M37" s="198">
        <f>M36/1000-'Федеральные  средства'!C64</f>
        <v>0</v>
      </c>
      <c r="N37" s="198">
        <f>N36/1000-'Федеральные  средства'!B43</f>
        <v>0</v>
      </c>
      <c r="O37" s="198">
        <f>O36/1000-'Федеральные  средства'!C43</f>
        <v>0</v>
      </c>
      <c r="P37" s="197"/>
      <c r="Q37" s="197"/>
      <c r="R37" s="197"/>
      <c r="S37" s="197"/>
      <c r="T37" s="197"/>
      <c r="U37" s="197"/>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9"/>
      <c r="BR37" s="199"/>
      <c r="BS37" s="199"/>
      <c r="BT37" s="199"/>
      <c r="BU37" s="199"/>
      <c r="BV37" s="199"/>
      <c r="BW37" s="199"/>
      <c r="BX37" s="199"/>
      <c r="BY37" s="199"/>
      <c r="BZ37" s="199"/>
      <c r="CA37" s="199"/>
      <c r="CB37" s="199"/>
      <c r="CC37" s="199"/>
      <c r="CD37" s="199"/>
      <c r="CE37" s="199"/>
      <c r="CF37" s="199"/>
      <c r="CG37" s="199"/>
      <c r="CH37" s="198">
        <f>CH36/1000-'Федеральные  средства'!B54</f>
        <v>0</v>
      </c>
      <c r="CI37" s="198">
        <f>CI36/1000-'Федеральные  средства'!C54</f>
        <v>0</v>
      </c>
      <c r="CJ37" s="194"/>
      <c r="CK37" s="198"/>
      <c r="CL37" s="495"/>
      <c r="CM37" s="495"/>
      <c r="CN37" s="198"/>
      <c r="CO37" s="198"/>
      <c r="CP37" s="198"/>
      <c r="CQ37" s="198"/>
      <c r="CR37" s="198"/>
      <c r="CS37" s="198"/>
      <c r="CT37" s="194"/>
      <c r="CU37" s="194"/>
      <c r="CV37" s="194"/>
      <c r="CW37" s="194"/>
      <c r="CX37" s="198">
        <f>CX36/1000-'Федеральные  средства'!B62</f>
        <v>0</v>
      </c>
      <c r="CY37" s="198">
        <f>CY36/1000-'Федеральные  средства'!C62</f>
        <v>0</v>
      </c>
      <c r="CZ37" s="194"/>
      <c r="DA37" s="198"/>
      <c r="DB37" s="194"/>
      <c r="DC37" s="198"/>
      <c r="DD37" s="194"/>
      <c r="DE37" s="198"/>
      <c r="DF37" s="194"/>
      <c r="DG37" s="198"/>
    </row>
    <row r="38" spans="1:114" s="200" customFormat="1" ht="16.5" x14ac:dyDescent="0.25">
      <c r="A38" s="194"/>
      <c r="B38" s="194"/>
      <c r="C38" s="194"/>
      <c r="D38" s="194"/>
      <c r="E38" s="194"/>
      <c r="F38" s="198"/>
      <c r="G38" s="198"/>
      <c r="L38" s="198"/>
      <c r="M38" s="198"/>
      <c r="N38" s="198"/>
      <c r="O38" s="198"/>
      <c r="P38" s="197"/>
      <c r="Q38" s="197"/>
      <c r="R38" s="197"/>
      <c r="S38" s="197"/>
      <c r="T38" s="197"/>
      <c r="U38" s="197"/>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9"/>
      <c r="BR38" s="199"/>
      <c r="BS38" s="199"/>
      <c r="BT38" s="199"/>
      <c r="BU38" s="199"/>
      <c r="BV38" s="199"/>
      <c r="BW38" s="199"/>
      <c r="BX38" s="199"/>
      <c r="BY38" s="199"/>
      <c r="BZ38" s="199"/>
      <c r="CA38" s="199"/>
      <c r="CB38" s="199"/>
      <c r="CC38" s="199"/>
      <c r="CD38" s="199"/>
      <c r="CE38" s="199"/>
      <c r="CF38" s="199"/>
      <c r="CG38" s="199"/>
      <c r="CH38" s="198"/>
      <c r="CI38" s="198"/>
      <c r="CJ38" s="194"/>
      <c r="CK38" s="198"/>
      <c r="CL38" s="495"/>
      <c r="CM38" s="495"/>
      <c r="CN38" s="198"/>
      <c r="CO38" s="198"/>
      <c r="CP38" s="198"/>
      <c r="CQ38" s="198"/>
      <c r="CR38" s="198"/>
      <c r="CS38" s="198"/>
      <c r="CT38" s="194"/>
      <c r="CU38" s="194"/>
      <c r="CV38" s="194"/>
      <c r="CW38" s="194"/>
      <c r="CX38" s="198"/>
      <c r="CY38" s="198"/>
      <c r="CZ38" s="194"/>
      <c r="DA38" s="198"/>
      <c r="DB38" s="194"/>
      <c r="DC38" s="198"/>
      <c r="DD38" s="194"/>
      <c r="DE38" s="198"/>
      <c r="DF38" s="194"/>
      <c r="DG38" s="198"/>
    </row>
    <row r="39" spans="1:114" s="200" customFormat="1" ht="16.5" customHeight="1" x14ac:dyDescent="0.25">
      <c r="A39" s="496" t="s">
        <v>748</v>
      </c>
      <c r="B39" s="497">
        <f t="shared" ref="B39:K39" si="43">B29-B40</f>
        <v>3437633869.0400004</v>
      </c>
      <c r="C39" s="497">
        <f t="shared" si="43"/>
        <v>1414869752.1100001</v>
      </c>
      <c r="D39" s="497">
        <f t="shared" si="43"/>
        <v>972600068.83000016</v>
      </c>
      <c r="E39" s="497">
        <f t="shared" si="43"/>
        <v>28264331.689999998</v>
      </c>
      <c r="F39" s="497">
        <f t="shared" si="43"/>
        <v>0</v>
      </c>
      <c r="G39" s="497">
        <f t="shared" si="43"/>
        <v>0</v>
      </c>
      <c r="H39" s="497">
        <f t="shared" ref="H39:I39" si="44">H29-H40</f>
        <v>722077068.83000016</v>
      </c>
      <c r="I39" s="497">
        <f t="shared" si="44"/>
        <v>0</v>
      </c>
      <c r="J39" s="497">
        <f t="shared" si="43"/>
        <v>250523000</v>
      </c>
      <c r="K39" s="497">
        <f t="shared" si="43"/>
        <v>28264331.689999998</v>
      </c>
      <c r="L39" s="497">
        <f>L29-L40</f>
        <v>2465033800.2099991</v>
      </c>
      <c r="M39" s="497">
        <f t="shared" ref="M39:CB39" si="45">M29-M40</f>
        <v>1386605420.4200001</v>
      </c>
      <c r="N39" s="497">
        <f t="shared" si="45"/>
        <v>1931016200.0599997</v>
      </c>
      <c r="O39" s="497">
        <f t="shared" si="45"/>
        <v>971711297.7899996</v>
      </c>
      <c r="P39" s="497">
        <f t="shared" si="45"/>
        <v>243864.57</v>
      </c>
      <c r="Q39" s="497">
        <f t="shared" si="45"/>
        <v>0</v>
      </c>
      <c r="R39" s="497">
        <f t="shared" si="45"/>
        <v>291338100</v>
      </c>
      <c r="S39" s="497">
        <f t="shared" si="45"/>
        <v>143673617.06999999</v>
      </c>
      <c r="T39" s="497">
        <f t="shared" si="45"/>
        <v>0</v>
      </c>
      <c r="U39" s="497">
        <f t="shared" si="45"/>
        <v>0</v>
      </c>
      <c r="V39" s="497">
        <f t="shared" si="45"/>
        <v>5982800</v>
      </c>
      <c r="W39" s="497">
        <f t="shared" si="45"/>
        <v>4526356.16</v>
      </c>
      <c r="X39" s="497">
        <f t="shared" si="45"/>
        <v>0</v>
      </c>
      <c r="Y39" s="497">
        <f t="shared" si="45"/>
        <v>0</v>
      </c>
      <c r="Z39" s="497">
        <f t="shared" si="45"/>
        <v>0</v>
      </c>
      <c r="AA39" s="497">
        <f t="shared" si="45"/>
        <v>0</v>
      </c>
      <c r="AB39" s="497">
        <f t="shared" si="45"/>
        <v>82494836.710000008</v>
      </c>
      <c r="AC39" s="497">
        <f t="shared" si="45"/>
        <v>0</v>
      </c>
      <c r="AD39" s="497">
        <f t="shared" si="45"/>
        <v>2867774.1799999997</v>
      </c>
      <c r="AE39" s="497">
        <f t="shared" si="45"/>
        <v>2547532.0500000003</v>
      </c>
      <c r="AF39" s="497">
        <f t="shared" si="45"/>
        <v>0</v>
      </c>
      <c r="AG39" s="497">
        <f t="shared" si="45"/>
        <v>0</v>
      </c>
      <c r="AH39" s="497">
        <f t="shared" si="45"/>
        <v>77044000</v>
      </c>
      <c r="AI39" s="497">
        <f t="shared" si="45"/>
        <v>68524787.310000002</v>
      </c>
      <c r="AJ39" s="497">
        <f t="shared" si="45"/>
        <v>75265211.599999994</v>
      </c>
      <c r="AK39" s="497">
        <f t="shared" si="45"/>
        <v>0</v>
      </c>
      <c r="AL39" s="497">
        <f t="shared" si="45"/>
        <v>0</v>
      </c>
      <c r="AM39" s="497">
        <f t="shared" si="45"/>
        <v>0</v>
      </c>
      <c r="AN39" s="497">
        <f t="shared" si="45"/>
        <v>167793311.36000001</v>
      </c>
      <c r="AO39" s="497">
        <f t="shared" si="45"/>
        <v>164509100</v>
      </c>
      <c r="AP39" s="497">
        <f t="shared" si="45"/>
        <v>2500000</v>
      </c>
      <c r="AQ39" s="497">
        <f t="shared" si="45"/>
        <v>2500000</v>
      </c>
      <c r="AR39" s="497">
        <f t="shared" si="45"/>
        <v>21850000</v>
      </c>
      <c r="AS39" s="497">
        <f t="shared" si="45"/>
        <v>19409351.73</v>
      </c>
      <c r="AT39" s="497">
        <f t="shared" si="45"/>
        <v>0</v>
      </c>
      <c r="AU39" s="497">
        <f t="shared" si="45"/>
        <v>0</v>
      </c>
      <c r="AV39" s="497">
        <f t="shared" si="45"/>
        <v>36716.63999999997</v>
      </c>
      <c r="AW39" s="497">
        <f t="shared" si="45"/>
        <v>0</v>
      </c>
      <c r="AX39" s="497">
        <f t="shared" si="45"/>
        <v>4217728.0999999996</v>
      </c>
      <c r="AY39" s="497">
        <f t="shared" si="45"/>
        <v>0</v>
      </c>
      <c r="AZ39" s="497">
        <f t="shared" si="45"/>
        <v>4000370.1199999996</v>
      </c>
      <c r="BA39" s="497">
        <f t="shared" si="45"/>
        <v>87041.22</v>
      </c>
      <c r="BB39" s="497">
        <f t="shared" si="45"/>
        <v>23885400</v>
      </c>
      <c r="BC39" s="497">
        <f t="shared" si="45"/>
        <v>18671574.310000002</v>
      </c>
      <c r="BD39" s="497">
        <f t="shared" si="45"/>
        <v>4757600</v>
      </c>
      <c r="BE39" s="497">
        <f t="shared" si="45"/>
        <v>484797.61</v>
      </c>
      <c r="BF39" s="497">
        <f t="shared" si="45"/>
        <v>0</v>
      </c>
      <c r="BG39" s="497">
        <f t="shared" si="45"/>
        <v>0</v>
      </c>
      <c r="BH39" s="497">
        <f t="shared" si="45"/>
        <v>166386247.80999994</v>
      </c>
      <c r="BI39" s="497">
        <f t="shared" si="45"/>
        <v>1877147.7999999993</v>
      </c>
      <c r="BJ39" s="497">
        <f t="shared" si="45"/>
        <v>0</v>
      </c>
      <c r="BK39" s="497">
        <f t="shared" si="45"/>
        <v>0</v>
      </c>
      <c r="BL39" s="497">
        <f t="shared" si="45"/>
        <v>248560414.10999998</v>
      </c>
      <c r="BM39" s="497">
        <f t="shared" si="45"/>
        <v>102323262.37</v>
      </c>
      <c r="BN39" s="497">
        <f t="shared" si="45"/>
        <v>7419248.8100000005</v>
      </c>
      <c r="BO39" s="497">
        <f t="shared" si="45"/>
        <v>5839353.8599999994</v>
      </c>
      <c r="BP39" s="497">
        <f t="shared" si="45"/>
        <v>0</v>
      </c>
      <c r="BQ39" s="497">
        <f t="shared" si="45"/>
        <v>0</v>
      </c>
      <c r="BR39" s="497">
        <f t="shared" si="45"/>
        <v>0</v>
      </c>
      <c r="BS39" s="497">
        <f t="shared" si="45"/>
        <v>0</v>
      </c>
      <c r="BT39" s="497">
        <f t="shared" si="45"/>
        <v>0</v>
      </c>
      <c r="BU39" s="497">
        <f t="shared" si="45"/>
        <v>0</v>
      </c>
      <c r="BV39" s="497">
        <f t="shared" si="45"/>
        <v>0</v>
      </c>
      <c r="BW39" s="497">
        <f t="shared" si="45"/>
        <v>0</v>
      </c>
      <c r="BX39" s="497">
        <f t="shared" si="45"/>
        <v>75218600</v>
      </c>
      <c r="BY39" s="497">
        <f t="shared" si="45"/>
        <v>7259789.8700000001</v>
      </c>
      <c r="BZ39" s="497">
        <f t="shared" si="45"/>
        <v>0</v>
      </c>
      <c r="CA39" s="497">
        <f t="shared" si="45"/>
        <v>0</v>
      </c>
      <c r="CB39" s="497">
        <f t="shared" si="45"/>
        <v>94297141.729999959</v>
      </c>
      <c r="CC39" s="497">
        <f t="shared" ref="CC39:DG39" si="46">CC29-CC40</f>
        <v>36343118.339999989</v>
      </c>
      <c r="CD39" s="497">
        <f t="shared" si="46"/>
        <v>0</v>
      </c>
      <c r="CE39" s="497">
        <f t="shared" si="46"/>
        <v>0</v>
      </c>
      <c r="CF39" s="497">
        <f t="shared" si="46"/>
        <v>574856834.32000017</v>
      </c>
      <c r="CG39" s="497">
        <f t="shared" si="46"/>
        <v>393134468.09000003</v>
      </c>
      <c r="CH39" s="497">
        <f t="shared" si="46"/>
        <v>201541627.95000002</v>
      </c>
      <c r="CI39" s="497">
        <f t="shared" si="46"/>
        <v>139024562.80000001</v>
      </c>
      <c r="CJ39" s="497">
        <f t="shared" si="46"/>
        <v>36969300</v>
      </c>
      <c r="CK39" s="497">
        <f t="shared" si="46"/>
        <v>22695174.790000003</v>
      </c>
      <c r="CL39" s="497">
        <f t="shared" si="46"/>
        <v>0</v>
      </c>
      <c r="CM39" s="497">
        <f t="shared" si="46"/>
        <v>0</v>
      </c>
      <c r="CN39" s="497">
        <f t="shared" si="46"/>
        <v>0</v>
      </c>
      <c r="CO39" s="497">
        <f t="shared" si="46"/>
        <v>0</v>
      </c>
      <c r="CP39" s="497">
        <f t="shared" si="46"/>
        <v>1553000</v>
      </c>
      <c r="CQ39" s="497">
        <f t="shared" si="46"/>
        <v>1553000</v>
      </c>
      <c r="CR39" s="497">
        <f t="shared" si="46"/>
        <v>0</v>
      </c>
      <c r="CS39" s="497">
        <f t="shared" si="46"/>
        <v>0</v>
      </c>
      <c r="CT39" s="497">
        <f t="shared" si="46"/>
        <v>150678327.94999999</v>
      </c>
      <c r="CU39" s="497">
        <f t="shared" si="46"/>
        <v>104707018.81</v>
      </c>
      <c r="CV39" s="497">
        <f t="shared" si="46"/>
        <v>12341000</v>
      </c>
      <c r="CW39" s="497">
        <f t="shared" si="46"/>
        <v>10069369.199999997</v>
      </c>
      <c r="CX39" s="497">
        <f t="shared" si="46"/>
        <v>332475972.20000005</v>
      </c>
      <c r="CY39" s="497">
        <f t="shared" si="46"/>
        <v>275869559.82999998</v>
      </c>
      <c r="CZ39" s="497">
        <f t="shared" ref="CZ39:DA39" si="47">CZ29-CZ40</f>
        <v>0</v>
      </c>
      <c r="DA39" s="497">
        <f t="shared" si="47"/>
        <v>0</v>
      </c>
      <c r="DB39" s="497">
        <f t="shared" si="46"/>
        <v>44791312.649999999</v>
      </c>
      <c r="DC39" s="497">
        <f t="shared" si="46"/>
        <v>0</v>
      </c>
      <c r="DD39" s="497">
        <f t="shared" si="46"/>
        <v>28943614.550000001</v>
      </c>
      <c r="DE39" s="497">
        <f t="shared" si="46"/>
        <v>21732263.509999998</v>
      </c>
      <c r="DF39" s="497">
        <f t="shared" si="46"/>
        <v>258741045</v>
      </c>
      <c r="DG39" s="497">
        <f t="shared" si="46"/>
        <v>254137296.31999999</v>
      </c>
    </row>
    <row r="40" spans="1:114" s="200" customFormat="1" ht="16.5" x14ac:dyDescent="0.25">
      <c r="A40" s="498" t="s">
        <v>749</v>
      </c>
      <c r="B40" s="499">
        <f t="shared" ref="B40:K40" si="48">B11+B15+B19+B24</f>
        <v>1411820273.7800002</v>
      </c>
      <c r="C40" s="499">
        <f t="shared" si="48"/>
        <v>869684709.42999995</v>
      </c>
      <c r="D40" s="499">
        <f t="shared" si="48"/>
        <v>208751660.94999999</v>
      </c>
      <c r="E40" s="499">
        <f t="shared" si="48"/>
        <v>9310000</v>
      </c>
      <c r="F40" s="499">
        <f t="shared" si="48"/>
        <v>0</v>
      </c>
      <c r="G40" s="499">
        <f t="shared" si="48"/>
        <v>0</v>
      </c>
      <c r="H40" s="499">
        <f t="shared" ref="H40:I40" si="49">H11+H15+H19+H24</f>
        <v>143598660.94999999</v>
      </c>
      <c r="I40" s="499">
        <f t="shared" si="49"/>
        <v>0</v>
      </c>
      <c r="J40" s="499">
        <f t="shared" si="48"/>
        <v>65153000</v>
      </c>
      <c r="K40" s="499">
        <f t="shared" si="48"/>
        <v>9310000</v>
      </c>
      <c r="L40" s="499">
        <f>L11+L15+L19+L24</f>
        <v>1203068612.8300002</v>
      </c>
      <c r="M40" s="499">
        <f t="shared" ref="M40:CB40" si="50">M11+M15+M19+M24</f>
        <v>860374709.42999995</v>
      </c>
      <c r="N40" s="499">
        <f t="shared" si="50"/>
        <v>1109787670.8500001</v>
      </c>
      <c r="O40" s="499">
        <f t="shared" si="50"/>
        <v>784068640.39999998</v>
      </c>
      <c r="P40" s="499">
        <f t="shared" si="50"/>
        <v>0</v>
      </c>
      <c r="Q40" s="499">
        <f t="shared" si="50"/>
        <v>0</v>
      </c>
      <c r="R40" s="499">
        <f t="shared" si="50"/>
        <v>0</v>
      </c>
      <c r="S40" s="499">
        <f t="shared" si="50"/>
        <v>0</v>
      </c>
      <c r="T40" s="499">
        <f t="shared" si="50"/>
        <v>0</v>
      </c>
      <c r="U40" s="499">
        <f t="shared" si="50"/>
        <v>0</v>
      </c>
      <c r="V40" s="499">
        <f t="shared" si="50"/>
        <v>0</v>
      </c>
      <c r="W40" s="499">
        <f t="shared" si="50"/>
        <v>0</v>
      </c>
      <c r="X40" s="499">
        <f t="shared" si="50"/>
        <v>0</v>
      </c>
      <c r="Y40" s="499">
        <f t="shared" si="50"/>
        <v>0</v>
      </c>
      <c r="Z40" s="499">
        <f t="shared" si="50"/>
        <v>0</v>
      </c>
      <c r="AA40" s="499">
        <f t="shared" si="50"/>
        <v>0</v>
      </c>
      <c r="AB40" s="499">
        <f t="shared" si="50"/>
        <v>0</v>
      </c>
      <c r="AC40" s="499">
        <f t="shared" si="50"/>
        <v>0</v>
      </c>
      <c r="AD40" s="499">
        <f t="shared" si="50"/>
        <v>1497946.03</v>
      </c>
      <c r="AE40" s="499">
        <f t="shared" si="50"/>
        <v>0</v>
      </c>
      <c r="AF40" s="499">
        <f t="shared" si="50"/>
        <v>0</v>
      </c>
      <c r="AG40" s="499">
        <f t="shared" si="50"/>
        <v>0</v>
      </c>
      <c r="AH40" s="499">
        <f t="shared" si="50"/>
        <v>157087380.22999999</v>
      </c>
      <c r="AI40" s="499">
        <f t="shared" si="50"/>
        <v>157087380.22</v>
      </c>
      <c r="AJ40" s="499">
        <f t="shared" si="50"/>
        <v>0</v>
      </c>
      <c r="AK40" s="499">
        <f t="shared" si="50"/>
        <v>0</v>
      </c>
      <c r="AL40" s="499">
        <f t="shared" si="50"/>
        <v>0</v>
      </c>
      <c r="AM40" s="499">
        <f t="shared" si="50"/>
        <v>0</v>
      </c>
      <c r="AN40" s="499">
        <f t="shared" si="50"/>
        <v>0</v>
      </c>
      <c r="AO40" s="499">
        <f t="shared" si="50"/>
        <v>0</v>
      </c>
      <c r="AP40" s="499">
        <f t="shared" si="50"/>
        <v>0</v>
      </c>
      <c r="AQ40" s="499">
        <f t="shared" si="50"/>
        <v>0</v>
      </c>
      <c r="AR40" s="499">
        <f t="shared" si="50"/>
        <v>0</v>
      </c>
      <c r="AS40" s="499">
        <f t="shared" si="50"/>
        <v>0</v>
      </c>
      <c r="AT40" s="499">
        <f t="shared" si="50"/>
        <v>0</v>
      </c>
      <c r="AU40" s="499">
        <f t="shared" si="50"/>
        <v>0</v>
      </c>
      <c r="AV40" s="499">
        <f t="shared" si="50"/>
        <v>0</v>
      </c>
      <c r="AW40" s="499">
        <f t="shared" si="50"/>
        <v>0</v>
      </c>
      <c r="AX40" s="499">
        <f t="shared" si="50"/>
        <v>2123443.6</v>
      </c>
      <c r="AY40" s="499">
        <f t="shared" si="50"/>
        <v>0</v>
      </c>
      <c r="AZ40" s="499">
        <f t="shared" si="50"/>
        <v>381686.82</v>
      </c>
      <c r="BA40" s="499">
        <f t="shared" si="50"/>
        <v>30817.02</v>
      </c>
      <c r="BB40" s="499">
        <f t="shared" si="50"/>
        <v>5900400</v>
      </c>
      <c r="BC40" s="499">
        <f t="shared" si="50"/>
        <v>0</v>
      </c>
      <c r="BD40" s="499">
        <f t="shared" si="50"/>
        <v>0</v>
      </c>
      <c r="BE40" s="499">
        <f t="shared" si="50"/>
        <v>0</v>
      </c>
      <c r="BF40" s="499">
        <f t="shared" si="50"/>
        <v>0</v>
      </c>
      <c r="BG40" s="499">
        <f t="shared" si="50"/>
        <v>0</v>
      </c>
      <c r="BH40" s="499">
        <f t="shared" si="50"/>
        <v>584571.27</v>
      </c>
      <c r="BI40" s="499">
        <f t="shared" si="50"/>
        <v>584571.27</v>
      </c>
      <c r="BJ40" s="499">
        <f t="shared" si="50"/>
        <v>0</v>
      </c>
      <c r="BK40" s="499">
        <f t="shared" si="50"/>
        <v>0</v>
      </c>
      <c r="BL40" s="499">
        <f t="shared" si="50"/>
        <v>0</v>
      </c>
      <c r="BM40" s="499">
        <f t="shared" si="50"/>
        <v>0</v>
      </c>
      <c r="BN40" s="499">
        <f t="shared" si="50"/>
        <v>2889951.19</v>
      </c>
      <c r="BO40" s="499">
        <f t="shared" si="50"/>
        <v>1343428.44</v>
      </c>
      <c r="BP40" s="499">
        <f t="shared" si="50"/>
        <v>160369500</v>
      </c>
      <c r="BQ40" s="499">
        <f t="shared" si="50"/>
        <v>88227136.870000005</v>
      </c>
      <c r="BR40" s="499">
        <f t="shared" si="50"/>
        <v>0</v>
      </c>
      <c r="BS40" s="499">
        <f t="shared" si="50"/>
        <v>0</v>
      </c>
      <c r="BT40" s="499">
        <f t="shared" si="50"/>
        <v>0</v>
      </c>
      <c r="BU40" s="499">
        <f t="shared" si="50"/>
        <v>0</v>
      </c>
      <c r="BV40" s="499">
        <f t="shared" si="50"/>
        <v>0</v>
      </c>
      <c r="BW40" s="499">
        <f t="shared" si="50"/>
        <v>0</v>
      </c>
      <c r="BX40" s="499">
        <f t="shared" si="50"/>
        <v>0</v>
      </c>
      <c r="BY40" s="499">
        <f t="shared" si="50"/>
        <v>0</v>
      </c>
      <c r="BZ40" s="499">
        <f t="shared" si="50"/>
        <v>0</v>
      </c>
      <c r="CA40" s="499">
        <f t="shared" si="50"/>
        <v>0</v>
      </c>
      <c r="CB40" s="499">
        <f t="shared" si="50"/>
        <v>117669358.27000001</v>
      </c>
      <c r="CC40" s="499">
        <f t="shared" ref="CC40:DG40" si="51">CC11+CC15+CC19+CC24</f>
        <v>73021384.909999996</v>
      </c>
      <c r="CD40" s="499">
        <f t="shared" si="51"/>
        <v>3243333.44</v>
      </c>
      <c r="CE40" s="499">
        <f t="shared" si="51"/>
        <v>0</v>
      </c>
      <c r="CF40" s="499">
        <f t="shared" si="51"/>
        <v>658040100</v>
      </c>
      <c r="CG40" s="499">
        <f t="shared" si="51"/>
        <v>463773921.66999996</v>
      </c>
      <c r="CH40" s="499">
        <f t="shared" si="51"/>
        <v>33398012.530000001</v>
      </c>
      <c r="CI40" s="499">
        <f t="shared" si="51"/>
        <v>18385484.57</v>
      </c>
      <c r="CJ40" s="499">
        <f t="shared" si="51"/>
        <v>9483500</v>
      </c>
      <c r="CK40" s="499">
        <f t="shared" si="51"/>
        <v>1490158.56</v>
      </c>
      <c r="CL40" s="499">
        <f t="shared" si="51"/>
        <v>0</v>
      </c>
      <c r="CM40" s="499">
        <f t="shared" si="51"/>
        <v>0</v>
      </c>
      <c r="CN40" s="499">
        <f t="shared" si="51"/>
        <v>0</v>
      </c>
      <c r="CO40" s="499">
        <f t="shared" si="51"/>
        <v>0</v>
      </c>
      <c r="CP40" s="499">
        <f t="shared" si="51"/>
        <v>0</v>
      </c>
      <c r="CQ40" s="499">
        <f t="shared" si="51"/>
        <v>0</v>
      </c>
      <c r="CR40" s="499">
        <f t="shared" si="51"/>
        <v>0</v>
      </c>
      <c r="CS40" s="499">
        <f t="shared" si="51"/>
        <v>0</v>
      </c>
      <c r="CT40" s="499">
        <f t="shared" si="51"/>
        <v>20664512.530000001</v>
      </c>
      <c r="CU40" s="499">
        <f t="shared" si="51"/>
        <v>14033544.530000001</v>
      </c>
      <c r="CV40" s="499">
        <f t="shared" si="51"/>
        <v>3250000</v>
      </c>
      <c r="CW40" s="499">
        <f t="shared" si="51"/>
        <v>2861781.48</v>
      </c>
      <c r="CX40" s="499">
        <f t="shared" si="51"/>
        <v>59882929.450000003</v>
      </c>
      <c r="CY40" s="499">
        <f t="shared" si="51"/>
        <v>57920584.460000001</v>
      </c>
      <c r="CZ40" s="499">
        <f t="shared" ref="CZ40:DA40" si="52">CZ11+CZ15+CZ19+CZ24</f>
        <v>0</v>
      </c>
      <c r="DA40" s="499">
        <f t="shared" si="52"/>
        <v>0</v>
      </c>
      <c r="DB40" s="499">
        <f t="shared" si="51"/>
        <v>0</v>
      </c>
      <c r="DC40" s="499">
        <f t="shared" si="51"/>
        <v>0</v>
      </c>
      <c r="DD40" s="499">
        <f t="shared" si="51"/>
        <v>7684145.4500000002</v>
      </c>
      <c r="DE40" s="499">
        <f t="shared" si="51"/>
        <v>5870010.2699999996</v>
      </c>
      <c r="DF40" s="499">
        <f t="shared" si="51"/>
        <v>52198784</v>
      </c>
      <c r="DG40" s="499">
        <f t="shared" si="51"/>
        <v>52050574.189999998</v>
      </c>
    </row>
    <row r="41" spans="1:114" s="200" customFormat="1" ht="16.5" x14ac:dyDescent="0.25">
      <c r="A41" s="496" t="s">
        <v>750</v>
      </c>
      <c r="B41" s="500">
        <f t="shared" ref="B41:K41" si="53">B33</f>
        <v>4673508726.5200005</v>
      </c>
      <c r="C41" s="500">
        <f t="shared" si="53"/>
        <v>2910068690.1500001</v>
      </c>
      <c r="D41" s="500">
        <f t="shared" si="53"/>
        <v>37759000</v>
      </c>
      <c r="E41" s="500">
        <f t="shared" si="53"/>
        <v>0</v>
      </c>
      <c r="F41" s="500">
        <f t="shared" si="53"/>
        <v>0</v>
      </c>
      <c r="G41" s="500">
        <f t="shared" si="53"/>
        <v>0</v>
      </c>
      <c r="H41" s="500">
        <f t="shared" ref="H41:I41" si="54">H33</f>
        <v>37759000</v>
      </c>
      <c r="I41" s="500">
        <f t="shared" si="54"/>
        <v>0</v>
      </c>
      <c r="J41" s="500">
        <f t="shared" si="53"/>
        <v>0</v>
      </c>
      <c r="K41" s="500">
        <f t="shared" si="53"/>
        <v>0</v>
      </c>
      <c r="L41" s="500">
        <f>L33</f>
        <v>4635749726.5200005</v>
      </c>
      <c r="M41" s="500">
        <f t="shared" ref="M41:CB41" si="55">M33</f>
        <v>2910068690.1500001</v>
      </c>
      <c r="N41" s="500">
        <f t="shared" si="55"/>
        <v>4042147311.8500004</v>
      </c>
      <c r="O41" s="500">
        <f t="shared" si="55"/>
        <v>2534512435.5</v>
      </c>
      <c r="P41" s="500">
        <f t="shared" si="55"/>
        <v>21770300</v>
      </c>
      <c r="Q41" s="500">
        <f t="shared" si="55"/>
        <v>6326925.6400000006</v>
      </c>
      <c r="R41" s="500">
        <f t="shared" si="55"/>
        <v>720202200</v>
      </c>
      <c r="S41" s="500">
        <f t="shared" si="55"/>
        <v>233933281.38</v>
      </c>
      <c r="T41" s="500">
        <f t="shared" si="55"/>
        <v>75345743.200000003</v>
      </c>
      <c r="U41" s="500">
        <f t="shared" si="55"/>
        <v>66279834.93</v>
      </c>
      <c r="V41" s="500">
        <f t="shared" si="55"/>
        <v>0</v>
      </c>
      <c r="W41" s="500">
        <f t="shared" si="55"/>
        <v>0</v>
      </c>
      <c r="X41" s="500">
        <f t="shared" si="55"/>
        <v>0</v>
      </c>
      <c r="Y41" s="500">
        <f t="shared" si="55"/>
        <v>0</v>
      </c>
      <c r="Z41" s="500">
        <f t="shared" si="55"/>
        <v>844127500</v>
      </c>
      <c r="AA41" s="500">
        <f t="shared" si="55"/>
        <v>721311012.22000003</v>
      </c>
      <c r="AB41" s="500">
        <f t="shared" si="55"/>
        <v>115116800</v>
      </c>
      <c r="AC41" s="500">
        <f t="shared" si="55"/>
        <v>104137919.87</v>
      </c>
      <c r="AD41" s="500">
        <f t="shared" si="55"/>
        <v>14320379.789999999</v>
      </c>
      <c r="AE41" s="500">
        <f t="shared" si="55"/>
        <v>0</v>
      </c>
      <c r="AF41" s="500">
        <f t="shared" si="55"/>
        <v>0</v>
      </c>
      <c r="AG41" s="500">
        <f t="shared" si="55"/>
        <v>0</v>
      </c>
      <c r="AH41" s="500">
        <f t="shared" si="55"/>
        <v>0</v>
      </c>
      <c r="AI41" s="500">
        <f t="shared" si="55"/>
        <v>0</v>
      </c>
      <c r="AJ41" s="500">
        <f t="shared" si="55"/>
        <v>260033228.37</v>
      </c>
      <c r="AK41" s="500">
        <f t="shared" si="55"/>
        <v>181521985.75</v>
      </c>
      <c r="AL41" s="500">
        <f t="shared" si="55"/>
        <v>1404739120.51</v>
      </c>
      <c r="AM41" s="500">
        <f t="shared" si="55"/>
        <v>715988056.25999999</v>
      </c>
      <c r="AN41" s="500">
        <f t="shared" si="55"/>
        <v>0</v>
      </c>
      <c r="AO41" s="500">
        <f t="shared" si="55"/>
        <v>0</v>
      </c>
      <c r="AP41" s="500">
        <f t="shared" si="55"/>
        <v>0</v>
      </c>
      <c r="AQ41" s="500">
        <f t="shared" si="55"/>
        <v>0</v>
      </c>
      <c r="AR41" s="500">
        <f t="shared" si="55"/>
        <v>0</v>
      </c>
      <c r="AS41" s="500">
        <f t="shared" si="55"/>
        <v>0</v>
      </c>
      <c r="AT41" s="500">
        <f t="shared" si="55"/>
        <v>2488300</v>
      </c>
      <c r="AU41" s="500">
        <f t="shared" si="55"/>
        <v>2488300</v>
      </c>
      <c r="AV41" s="500">
        <f t="shared" si="55"/>
        <v>0</v>
      </c>
      <c r="AW41" s="500">
        <f t="shared" si="55"/>
        <v>0</v>
      </c>
      <c r="AX41" s="500">
        <f t="shared" si="55"/>
        <v>2714716.01</v>
      </c>
      <c r="AY41" s="500">
        <f t="shared" si="55"/>
        <v>0</v>
      </c>
      <c r="AZ41" s="500">
        <f t="shared" si="55"/>
        <v>2142343.06</v>
      </c>
      <c r="BA41" s="500">
        <f t="shared" si="55"/>
        <v>0</v>
      </c>
      <c r="BB41" s="500">
        <f t="shared" si="55"/>
        <v>0</v>
      </c>
      <c r="BC41" s="500">
        <f t="shared" si="55"/>
        <v>0</v>
      </c>
      <c r="BD41" s="500">
        <f t="shared" si="55"/>
        <v>0</v>
      </c>
      <c r="BE41" s="500">
        <f t="shared" si="55"/>
        <v>0</v>
      </c>
      <c r="BF41" s="500">
        <f t="shared" si="55"/>
        <v>0</v>
      </c>
      <c r="BG41" s="500">
        <f t="shared" si="55"/>
        <v>0</v>
      </c>
      <c r="BH41" s="500">
        <f t="shared" si="55"/>
        <v>1221580.9100000001</v>
      </c>
      <c r="BI41" s="500">
        <f t="shared" si="55"/>
        <v>1221580.8999999999</v>
      </c>
      <c r="BJ41" s="500">
        <f t="shared" si="55"/>
        <v>0</v>
      </c>
      <c r="BK41" s="500">
        <f t="shared" si="55"/>
        <v>0</v>
      </c>
      <c r="BL41" s="500">
        <f t="shared" si="55"/>
        <v>168384500</v>
      </c>
      <c r="BM41" s="500">
        <f t="shared" si="55"/>
        <v>119076909.65000001</v>
      </c>
      <c r="BN41" s="500">
        <f t="shared" si="55"/>
        <v>0</v>
      </c>
      <c r="BO41" s="500">
        <f t="shared" si="55"/>
        <v>0</v>
      </c>
      <c r="BP41" s="500">
        <f t="shared" si="55"/>
        <v>0</v>
      </c>
      <c r="BQ41" s="500">
        <f t="shared" si="55"/>
        <v>0</v>
      </c>
      <c r="BR41" s="500">
        <f t="shared" si="55"/>
        <v>6625800</v>
      </c>
      <c r="BS41" s="500">
        <f t="shared" si="55"/>
        <v>3117823.01</v>
      </c>
      <c r="BT41" s="500">
        <f t="shared" si="55"/>
        <v>0</v>
      </c>
      <c r="BU41" s="500">
        <f t="shared" si="55"/>
        <v>0</v>
      </c>
      <c r="BV41" s="500">
        <f t="shared" si="55"/>
        <v>0</v>
      </c>
      <c r="BW41" s="500">
        <f t="shared" si="55"/>
        <v>0</v>
      </c>
      <c r="BX41" s="500">
        <f t="shared" si="55"/>
        <v>402914800</v>
      </c>
      <c r="BY41" s="500">
        <f t="shared" si="55"/>
        <v>379108805.88999999</v>
      </c>
      <c r="BZ41" s="500">
        <f t="shared" si="55"/>
        <v>0</v>
      </c>
      <c r="CA41" s="500">
        <f t="shared" si="55"/>
        <v>0</v>
      </c>
      <c r="CB41" s="500">
        <f t="shared" si="55"/>
        <v>0</v>
      </c>
      <c r="CC41" s="500">
        <f t="shared" ref="CC41:DG41" si="56">CC33</f>
        <v>0</v>
      </c>
      <c r="CD41" s="500">
        <f t="shared" si="56"/>
        <v>0</v>
      </c>
      <c r="CE41" s="500">
        <f t="shared" si="56"/>
        <v>0</v>
      </c>
      <c r="CF41" s="500">
        <f t="shared" si="56"/>
        <v>0</v>
      </c>
      <c r="CG41" s="500">
        <f t="shared" si="56"/>
        <v>0</v>
      </c>
      <c r="CH41" s="500">
        <f t="shared" si="56"/>
        <v>260323759.52000001</v>
      </c>
      <c r="CI41" s="500">
        <f t="shared" si="56"/>
        <v>170123666.28</v>
      </c>
      <c r="CJ41" s="500">
        <f t="shared" si="56"/>
        <v>0</v>
      </c>
      <c r="CK41" s="500">
        <f t="shared" si="56"/>
        <v>0</v>
      </c>
      <c r="CL41" s="500">
        <f t="shared" si="56"/>
        <v>63100</v>
      </c>
      <c r="CM41" s="500">
        <f t="shared" si="56"/>
        <v>0</v>
      </c>
      <c r="CN41" s="500">
        <f t="shared" si="56"/>
        <v>0</v>
      </c>
      <c r="CO41" s="500">
        <f t="shared" si="56"/>
        <v>0</v>
      </c>
      <c r="CP41" s="500">
        <f t="shared" si="56"/>
        <v>0</v>
      </c>
      <c r="CQ41" s="500">
        <f t="shared" si="56"/>
        <v>0</v>
      </c>
      <c r="CR41" s="500">
        <f t="shared" si="56"/>
        <v>7674600</v>
      </c>
      <c r="CS41" s="500">
        <f t="shared" si="56"/>
        <v>7674600</v>
      </c>
      <c r="CT41" s="500">
        <f t="shared" si="56"/>
        <v>251471059.52000001</v>
      </c>
      <c r="CU41" s="500">
        <f t="shared" si="56"/>
        <v>161533578</v>
      </c>
      <c r="CV41" s="500">
        <f t="shared" si="56"/>
        <v>1115000</v>
      </c>
      <c r="CW41" s="500">
        <f t="shared" si="56"/>
        <v>915488.28</v>
      </c>
      <c r="CX41" s="500">
        <f t="shared" si="56"/>
        <v>333278655.14999998</v>
      </c>
      <c r="CY41" s="500">
        <f t="shared" si="56"/>
        <v>205432588.37</v>
      </c>
      <c r="CZ41" s="500">
        <f t="shared" ref="CZ41:DA41" si="57">CZ33</f>
        <v>0</v>
      </c>
      <c r="DA41" s="500">
        <f t="shared" si="57"/>
        <v>0</v>
      </c>
      <c r="DB41" s="500">
        <f t="shared" si="56"/>
        <v>91214000.659999996</v>
      </c>
      <c r="DC41" s="500">
        <f t="shared" si="56"/>
        <v>15165125.710000001</v>
      </c>
      <c r="DD41" s="500">
        <f t="shared" si="56"/>
        <v>19562083.490000002</v>
      </c>
      <c r="DE41" s="500">
        <f t="shared" si="56"/>
        <v>14877222.66</v>
      </c>
      <c r="DF41" s="500">
        <f t="shared" si="56"/>
        <v>222502571</v>
      </c>
      <c r="DG41" s="500">
        <f t="shared" si="56"/>
        <v>175390240</v>
      </c>
    </row>
    <row r="42" spans="1:114" s="200" customFormat="1" ht="16.5" x14ac:dyDescent="0.25">
      <c r="A42" s="198"/>
      <c r="B42" s="198"/>
      <c r="C42" s="198"/>
      <c r="D42" s="198"/>
      <c r="E42" s="198"/>
      <c r="F42" s="198"/>
      <c r="G42" s="198"/>
      <c r="H42" s="198"/>
      <c r="I42" s="198"/>
      <c r="J42" s="198"/>
      <c r="K42" s="198"/>
      <c r="L42" s="198"/>
      <c r="M42" s="198"/>
      <c r="N42" s="198"/>
      <c r="O42" s="198"/>
      <c r="P42" s="197"/>
      <c r="Q42" s="197"/>
      <c r="R42" s="197"/>
      <c r="S42" s="197"/>
      <c r="T42" s="197"/>
      <c r="U42" s="197"/>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199"/>
      <c r="BR42" s="199"/>
      <c r="BS42" s="199"/>
      <c r="BT42" s="199"/>
      <c r="BU42" s="199"/>
      <c r="BV42" s="199"/>
      <c r="BW42" s="199"/>
      <c r="BX42" s="199"/>
      <c r="BY42" s="199"/>
      <c r="BZ42" s="199"/>
      <c r="CA42" s="199"/>
      <c r="CB42" s="199"/>
      <c r="CC42" s="199"/>
      <c r="CD42" s="199"/>
      <c r="CE42" s="199"/>
      <c r="CF42" s="199"/>
      <c r="CG42" s="199"/>
      <c r="CH42" s="198"/>
      <c r="CI42" s="198"/>
      <c r="CJ42" s="194"/>
      <c r="CK42" s="198"/>
      <c r="CL42" s="495"/>
      <c r="CM42" s="495"/>
      <c r="CN42" s="198"/>
      <c r="CO42" s="198"/>
      <c r="CP42" s="198"/>
      <c r="CQ42" s="198"/>
      <c r="CR42" s="198"/>
      <c r="CS42" s="198"/>
      <c r="CT42" s="194"/>
      <c r="CU42" s="194"/>
      <c r="CV42" s="194"/>
      <c r="CW42" s="194"/>
      <c r="CX42" s="198"/>
      <c r="CY42" s="198"/>
      <c r="CZ42" s="194"/>
      <c r="DA42" s="198"/>
      <c r="DB42" s="194"/>
      <c r="DC42" s="198"/>
      <c r="DD42" s="194"/>
      <c r="DE42" s="198"/>
      <c r="DF42" s="194"/>
      <c r="DG42" s="198"/>
    </row>
    <row r="43" spans="1:114" s="504" customFormat="1" ht="26.45" customHeight="1" x14ac:dyDescent="0.2">
      <c r="A43" s="501" t="s">
        <v>751</v>
      </c>
      <c r="B43" s="1"/>
      <c r="C43" s="1"/>
      <c r="D43" s="1"/>
      <c r="E43" s="1"/>
      <c r="F43" s="1759" t="s">
        <v>752</v>
      </c>
      <c r="G43" s="1760"/>
      <c r="H43" s="1759" t="s">
        <v>1276</v>
      </c>
      <c r="I43" s="1760"/>
      <c r="J43" s="1759" t="s">
        <v>753</v>
      </c>
      <c r="K43" s="1760"/>
      <c r="L43" s="1"/>
      <c r="M43" s="1"/>
      <c r="N43" s="1"/>
      <c r="O43" s="1"/>
      <c r="P43" s="1759" t="s">
        <v>754</v>
      </c>
      <c r="Q43" s="1760"/>
      <c r="R43" s="1759" t="s">
        <v>755</v>
      </c>
      <c r="S43" s="1760"/>
      <c r="T43" s="1759" t="s">
        <v>756</v>
      </c>
      <c r="U43" s="1760"/>
      <c r="V43" s="1759" t="s">
        <v>757</v>
      </c>
      <c r="W43" s="1760"/>
      <c r="X43" s="1759" t="s">
        <v>758</v>
      </c>
      <c r="Y43" s="1760"/>
      <c r="Z43" s="1759" t="s">
        <v>759</v>
      </c>
      <c r="AA43" s="1760"/>
      <c r="AB43" s="1759" t="s">
        <v>760</v>
      </c>
      <c r="AC43" s="1760"/>
      <c r="AD43" s="1759" t="s">
        <v>761</v>
      </c>
      <c r="AE43" s="1760"/>
      <c r="AF43" s="1759" t="s">
        <v>762</v>
      </c>
      <c r="AG43" s="1760"/>
      <c r="AH43" s="1759" t="s">
        <v>763</v>
      </c>
      <c r="AI43" s="1760"/>
      <c r="AJ43" s="1759" t="s">
        <v>764</v>
      </c>
      <c r="AK43" s="1760"/>
      <c r="AL43" s="1759" t="s">
        <v>765</v>
      </c>
      <c r="AM43" s="1760"/>
      <c r="AN43" s="1759" t="s">
        <v>766</v>
      </c>
      <c r="AO43" s="1760"/>
      <c r="AP43" s="1759" t="s">
        <v>767</v>
      </c>
      <c r="AQ43" s="1760"/>
      <c r="AR43" s="1759" t="s">
        <v>768</v>
      </c>
      <c r="AS43" s="1760"/>
      <c r="AT43" s="1759" t="s">
        <v>769</v>
      </c>
      <c r="AU43" s="1760"/>
      <c r="AV43" s="1759" t="s">
        <v>770</v>
      </c>
      <c r="AW43" s="1760"/>
      <c r="AX43" s="1759" t="s">
        <v>771</v>
      </c>
      <c r="AY43" s="1760"/>
      <c r="AZ43" s="1759" t="s">
        <v>772</v>
      </c>
      <c r="BA43" s="1760"/>
      <c r="BB43" s="1759" t="s">
        <v>773</v>
      </c>
      <c r="BC43" s="1760"/>
      <c r="BD43" s="1759" t="s">
        <v>774</v>
      </c>
      <c r="BE43" s="1760"/>
      <c r="BF43" s="1759" t="s">
        <v>775</v>
      </c>
      <c r="BG43" s="1760"/>
      <c r="BH43" s="1759" t="s">
        <v>776</v>
      </c>
      <c r="BI43" s="1760"/>
      <c r="BJ43" s="1759" t="s">
        <v>777</v>
      </c>
      <c r="BK43" s="1760"/>
      <c r="BL43" s="1759" t="s">
        <v>778</v>
      </c>
      <c r="BM43" s="1760"/>
      <c r="BN43" s="1759" t="s">
        <v>779</v>
      </c>
      <c r="BO43" s="1760"/>
      <c r="BP43" s="1759" t="s">
        <v>785</v>
      </c>
      <c r="BQ43" s="1760"/>
      <c r="BR43" s="1759" t="s">
        <v>780</v>
      </c>
      <c r="BS43" s="1760"/>
      <c r="BT43" s="1759" t="s">
        <v>781</v>
      </c>
      <c r="BU43" s="1760"/>
      <c r="BV43" s="1759" t="s">
        <v>782</v>
      </c>
      <c r="BW43" s="1760"/>
      <c r="BX43" s="1759" t="s">
        <v>1340</v>
      </c>
      <c r="BY43" s="1760"/>
      <c r="BZ43" s="1759" t="s">
        <v>783</v>
      </c>
      <c r="CA43" s="1760"/>
      <c r="CB43" s="1759" t="s">
        <v>784</v>
      </c>
      <c r="CC43" s="1760"/>
      <c r="CD43" s="1759" t="s">
        <v>1365</v>
      </c>
      <c r="CE43" s="1760"/>
      <c r="CF43" s="1759" t="s">
        <v>785</v>
      </c>
      <c r="CG43" s="1760"/>
      <c r="CH43" s="502"/>
      <c r="CI43" s="503"/>
      <c r="CJ43" s="1759" t="s">
        <v>786</v>
      </c>
      <c r="CK43" s="1760"/>
      <c r="CL43" s="1759" t="s">
        <v>787</v>
      </c>
      <c r="CM43" s="1760"/>
      <c r="CN43" s="1721" t="s">
        <v>788</v>
      </c>
      <c r="CO43" s="1728"/>
      <c r="CP43" s="1721" t="s">
        <v>789</v>
      </c>
      <c r="CQ43" s="1728"/>
      <c r="CR43" s="1721" t="s">
        <v>790</v>
      </c>
      <c r="CS43" s="1728"/>
      <c r="CT43" s="1757" t="s">
        <v>791</v>
      </c>
      <c r="CU43" s="1758"/>
      <c r="CV43" s="1757" t="s">
        <v>792</v>
      </c>
      <c r="CW43" s="1758"/>
      <c r="CX43" s="502"/>
      <c r="CY43" s="503"/>
      <c r="CZ43" s="1757" t="s">
        <v>1360</v>
      </c>
      <c r="DA43" s="1758"/>
      <c r="DB43" s="1757" t="s">
        <v>793</v>
      </c>
      <c r="DC43" s="1758"/>
      <c r="DD43" s="1757" t="s">
        <v>794</v>
      </c>
      <c r="DE43" s="1758"/>
      <c r="DF43" s="1757" t="s">
        <v>795</v>
      </c>
      <c r="DG43" s="1758"/>
    </row>
    <row r="44" spans="1:114" s="506" customFormat="1" ht="26.25" x14ac:dyDescent="0.4">
      <c r="A44" s="1"/>
      <c r="B44" s="1"/>
      <c r="C44" s="1"/>
      <c r="D44" s="1"/>
      <c r="E44" s="1"/>
      <c r="F44" s="1"/>
      <c r="G44" s="1"/>
      <c r="H44" s="1"/>
      <c r="I44" s="1"/>
      <c r="J44" s="1"/>
      <c r="K44" s="1"/>
      <c r="L44" s="1"/>
      <c r="M44" s="505"/>
      <c r="N44" s="505"/>
      <c r="O44" s="505"/>
    </row>
    <row r="45" spans="1:114" ht="18" x14ac:dyDescent="0.25">
      <c r="M45" s="505"/>
      <c r="N45" s="505"/>
      <c r="O45" s="505"/>
    </row>
  </sheetData>
  <mergeCells count="121">
    <mergeCell ref="CZ8:DA9"/>
    <mergeCell ref="CZ43:DA43"/>
    <mergeCell ref="BN8:BQ8"/>
    <mergeCell ref="BP9:BQ9"/>
    <mergeCell ref="BP43:BQ43"/>
    <mergeCell ref="CB8:CE8"/>
    <mergeCell ref="H43:I43"/>
    <mergeCell ref="H7:K8"/>
    <mergeCell ref="H9:I9"/>
    <mergeCell ref="J9:K9"/>
    <mergeCell ref="BN9:BO9"/>
    <mergeCell ref="CB9:CC9"/>
    <mergeCell ref="CD9:CE9"/>
    <mergeCell ref="CH7:CU7"/>
    <mergeCell ref="BL9:BM9"/>
    <mergeCell ref="CF9:CG9"/>
    <mergeCell ref="CX7:DG7"/>
    <mergeCell ref="CT8:CU9"/>
    <mergeCell ref="BV8:BW9"/>
    <mergeCell ref="BX8:BY9"/>
    <mergeCell ref="BZ8:CA9"/>
    <mergeCell ref="CH8:CH10"/>
    <mergeCell ref="CI8:CI10"/>
    <mergeCell ref="BJ8:BK9"/>
    <mergeCell ref="A6:A10"/>
    <mergeCell ref="B6:C9"/>
    <mergeCell ref="D6:E9"/>
    <mergeCell ref="F6:K6"/>
    <mergeCell ref="L6:M9"/>
    <mergeCell ref="F7:G9"/>
    <mergeCell ref="N7:Y7"/>
    <mergeCell ref="BH9:BI9"/>
    <mergeCell ref="X43:Y43"/>
    <mergeCell ref="Z43:AA43"/>
    <mergeCell ref="AB43:AC43"/>
    <mergeCell ref="AD43:AE43"/>
    <mergeCell ref="AF43:AG43"/>
    <mergeCell ref="N8:N10"/>
    <mergeCell ref="O8:O10"/>
    <mergeCell ref="P8:U8"/>
    <mergeCell ref="V8:W9"/>
    <mergeCell ref="X8:Y8"/>
    <mergeCell ref="Z8:AA9"/>
    <mergeCell ref="AB8:AC9"/>
    <mergeCell ref="BD8:BI8"/>
    <mergeCell ref="AJ43:AK43"/>
    <mergeCell ref="AL43:AM43"/>
    <mergeCell ref="AN43:AO43"/>
    <mergeCell ref="BL8:BM8"/>
    <mergeCell ref="BR8:BS9"/>
    <mergeCell ref="BT8:BU9"/>
    <mergeCell ref="BD9:BE9"/>
    <mergeCell ref="BF9:BG9"/>
    <mergeCell ref="DI10:DJ10"/>
    <mergeCell ref="F43:G43"/>
    <mergeCell ref="J43:K43"/>
    <mergeCell ref="P43:Q43"/>
    <mergeCell ref="R43:S43"/>
    <mergeCell ref="T43:U43"/>
    <mergeCell ref="P9:Q9"/>
    <mergeCell ref="R9:S9"/>
    <mergeCell ref="T9:U9"/>
    <mergeCell ref="X9:Y9"/>
    <mergeCell ref="AX9:AY9"/>
    <mergeCell ref="AZ9:BA9"/>
    <mergeCell ref="CV8:CW9"/>
    <mergeCell ref="CX8:CX10"/>
    <mergeCell ref="CY8:CY10"/>
    <mergeCell ref="DB8:DC9"/>
    <mergeCell ref="DD8:DE9"/>
    <mergeCell ref="DF8:DG9"/>
    <mergeCell ref="CJ8:CK9"/>
    <mergeCell ref="CL8:CM9"/>
    <mergeCell ref="CN8:CO9"/>
    <mergeCell ref="CP8:CQ9"/>
    <mergeCell ref="CR8:CS9"/>
    <mergeCell ref="V43:W43"/>
    <mergeCell ref="AP8:AQ9"/>
    <mergeCell ref="AR8:AS9"/>
    <mergeCell ref="AT8:AU9"/>
    <mergeCell ref="AV8:AW9"/>
    <mergeCell ref="AX8:BA8"/>
    <mergeCell ref="BB8:BC9"/>
    <mergeCell ref="AD8:AE9"/>
    <mergeCell ref="AF8:AG9"/>
    <mergeCell ref="AH8:AI9"/>
    <mergeCell ref="AJ8:AK9"/>
    <mergeCell ref="AL8:AM9"/>
    <mergeCell ref="AN8:AO9"/>
    <mergeCell ref="AT43:AU43"/>
    <mergeCell ref="AV43:AW43"/>
    <mergeCell ref="AX43:AY43"/>
    <mergeCell ref="AZ43:BA43"/>
    <mergeCell ref="BB43:BC43"/>
    <mergeCell ref="BD43:BE43"/>
    <mergeCell ref="AH43:AI43"/>
    <mergeCell ref="AP43:AQ43"/>
    <mergeCell ref="AR43:AS43"/>
    <mergeCell ref="BT43:BU43"/>
    <mergeCell ref="BV43:BW43"/>
    <mergeCell ref="BX43:BY43"/>
    <mergeCell ref="BZ43:CA43"/>
    <mergeCell ref="CB43:CC43"/>
    <mergeCell ref="CD43:CE43"/>
    <mergeCell ref="BF43:BG43"/>
    <mergeCell ref="BH43:BI43"/>
    <mergeCell ref="BJ43:BK43"/>
    <mergeCell ref="BL43:BM43"/>
    <mergeCell ref="BN43:BO43"/>
    <mergeCell ref="BR43:BS43"/>
    <mergeCell ref="CT43:CU43"/>
    <mergeCell ref="CV43:CW43"/>
    <mergeCell ref="DB43:DC43"/>
    <mergeCell ref="DD43:DE43"/>
    <mergeCell ref="DF43:DG43"/>
    <mergeCell ref="CF43:CG43"/>
    <mergeCell ref="CJ43:CK43"/>
    <mergeCell ref="CL43:CM43"/>
    <mergeCell ref="CN43:CO43"/>
    <mergeCell ref="CP43:CQ43"/>
    <mergeCell ref="CR43:CS43"/>
  </mergeCells>
  <pageMargins left="0.78740157480314965" right="0.39370078740157483" top="0.78740157480314965" bottom="0.78740157480314965" header="0.51181102362204722" footer="0.51181102362204722"/>
  <pageSetup paperSize="9" scale="38" fitToWidth="15" orientation="landscape" horizontalDpi="300" verticalDpi="300" r:id="rId1"/>
  <headerFooter alignWithMargins="0">
    <oddFooter>&amp;L&amp;P&amp;R&amp;Z&amp;F&amp;A</oddFooter>
  </headerFooter>
  <colBreaks count="5" manualBreakCount="5">
    <brk id="37" max="42" man="1"/>
    <brk id="49" max="42" man="1"/>
    <brk id="61" max="42" man="1"/>
    <brk id="83" max="42" man="1"/>
    <brk id="109" max="4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76"/>
  <sheetViews>
    <sheetView topLeftCell="A2" zoomScale="90" zoomScaleNormal="90" workbookViewId="0">
      <pane xSplit="1" ySplit="5" topLeftCell="B72" activePane="bottomRight" state="frozen"/>
      <selection activeCell="A2" sqref="A2"/>
      <selection pane="topRight" activeCell="B2" sqref="B2"/>
      <selection pane="bottomLeft" activeCell="A6" sqref="A6"/>
      <selection pane="bottomRight" activeCell="A40" sqref="A40"/>
    </sheetView>
  </sheetViews>
  <sheetFormatPr defaultColWidth="9.140625" defaultRowHeight="12.75" x14ac:dyDescent="0.25"/>
  <cols>
    <col min="1" max="1" width="80.85546875" style="242" customWidth="1"/>
    <col min="2" max="2" width="18.5703125" style="242" bestFit="1" customWidth="1"/>
    <col min="3" max="3" width="18.140625" style="242" bestFit="1" customWidth="1"/>
    <col min="4" max="4" width="15.5703125" style="242" customWidth="1"/>
    <col min="5" max="16384" width="9.140625" style="242"/>
  </cols>
  <sheetData>
    <row r="2" spans="1:3" ht="15" x14ac:dyDescent="0.25">
      <c r="A2" s="1845" t="s">
        <v>665</v>
      </c>
      <c r="B2" s="1845"/>
      <c r="C2" s="1845"/>
    </row>
    <row r="3" spans="1:3" ht="15" x14ac:dyDescent="0.25">
      <c r="A3" s="1846" t="str">
        <f>'МБТ  по  программам'!A3:I3</f>
        <v>ПО  СОСТОЯНИЮ  НА  1  ОКТЯБРЯ  2024  ГОДА</v>
      </c>
      <c r="B3" s="1846"/>
      <c r="C3" s="1846"/>
    </row>
    <row r="4" spans="1:3" ht="15" x14ac:dyDescent="0.25">
      <c r="A4" s="213"/>
      <c r="B4" s="213"/>
      <c r="C4" s="213"/>
    </row>
    <row r="5" spans="1:3" ht="15" x14ac:dyDescent="0.25">
      <c r="C5" s="212" t="s">
        <v>666</v>
      </c>
    </row>
    <row r="6" spans="1:3" ht="15" x14ac:dyDescent="0.25">
      <c r="A6" s="215" t="s">
        <v>356</v>
      </c>
      <c r="B6" s="413" t="s">
        <v>358</v>
      </c>
      <c r="C6" s="403" t="s">
        <v>364</v>
      </c>
    </row>
    <row r="7" spans="1:3" ht="15" x14ac:dyDescent="0.25">
      <c r="A7" s="215" t="s">
        <v>667</v>
      </c>
      <c r="B7" s="400"/>
      <c r="C7" s="403"/>
    </row>
    <row r="8" spans="1:3" ht="127.5" x14ac:dyDescent="0.25">
      <c r="A8" s="278" t="s">
        <v>668</v>
      </c>
      <c r="B8" s="414">
        <f>'Проверочная  таблица'!EB37/1000</f>
        <v>0</v>
      </c>
      <c r="C8" s="414">
        <f>'Проверочная  таблица'!EE37/1000</f>
        <v>0</v>
      </c>
    </row>
    <row r="9" spans="1:3" ht="63.75" x14ac:dyDescent="0.25">
      <c r="A9" s="278" t="s">
        <v>669</v>
      </c>
      <c r="B9" s="415">
        <f>'Проверочная  таблица'!SL37/1000</f>
        <v>0</v>
      </c>
      <c r="C9" s="416">
        <f>'Проверочная  таблица'!SO37/1000</f>
        <v>0</v>
      </c>
    </row>
    <row r="10" spans="1:3" ht="38.25" x14ac:dyDescent="0.25">
      <c r="A10" s="278" t="s">
        <v>670</v>
      </c>
      <c r="B10" s="414">
        <f>'Проверочная  таблица'!EI37/1000</f>
        <v>844127.5</v>
      </c>
      <c r="C10" s="414">
        <f>'Проверочная  таблица'!EM37/1000</f>
        <v>721311.01222000003</v>
      </c>
    </row>
    <row r="11" spans="1:3" ht="38.25" x14ac:dyDescent="0.25">
      <c r="A11" s="278" t="s">
        <v>671</v>
      </c>
      <c r="B11" s="414">
        <f>'Проверочная  таблица'!OD37/1000</f>
        <v>0</v>
      </c>
      <c r="C11" s="414">
        <f>'Проверочная  таблица'!OH37/1000</f>
        <v>0</v>
      </c>
    </row>
    <row r="12" spans="1:3" ht="63.75" x14ac:dyDescent="0.25">
      <c r="A12" s="278" t="s">
        <v>672</v>
      </c>
      <c r="B12" s="414">
        <f>'Проверочная  таблица'!DV37/1000</f>
        <v>5982.8</v>
      </c>
      <c r="C12" s="414">
        <f>'Проверочная  таблица'!DY37/1000</f>
        <v>4526.3561600000003</v>
      </c>
    </row>
    <row r="13" spans="1:3" ht="51" x14ac:dyDescent="0.25">
      <c r="A13" s="278" t="s">
        <v>1341</v>
      </c>
      <c r="B13" s="414">
        <f>'Проверочная  таблица'!SE37/1000</f>
        <v>478133.4</v>
      </c>
      <c r="C13" s="414">
        <f>'Проверочная  таблица'!SI37/1000</f>
        <v>386368.59576</v>
      </c>
    </row>
    <row r="14" spans="1:3" ht="89.25" x14ac:dyDescent="0.25">
      <c r="A14" s="278" t="s">
        <v>673</v>
      </c>
      <c r="B14" s="414">
        <f>'Проверочная  таблица'!LQ38/1000</f>
        <v>29785.8</v>
      </c>
      <c r="C14" s="414">
        <f>'Проверочная  таблица'!LU38/1000</f>
        <v>18671.574310000004</v>
      </c>
    </row>
    <row r="15" spans="1:3" ht="63.75" x14ac:dyDescent="0.25">
      <c r="A15" s="278" t="s">
        <v>674</v>
      </c>
      <c r="B15" s="414">
        <f>'Проверочная  таблица'!MV37/1000</f>
        <v>0</v>
      </c>
      <c r="C15" s="414">
        <f>'Проверочная  таблица'!ND37/1000</f>
        <v>0</v>
      </c>
    </row>
    <row r="16" spans="1:3" ht="76.5" x14ac:dyDescent="0.25">
      <c r="A16" s="278" t="s">
        <v>675</v>
      </c>
      <c r="B16" s="414">
        <f>'Проверочная  таблица'!MX37/1000</f>
        <v>4757.6000000000004</v>
      </c>
      <c r="C16" s="414">
        <f>'Проверочная  таблица'!NF37/1000</f>
        <v>484.79760999999996</v>
      </c>
    </row>
    <row r="17" spans="1:4" ht="38.25" x14ac:dyDescent="0.25">
      <c r="A17" s="278" t="s">
        <v>676</v>
      </c>
      <c r="B17" s="414">
        <f>'Проверочная  таблица'!IZ37/1000</f>
        <v>21850</v>
      </c>
      <c r="C17" s="414">
        <f>'Проверочная  таблица'!JC37/1000</f>
        <v>19409.351730000002</v>
      </c>
    </row>
    <row r="18" spans="1:4" ht="38.25" x14ac:dyDescent="0.25">
      <c r="A18" s="278" t="s">
        <v>677</v>
      </c>
      <c r="B18" s="414">
        <f>'Проверочная  таблица'!QT37/1000</f>
        <v>6625.8</v>
      </c>
      <c r="C18" s="414">
        <f>'Проверочная  таблица'!QW37/1000</f>
        <v>3117.8230099999996</v>
      </c>
    </row>
    <row r="19" spans="1:4" ht="51" x14ac:dyDescent="0.25">
      <c r="A19" s="278" t="s">
        <v>678</v>
      </c>
      <c r="B19" s="415">
        <f>'Проверочная  таблица'!QZ38/1000</f>
        <v>0</v>
      </c>
      <c r="C19" s="416">
        <f>'Проверочная  таблица'!RC38/1000</f>
        <v>0</v>
      </c>
    </row>
    <row r="20" spans="1:4" ht="51" x14ac:dyDescent="0.25">
      <c r="A20" s="278" t="s">
        <v>679</v>
      </c>
      <c r="B20" s="414">
        <f>'Проверочная  таблица'!RX37/1000</f>
        <v>0</v>
      </c>
      <c r="C20" s="414">
        <f>'Проверочная  таблица'!SA37/1000</f>
        <v>0</v>
      </c>
    </row>
    <row r="21" spans="1:4" ht="38.25" x14ac:dyDescent="0.25">
      <c r="A21" s="278" t="s">
        <v>680</v>
      </c>
      <c r="B21" s="414">
        <f>'Проверочная  таблица'!IJ38/1000</f>
        <v>2500</v>
      </c>
      <c r="C21" s="414">
        <f>'Проверочная  таблица'!IM38/1000</f>
        <v>2500</v>
      </c>
    </row>
    <row r="22" spans="1:4" ht="76.5" x14ac:dyDescent="0.25">
      <c r="A22" s="278" t="s">
        <v>681</v>
      </c>
      <c r="B22" s="414">
        <f>'Проверочная  таблица'!FT37/1000</f>
        <v>0</v>
      </c>
      <c r="C22" s="414">
        <f>'Проверочная  таблица'!FW37/1000</f>
        <v>0</v>
      </c>
    </row>
    <row r="23" spans="1:4" ht="89.25" x14ac:dyDescent="0.25">
      <c r="A23" s="278" t="s">
        <v>682</v>
      </c>
      <c r="B23" s="414">
        <f>'Проверочная  таблица'!JF37/1000</f>
        <v>2488.3000000000002</v>
      </c>
      <c r="C23" s="414">
        <f>'Проверочная  таблица'!JI37/1000</f>
        <v>2488.3000000000002</v>
      </c>
    </row>
    <row r="24" spans="1:4" ht="76.5" x14ac:dyDescent="0.25">
      <c r="A24" s="278" t="s">
        <v>683</v>
      </c>
      <c r="B24" s="414">
        <f>'Проверочная  таблица'!JL38/1000</f>
        <v>36.71663999999997</v>
      </c>
      <c r="C24" s="414">
        <f>'Проверочная  таблица'!JO38/1000</f>
        <v>0</v>
      </c>
    </row>
    <row r="25" spans="1:4" ht="89.25" x14ac:dyDescent="0.25">
      <c r="A25" s="278" t="s">
        <v>684</v>
      </c>
      <c r="B25" s="414">
        <f>'Проверочная  таблица'!NA38/1000</f>
        <v>168192.39999000001</v>
      </c>
      <c r="C25" s="414">
        <f>'Проверочная  таблица'!NI38/1000</f>
        <v>3683.2999699999996</v>
      </c>
    </row>
    <row r="26" spans="1:4" ht="76.5" x14ac:dyDescent="0.25">
      <c r="A26" s="278" t="s">
        <v>685</v>
      </c>
      <c r="B26" s="414">
        <f>'Проверочная  таблица'!HL38/1000</f>
        <v>167793.31136000002</v>
      </c>
      <c r="C26" s="414">
        <f>'Проверочная  таблица'!HO38/1000</f>
        <v>164509.1</v>
      </c>
    </row>
    <row r="27" spans="1:4" ht="63.75" x14ac:dyDescent="0.25">
      <c r="A27" s="278" t="s">
        <v>686</v>
      </c>
      <c r="B27" s="414">
        <f>'Проверочная  таблица'!OL38/1000</f>
        <v>416944.91411000001</v>
      </c>
      <c r="C27" s="414">
        <f>'Проверочная  таблица'!OP38/1000</f>
        <v>221400.17202</v>
      </c>
      <c r="D27" s="417"/>
    </row>
    <row r="28" spans="1:4" ht="89.25" x14ac:dyDescent="0.25">
      <c r="A28" s="278" t="s">
        <v>687</v>
      </c>
      <c r="B28" s="414">
        <f>'Проверочная  таблица'!EP37/1000</f>
        <v>197611.63671000002</v>
      </c>
      <c r="C28" s="414">
        <f>'Проверочная  таблица'!ES37/1000</f>
        <v>104137.91987</v>
      </c>
    </row>
    <row r="29" spans="1:4" ht="178.5" x14ac:dyDescent="0.25">
      <c r="A29" s="278" t="s">
        <v>688</v>
      </c>
      <c r="B29" s="414">
        <f>'Проверочная  таблица'!SR38/1000</f>
        <v>211966.5</v>
      </c>
      <c r="C29" s="414">
        <f>'Проверочная  таблица'!SY38/1000</f>
        <v>109364.50324999999</v>
      </c>
    </row>
    <row r="30" spans="1:4" ht="127.5" x14ac:dyDescent="0.25">
      <c r="A30" s="278" t="s">
        <v>1367</v>
      </c>
      <c r="B30" s="414">
        <f>'Проверочная  таблица'!ST38/1000</f>
        <v>3243.3334399999999</v>
      </c>
      <c r="C30" s="414">
        <f>'Проверочная  таблица'!TA38/1000</f>
        <v>0</v>
      </c>
    </row>
    <row r="31" spans="1:4" ht="89.25" x14ac:dyDescent="0.25">
      <c r="A31" s="278" t="s">
        <v>689</v>
      </c>
      <c r="B31" s="414">
        <f>'Проверочная  таблица'!PR38/1000</f>
        <v>10309.200000000001</v>
      </c>
      <c r="C31" s="414">
        <f>'Проверочная  таблица'!PW38/1000</f>
        <v>7182.7823000000008</v>
      </c>
    </row>
    <row r="32" spans="1:4" ht="89.25" x14ac:dyDescent="0.25">
      <c r="A32" s="278" t="s">
        <v>690</v>
      </c>
      <c r="B32" s="414">
        <f>'Проверочная  таблица'!FZ38/1000</f>
        <v>234131.38022999998</v>
      </c>
      <c r="C32" s="414">
        <f>'Проверочная  таблица'!GC38/1000</f>
        <v>225612.16753000001</v>
      </c>
    </row>
    <row r="33" spans="1:4" ht="76.5" x14ac:dyDescent="0.25">
      <c r="A33" s="278" t="s">
        <v>691</v>
      </c>
      <c r="B33" s="414">
        <f>'Проверочная  таблица'!SV38/1000</f>
        <v>1393266.4343200002</v>
      </c>
      <c r="C33" s="414">
        <f>'Проверочная  таблица'!TC38/1000</f>
        <v>945135.52662999998</v>
      </c>
    </row>
    <row r="34" spans="1:4" ht="63.75" x14ac:dyDescent="0.25">
      <c r="A34" s="278" t="s">
        <v>692</v>
      </c>
      <c r="B34" s="414">
        <f>'Проверочная  таблица'!GP37/1000</f>
        <v>335298.43997000001</v>
      </c>
      <c r="C34" s="414">
        <f>'Проверочная  таблица'!GT37/1000</f>
        <v>181521.98574999999</v>
      </c>
    </row>
    <row r="35" spans="1:4" ht="114.75" x14ac:dyDescent="0.25">
      <c r="A35" s="278" t="s">
        <v>693</v>
      </c>
      <c r="B35" s="414">
        <f>'Проверочная  таблица'!HF37/1000</f>
        <v>1404739.12051</v>
      </c>
      <c r="C35" s="414">
        <f>'Проверочная  таблица'!HI37/1000</f>
        <v>715988.05625999998</v>
      </c>
    </row>
    <row r="36" spans="1:4" ht="102" x14ac:dyDescent="0.25">
      <c r="A36" s="278" t="s">
        <v>694</v>
      </c>
      <c r="B36" s="414">
        <f>'Проверочная  таблица'!CP37/1000</f>
        <v>22014.164570000001</v>
      </c>
      <c r="C36" s="414">
        <f>'Проверочная  таблица'!CW37/1000</f>
        <v>6326.9256400000004</v>
      </c>
    </row>
    <row r="37" spans="1:4" ht="76.5" x14ac:dyDescent="0.25">
      <c r="A37" s="278" t="s">
        <v>695</v>
      </c>
      <c r="B37" s="414">
        <f>'Проверочная  таблица'!CR38/1000</f>
        <v>1011540.3</v>
      </c>
      <c r="C37" s="414">
        <f>'Проверочная  таблица'!CY38/1000</f>
        <v>377606.89844999998</v>
      </c>
    </row>
    <row r="38" spans="1:4" ht="76.5" x14ac:dyDescent="0.25">
      <c r="A38" s="278" t="s">
        <v>696</v>
      </c>
      <c r="B38" s="414">
        <f>'Проверочная  таблица'!CT37/1000</f>
        <v>75345.743199999997</v>
      </c>
      <c r="C38" s="414">
        <f>'Проверочная  таблица'!DA37/1000</f>
        <v>66279.834929999997</v>
      </c>
    </row>
    <row r="39" spans="1:4" ht="102" x14ac:dyDescent="0.25">
      <c r="A39" s="278" t="s">
        <v>1385</v>
      </c>
      <c r="B39" s="414">
        <f>'Проверочная  таблица'!KJ38/1000</f>
        <v>9055.8877100000009</v>
      </c>
      <c r="C39" s="414">
        <f>'Проверочная  таблица'!KO38/1000</f>
        <v>0</v>
      </c>
    </row>
    <row r="40" spans="1:4" ht="76.5" x14ac:dyDescent="0.25">
      <c r="A40" s="278" t="s">
        <v>697</v>
      </c>
      <c r="B40" s="414">
        <f>'Проверочная  таблица'!KL38/1000</f>
        <v>6524.4</v>
      </c>
      <c r="C40" s="414">
        <f>'Проверочная  таблица'!KQ38/1000</f>
        <v>117.85824000000001</v>
      </c>
    </row>
    <row r="41" spans="1:4" ht="114.75" x14ac:dyDescent="0.25">
      <c r="A41" s="278" t="s">
        <v>698</v>
      </c>
      <c r="B41" s="414">
        <f>'Проверочная  таблица'!EV38/1000</f>
        <v>18686.099999999999</v>
      </c>
      <c r="C41" s="414">
        <f>'Проверочная  таблица'!EY38/1000</f>
        <v>2547.5320500000003</v>
      </c>
    </row>
    <row r="42" spans="1:4" ht="15.75" x14ac:dyDescent="0.25">
      <c r="A42" s="278"/>
      <c r="B42" s="414"/>
      <c r="C42" s="414"/>
    </row>
    <row r="43" spans="1:4" ht="15.75" x14ac:dyDescent="0.25">
      <c r="A43" s="247" t="s">
        <v>699</v>
      </c>
      <c r="B43" s="418">
        <f>SUM(B7:B42)</f>
        <v>7082951.1827600012</v>
      </c>
      <c r="C43" s="418">
        <f>SUM(C7:C42)</f>
        <v>4290292.3736899998</v>
      </c>
      <c r="D43" s="419">
        <f>B43-Субсидия!E531/1000</f>
        <v>0</v>
      </c>
    </row>
    <row r="44" spans="1:4" ht="15.75" x14ac:dyDescent="0.25">
      <c r="A44" s="238"/>
      <c r="B44" s="414"/>
      <c r="C44" s="414"/>
    </row>
    <row r="45" spans="1:4" ht="15.75" x14ac:dyDescent="0.25">
      <c r="A45" s="215" t="s">
        <v>700</v>
      </c>
      <c r="B45" s="414"/>
      <c r="C45" s="414"/>
    </row>
    <row r="46" spans="1:4" ht="114.75" x14ac:dyDescent="0.25">
      <c r="A46" s="278" t="s">
        <v>701</v>
      </c>
      <c r="B46" s="414">
        <f>'Проверочная  таблица'!VR37/1000</f>
        <v>0</v>
      </c>
      <c r="C46" s="414">
        <f>'Проверочная  таблица'!VS37/1000</f>
        <v>0</v>
      </c>
    </row>
    <row r="47" spans="1:4" ht="89.25" x14ac:dyDescent="0.25">
      <c r="A47" s="278" t="s">
        <v>702</v>
      </c>
      <c r="B47" s="414">
        <f>'Проверочная  таблица'!VT37/1000</f>
        <v>1553</v>
      </c>
      <c r="C47" s="414">
        <f>'Проверочная  таблица'!VU37/1000</f>
        <v>1553</v>
      </c>
    </row>
    <row r="48" spans="1:4" ht="89.25" x14ac:dyDescent="0.25">
      <c r="A48" s="278" t="s">
        <v>703</v>
      </c>
      <c r="B48" s="414">
        <f>'Проверочная  таблица'!VV37/1000</f>
        <v>7674.6</v>
      </c>
      <c r="C48" s="414">
        <f>'Проверочная  таблица'!VW37/1000</f>
        <v>7674.6</v>
      </c>
    </row>
    <row r="49" spans="1:4" ht="76.5" x14ac:dyDescent="0.25">
      <c r="A49" s="278" t="s">
        <v>704</v>
      </c>
      <c r="B49" s="414">
        <f>'Проверочная  таблица'!VZ37/1000</f>
        <v>422813.9</v>
      </c>
      <c r="C49" s="414">
        <f>'Проверочная  таблица'!WC37/1000</f>
        <v>280274.14134000003</v>
      </c>
    </row>
    <row r="50" spans="1:4" ht="102" x14ac:dyDescent="0.25">
      <c r="A50" s="278" t="s">
        <v>705</v>
      </c>
      <c r="B50" s="414">
        <f>'Проверочная  таблица'!WF37/1000</f>
        <v>16706</v>
      </c>
      <c r="C50" s="414">
        <f>'Проверочная  таблица'!WI37/1000</f>
        <v>13846.638959999997</v>
      </c>
    </row>
    <row r="51" spans="1:4" ht="51" x14ac:dyDescent="0.25">
      <c r="A51" s="278" t="s">
        <v>706</v>
      </c>
      <c r="B51" s="414">
        <f>('Проверочная  таблица'!VL37+'Проверочная  таблица'!VN37)/1000</f>
        <v>46452.800000000003</v>
      </c>
      <c r="C51" s="414">
        <f>('Проверочная  таблица'!VM37+'Проверочная  таблица'!VO37)/1000</f>
        <v>24185.333350000001</v>
      </c>
    </row>
    <row r="52" spans="1:4" ht="63.75" x14ac:dyDescent="0.25">
      <c r="A52" s="278" t="s">
        <v>707</v>
      </c>
      <c r="B52" s="414">
        <f>'Проверочная  таблица'!VP37/1000</f>
        <v>63.1</v>
      </c>
      <c r="C52" s="414">
        <f>'Проверочная  таблица'!VQ37/1000</f>
        <v>0</v>
      </c>
    </row>
    <row r="53" spans="1:4" ht="15.75" x14ac:dyDescent="0.25">
      <c r="A53" s="278"/>
      <c r="B53" s="414"/>
      <c r="C53" s="414"/>
    </row>
    <row r="54" spans="1:4" ht="15.75" x14ac:dyDescent="0.25">
      <c r="A54" s="247" t="s">
        <v>708</v>
      </c>
      <c r="B54" s="418">
        <f>SUM(B46:B52)</f>
        <v>495263.39999999997</v>
      </c>
      <c r="C54" s="418">
        <f>SUM(C46:C52)</f>
        <v>327533.71365000005</v>
      </c>
    </row>
    <row r="55" spans="1:4" ht="15.75" x14ac:dyDescent="0.25">
      <c r="A55" s="278"/>
      <c r="B55" s="414"/>
      <c r="C55" s="414"/>
    </row>
    <row r="56" spans="1:4" ht="15.75" x14ac:dyDescent="0.25">
      <c r="A56" s="215" t="s">
        <v>709</v>
      </c>
      <c r="B56" s="414"/>
      <c r="C56" s="414"/>
    </row>
    <row r="57" spans="1:4" ht="102" x14ac:dyDescent="0.25">
      <c r="A57" s="1227" t="s">
        <v>1359</v>
      </c>
      <c r="B57" s="1261">
        <f>'Проверочная  таблица'!WN37/1000</f>
        <v>0</v>
      </c>
      <c r="C57" s="1261">
        <f>'Проверочная  таблица'!WQ37/1000</f>
        <v>0</v>
      </c>
    </row>
    <row r="58" spans="1:4" ht="114.75" x14ac:dyDescent="0.25">
      <c r="A58" s="253" t="s">
        <v>1356</v>
      </c>
      <c r="B58" s="414">
        <f>'Проверочная  таблица'!XF37/1000</f>
        <v>533442.4</v>
      </c>
      <c r="C58" s="414">
        <f>'Проверочная  таблица'!XI37/1000</f>
        <v>481578.11050999997</v>
      </c>
    </row>
    <row r="59" spans="1:4" ht="76.5" x14ac:dyDescent="0.25">
      <c r="A59" s="278" t="s">
        <v>1357</v>
      </c>
      <c r="B59" s="414">
        <f>'Проверочная  таблица'!WZ37/1000</f>
        <v>56189.843489999999</v>
      </c>
      <c r="C59" s="414">
        <f>'Проверочная  таблица'!XC37/1000</f>
        <v>42479.496439999995</v>
      </c>
    </row>
    <row r="60" spans="1:4" ht="63.75" x14ac:dyDescent="0.25">
      <c r="A60" s="278" t="s">
        <v>1358</v>
      </c>
      <c r="B60" s="414">
        <f>'Проверочная  таблица'!WT37/1000</f>
        <v>136005.31331</v>
      </c>
      <c r="C60" s="414">
        <f>'Проверочная  таблица'!WW37/1000</f>
        <v>15165.12571</v>
      </c>
    </row>
    <row r="61" spans="1:4" ht="15.75" x14ac:dyDescent="0.25">
      <c r="A61" s="215"/>
      <c r="B61" s="414"/>
      <c r="C61" s="414"/>
    </row>
    <row r="62" spans="1:4" ht="15.75" x14ac:dyDescent="0.25">
      <c r="A62" s="247" t="s">
        <v>710</v>
      </c>
      <c r="B62" s="418">
        <f>SUM(B57:B61)</f>
        <v>725637.55680000002</v>
      </c>
      <c r="C62" s="418">
        <f>SUM(C57:C61)</f>
        <v>539222.73265999998</v>
      </c>
      <c r="D62" s="419">
        <f>B62-'Иные  МБТ'!D61/1000</f>
        <v>-160013.28735</v>
      </c>
    </row>
    <row r="63" spans="1:4" ht="15.75" x14ac:dyDescent="0.25">
      <c r="A63" s="278"/>
      <c r="B63" s="414"/>
      <c r="C63" s="414"/>
    </row>
    <row r="64" spans="1:4" ht="15.75" x14ac:dyDescent="0.25">
      <c r="A64" s="420" t="s">
        <v>711</v>
      </c>
      <c r="B64" s="421">
        <f>B54+B43+B62</f>
        <v>8303852.1395600019</v>
      </c>
      <c r="C64" s="421">
        <f>C54+C43+C62</f>
        <v>5157048.82</v>
      </c>
    </row>
    <row r="65" spans="1:3" x14ac:dyDescent="0.25">
      <c r="A65" s="1847"/>
      <c r="B65" s="1847"/>
      <c r="C65" s="1847"/>
    </row>
    <row r="66" spans="1:3" x14ac:dyDescent="0.25">
      <c r="A66" s="291"/>
      <c r="B66" s="291"/>
      <c r="C66" s="291"/>
    </row>
    <row r="67" spans="1:3" x14ac:dyDescent="0.25">
      <c r="A67" s="1847" t="s">
        <v>712</v>
      </c>
      <c r="B67" s="1847"/>
      <c r="C67" s="1847"/>
    </row>
    <row r="68" spans="1:3" x14ac:dyDescent="0.25">
      <c r="A68" s="1847"/>
      <c r="B68" s="1847"/>
      <c r="C68" s="1847"/>
    </row>
    <row r="69" spans="1:3" ht="127.5" x14ac:dyDescent="0.25">
      <c r="A69" s="278" t="s">
        <v>713</v>
      </c>
      <c r="B69" s="414">
        <f>('Проверочная  таблица'!BL38)/1000</f>
        <v>0</v>
      </c>
      <c r="C69" s="414">
        <f>('Проверочная  таблица'!BM38)/1000</f>
        <v>0</v>
      </c>
    </row>
    <row r="70" spans="1:3" ht="114.75" x14ac:dyDescent="0.25">
      <c r="A70" s="278" t="s">
        <v>1280</v>
      </c>
      <c r="B70" s="414">
        <f>'Проверочная  таблица'!BU37/1000</f>
        <v>903434.72978000005</v>
      </c>
      <c r="C70" s="414">
        <f>'Проверочная  таблица'!BX37/1000</f>
        <v>0</v>
      </c>
    </row>
    <row r="71" spans="1:3" ht="114.75" x14ac:dyDescent="0.25">
      <c r="A71" s="278" t="s">
        <v>714</v>
      </c>
      <c r="B71" s="414">
        <f>'Проверочная  таблица'!BV37/1000</f>
        <v>315676</v>
      </c>
      <c r="C71" s="414">
        <f>'Проверочная  таблица'!BY37/1000</f>
        <v>37574.331689999999</v>
      </c>
    </row>
    <row r="72" spans="1:3" ht="15.75" x14ac:dyDescent="0.25">
      <c r="A72" s="278"/>
      <c r="B72" s="414"/>
      <c r="C72" s="414"/>
    </row>
    <row r="73" spans="1:3" ht="15.75" x14ac:dyDescent="0.25">
      <c r="A73" s="247" t="s">
        <v>715</v>
      </c>
      <c r="B73" s="418">
        <f>SUM(B69:B72)</f>
        <v>1219110.7297800002</v>
      </c>
      <c r="C73" s="418">
        <f>SUM(C69:C72)</f>
        <v>37574.331689999999</v>
      </c>
    </row>
    <row r="74" spans="1:3" ht="15.75" x14ac:dyDescent="0.25">
      <c r="A74" s="278"/>
      <c r="B74" s="414"/>
      <c r="C74" s="414"/>
    </row>
    <row r="75" spans="1:3" ht="15.75" x14ac:dyDescent="0.25">
      <c r="A75" s="420" t="s">
        <v>8</v>
      </c>
      <c r="B75" s="422">
        <f>B64+B73</f>
        <v>9522962.8693400025</v>
      </c>
      <c r="C75" s="422">
        <f>C64+C73</f>
        <v>5194623.1516900007</v>
      </c>
    </row>
    <row r="76" spans="1:3" x14ac:dyDescent="0.25">
      <c r="B76" s="423">
        <f>B75-'Федеральные  средства  по  МО'!B36/1000</f>
        <v>0</v>
      </c>
      <c r="C76" s="423">
        <f>C75-'Федеральные  средства  по  МО'!C36/1000</f>
        <v>0</v>
      </c>
    </row>
  </sheetData>
  <mergeCells count="5">
    <mergeCell ref="A2:C2"/>
    <mergeCell ref="A3:C3"/>
    <mergeCell ref="A65:C65"/>
    <mergeCell ref="A67:C67"/>
    <mergeCell ref="A68:C68"/>
  </mergeCells>
  <pageMargins left="0.78740157480314965" right="0.39370078740157483" top="0.78740157480314965" bottom="0.78740157480314965" header="0.51181102362204722" footer="0.51181102362204722"/>
  <pageSetup paperSize="9" scale="76" fitToHeight="8" orientation="portrait" r:id="rId1"/>
  <headerFooter alignWithMargins="0">
    <oddFooter>&amp;R&amp;Z&amp;F&amp;A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22"/>
  <sheetViews>
    <sheetView zoomScale="55" zoomScaleNormal="55" workbookViewId="0">
      <pane xSplit="1" ySplit="9" topLeftCell="B10" activePane="bottomRight" state="frozen"/>
      <selection pane="topRight" activeCell="B1" sqref="B1"/>
      <selection pane="bottomLeft" activeCell="A9" sqref="A9"/>
      <selection pane="bottomRight" activeCell="B13" sqref="B13"/>
    </sheetView>
  </sheetViews>
  <sheetFormatPr defaultColWidth="8.85546875" defaultRowHeight="12.75" x14ac:dyDescent="0.25"/>
  <cols>
    <col min="1" max="1" width="19.140625" style="242" customWidth="1"/>
    <col min="2" max="3" width="21.5703125" style="242" bestFit="1" customWidth="1"/>
    <col min="4" max="4" width="20.42578125" style="242" customWidth="1"/>
    <col min="5" max="5" width="19.5703125" style="242" bestFit="1" customWidth="1"/>
    <col min="6" max="7" width="21.5703125" style="242" bestFit="1" customWidth="1"/>
    <col min="8" max="8" width="19.85546875" style="242" customWidth="1"/>
    <col min="9" max="9" width="18.5703125" style="242" bestFit="1" customWidth="1"/>
    <col min="10" max="16384" width="8.85546875" style="242"/>
  </cols>
  <sheetData>
    <row r="2" spans="1:9" ht="15.75" x14ac:dyDescent="0.25">
      <c r="A2" s="1850" t="s">
        <v>644</v>
      </c>
      <c r="B2" s="1850"/>
      <c r="C2" s="1850"/>
      <c r="D2" s="1850"/>
      <c r="E2" s="1850"/>
      <c r="F2" s="1850"/>
      <c r="G2" s="1850"/>
      <c r="H2" s="1850"/>
      <c r="I2" s="1850"/>
    </row>
    <row r="3" spans="1:9" ht="15.75" x14ac:dyDescent="0.25">
      <c r="A3" s="1851" t="str">
        <f>'Район  и  поселения'!E3</f>
        <v>ПО  СОСТОЯНИЮ  НА  1  ОКТЯБРЯ  2024  ГОДА</v>
      </c>
      <c r="B3" s="1851"/>
      <c r="C3" s="1851"/>
      <c r="D3" s="1851"/>
      <c r="E3" s="1851"/>
      <c r="F3" s="1851"/>
      <c r="G3" s="1851"/>
      <c r="H3" s="1851"/>
      <c r="I3" s="1851"/>
    </row>
    <row r="5" spans="1:9" x14ac:dyDescent="0.25">
      <c r="H5" s="242" t="s">
        <v>370</v>
      </c>
    </row>
    <row r="6" spans="1:9" x14ac:dyDescent="0.25">
      <c r="A6" s="1847" t="s">
        <v>356</v>
      </c>
      <c r="B6" s="1852" t="s">
        <v>358</v>
      </c>
      <c r="C6" s="1853"/>
      <c r="D6" s="1853"/>
      <c r="E6" s="1854"/>
      <c r="F6" s="1852" t="s">
        <v>656</v>
      </c>
      <c r="G6" s="1853"/>
      <c r="H6" s="1853"/>
      <c r="I6" s="1854"/>
    </row>
    <row r="7" spans="1:9" x14ac:dyDescent="0.25">
      <c r="A7" s="1847"/>
      <c r="B7" s="1847" t="s">
        <v>31</v>
      </c>
      <c r="C7" s="1855" t="s">
        <v>375</v>
      </c>
      <c r="D7" s="1855"/>
      <c r="E7" s="1855"/>
      <c r="F7" s="1855" t="s">
        <v>31</v>
      </c>
      <c r="G7" s="1855" t="s">
        <v>375</v>
      </c>
      <c r="H7" s="1855"/>
      <c r="I7" s="1855"/>
    </row>
    <row r="8" spans="1:9" x14ac:dyDescent="0.25">
      <c r="A8" s="1847"/>
      <c r="B8" s="1847"/>
      <c r="C8" s="1848" t="s">
        <v>657</v>
      </c>
      <c r="D8" s="392" t="s">
        <v>658</v>
      </c>
      <c r="E8" s="1848" t="s">
        <v>659</v>
      </c>
      <c r="F8" s="1855"/>
      <c r="G8" s="1848" t="s">
        <v>657</v>
      </c>
      <c r="H8" s="392" t="s">
        <v>658</v>
      </c>
      <c r="I8" s="1848" t="s">
        <v>659</v>
      </c>
    </row>
    <row r="9" spans="1:9" ht="45.6" customHeight="1" x14ac:dyDescent="0.25">
      <c r="A9" s="1847"/>
      <c r="B9" s="1847"/>
      <c r="C9" s="1849"/>
      <c r="D9" s="392" t="s">
        <v>396</v>
      </c>
      <c r="E9" s="1849"/>
      <c r="F9" s="1855"/>
      <c r="G9" s="1849"/>
      <c r="H9" s="392" t="s">
        <v>396</v>
      </c>
      <c r="I9" s="1849"/>
    </row>
    <row r="10" spans="1:9" ht="15" x14ac:dyDescent="0.25">
      <c r="A10" s="399"/>
      <c r="B10" s="397"/>
      <c r="C10" s="397"/>
      <c r="D10" s="397"/>
      <c r="E10" s="397"/>
      <c r="F10" s="397"/>
      <c r="G10" s="397"/>
      <c r="H10" s="397"/>
      <c r="I10" s="397"/>
    </row>
    <row r="11" spans="1:9" ht="76.5" x14ac:dyDescent="0.25">
      <c r="A11" s="393" t="s">
        <v>660</v>
      </c>
      <c r="B11" s="397">
        <f>'[2]Исполнение  по  дотации'!$B$37*1000</f>
        <v>8554272630.8400002</v>
      </c>
      <c r="C11" s="397">
        <f>'[2]Исполнение  по  дотации'!$B$46*1000</f>
        <v>8554272630.8400002</v>
      </c>
      <c r="D11" s="397"/>
      <c r="E11" s="397">
        <f>'[2]Исполнение  по  дотации'!$B$47*1000</f>
        <v>0</v>
      </c>
      <c r="F11" s="397">
        <f>'[2]Исполнение  по  дотации'!$E$37*1000</f>
        <v>5707690878.3100004</v>
      </c>
      <c r="G11" s="397">
        <f>'[2]Исполнение  по  дотации'!$E$46*1000</f>
        <v>5707690878.3100004</v>
      </c>
      <c r="H11" s="397"/>
      <c r="I11" s="397">
        <f>'[2]Исполнение  по  дотации'!$E$47*1000</f>
        <v>0</v>
      </c>
    </row>
    <row r="12" spans="1:9" ht="15" x14ac:dyDescent="0.25">
      <c r="A12" s="393"/>
      <c r="B12" s="397"/>
      <c r="C12" s="397"/>
      <c r="D12" s="397"/>
      <c r="E12" s="397"/>
      <c r="F12" s="397"/>
      <c r="G12" s="397"/>
      <c r="H12" s="397"/>
      <c r="I12" s="397"/>
    </row>
    <row r="13" spans="1:9" ht="102" x14ac:dyDescent="0.25">
      <c r="A13" s="393" t="s">
        <v>661</v>
      </c>
      <c r="B13" s="397">
        <f>'[2]Исполнение  по  субсидии'!$B$38*1000</f>
        <v>15474846750.99</v>
      </c>
      <c r="C13" s="397">
        <f>'[2]Исполнение  по  субсидии'!$B$50*1000</f>
        <v>15474846750.99</v>
      </c>
      <c r="D13" s="397">
        <f>'[2]Исполнение  по  субсидии'!$B$47*1000</f>
        <v>6477213271.1900005</v>
      </c>
      <c r="E13" s="397">
        <f>'[2]Исполнение  по  субсидии'!$B$51*1000</f>
        <v>0</v>
      </c>
      <c r="F13" s="397">
        <f>'[2]Исполнение  по  субсидии'!$C$38*1000</f>
        <v>9093594681.4999981</v>
      </c>
      <c r="G13" s="397">
        <f>'[2]Исполнение  по  субсидии'!$C$50*1000</f>
        <v>9093594681.4999981</v>
      </c>
      <c r="H13" s="397">
        <f>'[2]Исполнение  по  субсидии'!$C$47*1000</f>
        <v>4290292373.6899996</v>
      </c>
      <c r="I13" s="397">
        <f>'[2]Исполнение  по  субсидии'!$C$51*1000</f>
        <v>0</v>
      </c>
    </row>
    <row r="14" spans="1:9" ht="15" x14ac:dyDescent="0.25">
      <c r="A14" s="393"/>
      <c r="B14" s="397"/>
      <c r="C14" s="397"/>
      <c r="D14" s="397"/>
      <c r="E14" s="397"/>
      <c r="F14" s="397"/>
      <c r="G14" s="397"/>
      <c r="H14" s="397"/>
      <c r="I14" s="397"/>
    </row>
    <row r="15" spans="1:9" ht="76.5" x14ac:dyDescent="0.25">
      <c r="A15" s="393" t="s">
        <v>662</v>
      </c>
      <c r="B15" s="397">
        <f>'[2]Исполнение  по  субвенции'!$B$38*1000</f>
        <v>17150133877.010002</v>
      </c>
      <c r="C15" s="397">
        <f>'[2]Исполнение  по  субвенции'!$B$50*1000</f>
        <v>17089124492.970001</v>
      </c>
      <c r="D15" s="397">
        <f>'[2]Исполнение  по  субвенции'!$B$47*1000</f>
        <v>495263400</v>
      </c>
      <c r="E15" s="397">
        <f>'[2]Исполнение  по  субвенции'!$B$51*1000</f>
        <v>61009384.039999999</v>
      </c>
      <c r="F15" s="397">
        <f>'[2]Исполнение  по  субвенции'!$G$38*1000</f>
        <v>12965830311.979998</v>
      </c>
      <c r="G15" s="397">
        <f>'[2]Исполнение  по  субвенции'!$G$50*1000</f>
        <v>12931437024.399998</v>
      </c>
      <c r="H15" s="397">
        <f>'[2]Исполнение  по  субвенции'!$G$47*1000</f>
        <v>327533713.64999998</v>
      </c>
      <c r="I15" s="397">
        <f>'[2]Исполнение  по  субвенции'!$G$51*1000</f>
        <v>34393287.580000006</v>
      </c>
    </row>
    <row r="16" spans="1:9" ht="15" x14ac:dyDescent="0.25">
      <c r="A16" s="393"/>
      <c r="B16" s="397"/>
      <c r="C16" s="397"/>
      <c r="D16" s="397"/>
      <c r="E16" s="397"/>
      <c r="F16" s="397"/>
      <c r="G16" s="397"/>
      <c r="H16" s="397"/>
      <c r="I16" s="397"/>
    </row>
    <row r="17" spans="1:9" ht="38.25" x14ac:dyDescent="0.25">
      <c r="A17" s="393" t="s">
        <v>663</v>
      </c>
      <c r="B17" s="397">
        <f>'[2]Исполнение  по  иным  МБТ'!$B$36*1000</f>
        <v>3297055812.6799998</v>
      </c>
      <c r="C17" s="397">
        <f>'[2]Исполнение  по  иным  МБТ'!$B$48*1000</f>
        <v>3101779482.8099999</v>
      </c>
      <c r="D17" s="397">
        <f>'[2]Исполнение  по  иным  МБТ'!$B$45*1000</f>
        <v>680846244.14999998</v>
      </c>
      <c r="E17" s="397">
        <f>'[2]Исполнение  по  иным  МБТ'!$B$49*1000</f>
        <v>195276329.87</v>
      </c>
      <c r="F17" s="397">
        <f>'[2]Исполнение  по  иным  МБТ'!$G$36*1000</f>
        <v>1893923093.2</v>
      </c>
      <c r="G17" s="397">
        <f>'[2]Исполнение  по  иным  МБТ'!$G$48*1000</f>
        <v>1698752253.27</v>
      </c>
      <c r="H17" s="397">
        <f>'[2]Исполнение  по  иным  МБТ'!$G$45*1000</f>
        <v>539222732.65999997</v>
      </c>
      <c r="I17" s="397">
        <f>'[2]Исполнение  по  иным  МБТ'!$G$49*1000</f>
        <v>195170839.93000001</v>
      </c>
    </row>
    <row r="18" spans="1:9" ht="15" x14ac:dyDescent="0.25">
      <c r="A18" s="393"/>
      <c r="B18" s="397"/>
      <c r="C18" s="397"/>
      <c r="D18" s="397"/>
      <c r="E18" s="397"/>
      <c r="F18" s="397"/>
      <c r="G18" s="397"/>
      <c r="H18" s="397"/>
      <c r="I18" s="397"/>
    </row>
    <row r="19" spans="1:9" ht="15" x14ac:dyDescent="0.25">
      <c r="A19" s="408" t="s">
        <v>8</v>
      </c>
      <c r="B19" s="409">
        <f t="shared" ref="B19:I19" si="0">SUM(B11:B18)</f>
        <v>44476309071.520004</v>
      </c>
      <c r="C19" s="409">
        <f t="shared" si="0"/>
        <v>44220023357.610001</v>
      </c>
      <c r="D19" s="409">
        <f t="shared" si="0"/>
        <v>7653322915.3400002</v>
      </c>
      <c r="E19" s="409">
        <f t="shared" si="0"/>
        <v>256285713.91</v>
      </c>
      <c r="F19" s="409">
        <f t="shared" si="0"/>
        <v>29661038964.989994</v>
      </c>
      <c r="G19" s="409">
        <f t="shared" si="0"/>
        <v>29431474837.479996</v>
      </c>
      <c r="H19" s="409">
        <f t="shared" si="0"/>
        <v>5157048819.999999</v>
      </c>
      <c r="I19" s="409">
        <f t="shared" si="0"/>
        <v>229564127.51000002</v>
      </c>
    </row>
    <row r="20" spans="1:9" ht="15" x14ac:dyDescent="0.25">
      <c r="A20" s="392" t="s">
        <v>375</v>
      </c>
      <c r="B20" s="395"/>
      <c r="C20" s="395"/>
      <c r="D20" s="395"/>
      <c r="E20" s="395"/>
      <c r="F20" s="395"/>
      <c r="G20" s="395"/>
      <c r="H20" s="395"/>
      <c r="I20" s="395"/>
    </row>
    <row r="21" spans="1:9" ht="30" x14ac:dyDescent="0.25">
      <c r="A21" s="254" t="s">
        <v>664</v>
      </c>
      <c r="B21" s="220">
        <f t="shared" ref="B21:I21" si="1">B19-B11</f>
        <v>35922036440.680008</v>
      </c>
      <c r="C21" s="220">
        <f t="shared" si="1"/>
        <v>35665750726.770004</v>
      </c>
      <c r="D21" s="220">
        <f t="shared" si="1"/>
        <v>7653322915.3400002</v>
      </c>
      <c r="E21" s="220">
        <f t="shared" si="1"/>
        <v>256285713.91</v>
      </c>
      <c r="F21" s="220">
        <f t="shared" si="1"/>
        <v>23953348086.679993</v>
      </c>
      <c r="G21" s="220">
        <f t="shared" si="1"/>
        <v>23723783959.169994</v>
      </c>
      <c r="H21" s="220">
        <f t="shared" si="1"/>
        <v>5157048819.999999</v>
      </c>
      <c r="I21" s="220">
        <f t="shared" si="1"/>
        <v>229564127.51000002</v>
      </c>
    </row>
    <row r="22" spans="1:9" s="411" customFormat="1" ht="15" x14ac:dyDescent="0.25">
      <c r="B22" s="412">
        <f>B19-'Проверочная  таблица'!B37</f>
        <v>-3193015172.3299942</v>
      </c>
      <c r="C22" s="412">
        <f>B19-C19-E19</f>
        <v>3.6656856536865234E-6</v>
      </c>
      <c r="D22" s="412">
        <f>D21-('Федеральные  средства'!B43+'Федеральные  средства'!B54+'Федеральные  средства'!B62)*1000</f>
        <v>-650529224.22000217</v>
      </c>
      <c r="E22" s="412">
        <f>E21-('[2]Исполнение  по  дотации'!$B$47+'[2]Исполнение  по  субсидии'!$B$51+'[2]Исполнение  по  субвенции'!$B$51+'[2]Исполнение  по  иным  МБТ'!$B$49)*1000</f>
        <v>0</v>
      </c>
      <c r="F22" s="412">
        <f>F19-'Проверочная  таблица'!C37</f>
        <v>-18919600.000003815</v>
      </c>
      <c r="G22" s="412">
        <f>F19-G19-I19</f>
        <v>-1.6987323760986328E-6</v>
      </c>
      <c r="H22" s="412">
        <f>H21-('Федеральные  средства'!C62+'Федеральные  средства'!C54+'Федеральные  средства'!C43)*1000</f>
        <v>0</v>
      </c>
      <c r="I22" s="412">
        <f>I21-('[2]Исполнение  по  дотации'!$E$47+'[2]Исполнение  по  субсидии'!$C$51+'[2]Исполнение  по  субвенции'!$G$51+'[2]Исполнение  по  иным  МБТ'!$G$49)*1000</f>
        <v>0</v>
      </c>
    </row>
  </sheetData>
  <mergeCells count="13">
    <mergeCell ref="E8:E9"/>
    <mergeCell ref="G8:G9"/>
    <mergeCell ref="I8:I9"/>
    <mergeCell ref="A2:I2"/>
    <mergeCell ref="A3:I3"/>
    <mergeCell ref="A6:A9"/>
    <mergeCell ref="B6:E6"/>
    <mergeCell ref="F6:I6"/>
    <mergeCell ref="B7:B9"/>
    <mergeCell ref="C7:E7"/>
    <mergeCell ref="F7:F9"/>
    <mergeCell ref="G7:I7"/>
    <mergeCell ref="C8:C9"/>
  </mergeCells>
  <pageMargins left="0.78740157480314965" right="0.39370078740157483" top="0.78740157480314965" bottom="0.78740157480314965" header="0.51181102362204722" footer="0.51181102362204722"/>
  <pageSetup paperSize="9" scale="72" orientation="landscape" r:id="rId1"/>
  <headerFooter alignWithMargins="0">
    <oddFooter>&amp;R&amp;Z&amp;F&amp;A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30</vt:i4>
      </vt:variant>
    </vt:vector>
  </HeadingPairs>
  <TitlesOfParts>
    <vt:vector size="50" baseType="lpstr">
      <vt:lpstr>МБТ - исполнение</vt:lpstr>
      <vt:lpstr>Проверочная  таблица</vt:lpstr>
      <vt:lpstr>Прочая  субсидия_МР  и  ГО</vt:lpstr>
      <vt:lpstr>Прочая  субсидия_БП</vt:lpstr>
      <vt:lpstr>Субвенция  на  полномочия</vt:lpstr>
      <vt:lpstr>Район  и  поселения</vt:lpstr>
      <vt:lpstr>Федеральные  средства  по  МО</vt:lpstr>
      <vt:lpstr>Федеральные  средства</vt:lpstr>
      <vt:lpstr>МБТ  по  программам</vt:lpstr>
      <vt:lpstr>МБТ  по  видам  расходов</vt:lpstr>
      <vt:lpstr>Дотация</vt:lpstr>
      <vt:lpstr>Субсидия</vt:lpstr>
      <vt:lpstr>Субвенция</vt:lpstr>
      <vt:lpstr>Иные  МБТ</vt:lpstr>
      <vt:lpstr>субсидия  фед.</vt:lpstr>
      <vt:lpstr>субсидия  ВР 522</vt:lpstr>
      <vt:lpstr>субсидия  ВР 523</vt:lpstr>
      <vt:lpstr>Федеральная  субсидия</vt:lpstr>
      <vt:lpstr>ВУС</vt:lpstr>
      <vt:lpstr>Бюджетирование</vt:lpstr>
      <vt:lpstr>Бюджетирование!Заголовки_для_печати</vt:lpstr>
      <vt:lpstr>ВУС!Заголовки_для_печати</vt:lpstr>
      <vt:lpstr>'Иные  МБТ'!Заголовки_для_печати</vt:lpstr>
      <vt:lpstr>'Проверочная  таблица'!Заголовки_для_печати</vt:lpstr>
      <vt:lpstr>'Прочая  субсидия_БП'!Заголовки_для_печати</vt:lpstr>
      <vt:lpstr>'Прочая  субсидия_МР  и  ГО'!Заголовки_для_печати</vt:lpstr>
      <vt:lpstr>'Район  и  поселения'!Заголовки_для_печати</vt:lpstr>
      <vt:lpstr>Субвенция!Заголовки_для_печати</vt:lpstr>
      <vt:lpstr>'Субвенция  на  полномочия'!Заголовки_для_печати</vt:lpstr>
      <vt:lpstr>Субсидия!Заголовки_для_печати</vt:lpstr>
      <vt:lpstr>'субсидия  ВР 522'!Заголовки_для_печати</vt:lpstr>
      <vt:lpstr>'субсидия  ВР 523'!Заголовки_для_печати</vt:lpstr>
      <vt:lpstr>'субсидия  фед.'!Заголовки_для_печати</vt:lpstr>
      <vt:lpstr>'Федеральная  субсидия'!Заголовки_для_печати</vt:lpstr>
      <vt:lpstr>'Федеральные  средства'!Заголовки_для_печати</vt:lpstr>
      <vt:lpstr>'Федеральные  средства  по  МО'!Заголовки_для_печати</vt:lpstr>
      <vt:lpstr>ВУС!Область_печати</vt:lpstr>
      <vt:lpstr>Дотация!Область_печати</vt:lpstr>
      <vt:lpstr>'Иные  МБТ'!Область_печати</vt:lpstr>
      <vt:lpstr>'МБТ  по  видам  расходов'!Область_печати</vt:lpstr>
      <vt:lpstr>'МБТ  по  программам'!Область_печати</vt:lpstr>
      <vt:lpstr>'Проверочная  таблица'!Область_печати</vt:lpstr>
      <vt:lpstr>'Прочая  субсидия_БП'!Область_печати</vt:lpstr>
      <vt:lpstr>'Прочая  субсидия_МР  и  ГО'!Область_печати</vt:lpstr>
      <vt:lpstr>'Район  и  поселения'!Область_печати</vt:lpstr>
      <vt:lpstr>Субвенция!Область_печати</vt:lpstr>
      <vt:lpstr>'Субвенция  на  полномочия'!Область_печати</vt:lpstr>
      <vt:lpstr>Субсидия!Область_печати</vt:lpstr>
      <vt:lpstr>'Федеральные  средства'!Область_печати</vt:lpstr>
      <vt:lpstr>'Федеральные  средства  по  МО'!Область_печати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u1598</dc:creator>
  <cp:lastModifiedBy>u1533</cp:lastModifiedBy>
  <cp:lastPrinted>2024-10-16T09:09:23Z</cp:lastPrinted>
  <dcterms:created xsi:type="dcterms:W3CDTF">2024-03-04T08:41:03Z</dcterms:created>
  <dcterms:modified xsi:type="dcterms:W3CDTF">2024-10-17T11:17:42Z</dcterms:modified>
</cp:coreProperties>
</file>